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5.xml.rels" ContentType="application/vnd.openxmlformats-package.relationships+xml"/>
  <Override PartName="/xl/drawings/_rels/drawing3.xml.rels" ContentType="application/vnd.openxmlformats-package.relationships+xml"/>
  <Override PartName="/xl/drawings/vmlDrawing7.vml" ContentType="application/vnd.openxmlformats-officedocument.vmlDrawing"/>
  <Override PartName="/xl/drawings/drawing6.xml" ContentType="application/vnd.openxmlformats-officedocument.drawing+xml"/>
  <Override PartName="/xl/drawings/vmlDrawing6.vml" ContentType="application/vnd.openxmlformats-officedocument.vmlDrawing"/>
  <Override PartName="/xl/drawings/drawing5.xml" ContentType="application/vnd.openxmlformats-officedocument.drawingml.chartshapes+xml"/>
  <Override PartName="/xl/drawings/vmlDrawing10.vml" ContentType="application/vnd.openxmlformats-officedocument.vmlDrawing"/>
  <Override PartName="/xl/drawings/vmlDrawing9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drawing7.xml" ContentType="application/vnd.openxmlformats-officedocument.drawing+xml"/>
  <Override PartName="/xl/drawings/vmlDrawing8.vml" ContentType="application/vnd.openxmlformats-officedocument.vmlDrawing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3.vml" ContentType="application/vnd.openxmlformats-officedocument.vmlDrawing"/>
  <Override PartName="/xl/drawings/drawing3.xml" ContentType="application/vnd.openxmlformats-officedocument.drawing+xml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drawings/drawing4.xml" ContentType="application/vnd.openxmlformats-officedocument.drawing+xml"/>
  <Override PartName="/xl/comments15.xml" ContentType="application/vnd.openxmlformats-officedocument.spreadsheetml.comments+xml"/>
  <Override PartName="/xl/media/image1.wmf" ContentType="image/x-wmf"/>
  <Override PartName="/xl/workbook.xml" ContentType="application/vnd.openxmlformats-officedocument.spreadsheetml.sheet.main+xml"/>
  <Override PartName="/xl/comments21.xml" ContentType="application/vnd.openxmlformats-officedocument.spreadsheetml.comments+xml"/>
  <Override PartName="/xl/comments19.xml" ContentType="application/vnd.openxmlformats-officedocument.spreadsheetml.comments+xml"/>
  <Override PartName="/xl/comments16.xml" ContentType="application/vnd.openxmlformats-officedocument.spreadsheetml.comments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6.xml.rels" ContentType="application/vnd.openxmlformats-package.relationships+xml"/>
  <Override PartName="/xl/worksheets/_rels/sheet13.xml.rels" ContentType="application/vnd.openxmlformats-package.relationships+xml"/>
  <Override PartName="/xl/worksheets/_rels/sheet5.xml.rels" ContentType="application/vnd.openxmlformats-package.relationships+xml"/>
  <Override PartName="/xl/worksheets/_rels/sheet15.xml.rels" ContentType="application/vnd.openxmlformats-package.relationships+xml"/>
  <Override PartName="/xl/worksheets/_rels/sheet24.xml.rels" ContentType="application/vnd.openxmlformats-package.relationships+xml"/>
  <Override PartName="/xl/worksheets/_rels/sheet14.xml.rels" ContentType="application/vnd.openxmlformats-package.relationships+xml"/>
  <Override PartName="/xl/worksheets/_rels/sheet4.xml.rels" ContentType="application/vnd.openxmlformats-package.relationships+xml"/>
  <Override PartName="/xl/worksheets/_rels/sheet21.xml.rels" ContentType="application/vnd.openxmlformats-package.relationships+xml"/>
  <Override PartName="/xl/worksheets/_rels/sheet19.xml.rels" ContentType="application/vnd.openxmlformats-package.relationships+xml"/>
  <Override PartName="/xl/worksheets/_rels/sheet20.xml.rels" ContentType="application/vnd.openxmlformats-package.relationship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comments13.xml" ContentType="application/vnd.openxmlformats-officedocument.spreadsheetml.comments+xml"/>
  <Override PartName="/xl/comments24.xml" ContentType="application/vnd.openxmlformats-officedocument.spreadsheetml.comments+xml"/>
  <Override PartName="/xl/externalLinks/externalLink2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_rels/externalLink12.xml.rels" ContentType="application/vnd.openxmlformats-package.relationships+xml"/>
  <Override PartName="/xl/externalLinks/_rels/externalLink18.xml.rels" ContentType="application/vnd.openxmlformats-package.relationships+xml"/>
  <Override PartName="/xl/externalLinks/_rels/externalLink39.xml.rels" ContentType="application/vnd.openxmlformats-package.relationships+xml"/>
  <Override PartName="/xl/externalLinks/_rels/externalLink31.xml.rels" ContentType="application/vnd.openxmlformats-package.relationships+xml"/>
  <Override PartName="/xl/externalLinks/_rels/externalLink15.xml.rels" ContentType="application/vnd.openxmlformats-package.relationships+xml"/>
  <Override PartName="/xl/externalLinks/_rels/externalLink24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8.xml.rels" ContentType="application/vnd.openxmlformats-package.relationships+xml"/>
  <Override PartName="/xl/externalLinks/_rels/externalLink13.xml.rels" ContentType="application/vnd.openxmlformats-package.relationships+xml"/>
  <Override PartName="/xl/externalLinks/_rels/externalLink19.xml.rels" ContentType="application/vnd.openxmlformats-package.relationships+xml"/>
  <Override PartName="/xl/externalLinks/_rels/externalLink27.xml.rels" ContentType="application/vnd.openxmlformats-package.relationships+xml"/>
  <Override PartName="/xl/externalLinks/_rels/externalLink36.xml.rels" ContentType="application/vnd.openxmlformats-package.relationships+xml"/>
  <Override PartName="/xl/externalLinks/_rels/externalLink21.xml.rels" ContentType="application/vnd.openxmlformats-package.relationships+xml"/>
  <Override PartName="/xl/externalLinks/_rels/externalLink40.xml.rels" ContentType="application/vnd.openxmlformats-package.relationships+xml"/>
  <Override PartName="/xl/externalLinks/_rels/externalLink33.xml.rels" ContentType="application/vnd.openxmlformats-package.relationships+xml"/>
  <Override PartName="/xl/externalLinks/_rels/externalLink38.xml.rels" ContentType="application/vnd.openxmlformats-package.relationships+xml"/>
  <Override PartName="/xl/externalLinks/_rels/externalLink23.xml.rels" ContentType="application/vnd.openxmlformats-package.relationships+xml"/>
  <Override PartName="/xl/externalLinks/_rels/externalLink30.xml.rels" ContentType="application/vnd.openxmlformats-package.relationships+xml"/>
  <Override PartName="/xl/externalLinks/_rels/externalLink29.xml.rels" ContentType="application/vnd.openxmlformats-package.relationships+xml"/>
  <Override PartName="/xl/externalLinks/_rels/externalLink14.xml.rels" ContentType="application/vnd.openxmlformats-package.relationships+xml"/>
  <Override PartName="/xl/externalLinks/_rels/externalLink1.xml.rels" ContentType="application/vnd.openxmlformats-package.relationships+xml"/>
  <Override PartName="/xl/externalLinks/_rels/externalLink7.xml.rels" ContentType="application/vnd.openxmlformats-package.relationships+xml"/>
  <Override PartName="/xl/externalLinks/_rels/externalLink4.xml.rels" ContentType="application/vnd.openxmlformats-package.relationships+xml"/>
  <Override PartName="/xl/externalLinks/_rels/externalLink26.xml.rels" ContentType="application/vnd.openxmlformats-package.relationships+xml"/>
  <Override PartName="/xl/externalLinks/_rels/externalLink11.xml.rels" ContentType="application/vnd.openxmlformats-package.relationships+xml"/>
  <Override PartName="/xl/externalLinks/_rels/externalLink17.xml.rels" ContentType="application/vnd.openxmlformats-package.relationships+xml"/>
  <Override PartName="/xl/externalLinks/_rels/externalLink34.xml.rels" ContentType="application/vnd.openxmlformats-package.relationships+xml"/>
  <Override PartName="/xl/externalLinks/_rels/externalLink41.xml.rels" ContentType="application/vnd.openxmlformats-package.relationships+xml"/>
  <Override PartName="/xl/externalLinks/_rels/externalLink20.xml.rels" ContentType="application/vnd.openxmlformats-package.relationships+xml"/>
  <Override PartName="/xl/externalLinks/_rels/externalLink35.xml.rels" ContentType="application/vnd.openxmlformats-package.relationships+xml"/>
  <Override PartName="/xl/externalLinks/_rels/externalLink42.xml.rels" ContentType="application/vnd.openxmlformats-package.relationships+xml"/>
  <Override PartName="/xl/externalLinks/_rels/externalLink16.xml.rels" ContentType="application/vnd.openxmlformats-package.relationships+xml"/>
  <Override PartName="/xl/externalLinks/_rels/externalLink32.xml.rels" ContentType="application/vnd.openxmlformats-package.relationships+xml"/>
  <Override PartName="/xl/externalLinks/_rels/externalLink25.xml.rels" ContentType="application/vnd.openxmlformats-package.relationships+xml"/>
  <Override PartName="/xl/externalLinks/_rels/externalLink10.xml.rels" ContentType="application/vnd.openxmlformats-package.relationships+xml"/>
  <Override PartName="/xl/externalLinks/_rels/externalLink9.xml.rels" ContentType="application/vnd.openxmlformats-package.relationships+xml"/>
  <Override PartName="/xl/externalLinks/_rels/externalLink3.xml.rels" ContentType="application/vnd.openxmlformats-package.relationships+xml"/>
  <Override PartName="/xl/externalLinks/_rels/externalLink6.xml.rels" ContentType="application/vnd.openxmlformats-package.relationships+xml"/>
  <Override PartName="/xl/externalLinks/_rels/externalLink28.xml.rels" ContentType="application/vnd.openxmlformats-package.relationships+xml"/>
  <Override PartName="/xl/externalLinks/_rels/externalLink22.xml.rels" ContentType="application/vnd.openxmlformats-package.relationships+xml"/>
  <Override PartName="/xl/externalLinks/_rels/externalLink37.xml.rels" ContentType="application/vnd.openxmlformats-package.relationships+xml"/>
  <Override PartName="/xl/externalLinks/_rels/externalLink5.xml.rels" ContentType="application/vnd.openxmlformats-package.relationships+xml"/>
  <Override PartName="/xl/externalLinks/externalLink15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12.xml" ContentType="application/vnd.openxmlformats-officedocument.spreadsheetml.externalLink+xml"/>
  <Override PartName="/xl/comments17.xml" ContentType="application/vnd.openxmlformats-officedocument.spreadsheetml.comments+xml"/>
  <Override PartName="/xl/comments14.xml" ContentType="application/vnd.openxmlformats-officedocument.spreadsheetml.comments+xml"/>
  <Override PartName="/xl/sharedStrings.xml" ContentType="application/vnd.openxmlformats-officedocument.spreadsheetml.sharedStrings+xml"/>
  <Override PartName="/xl/charts/_rels/chart17.xml.rels" ContentType="application/vnd.openxmlformats-package.relationship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20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1.xml" ContentType="application/vnd.openxmlformats-officedocument.drawingml.chart+xml"/>
  <Override PartName="/xl/comments20.xml" ContentType="application/vnd.openxmlformats-officedocument.spreadsheetml.comments+xml"/>
  <Override PartName="/xl/comments1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Contents" sheetId="1" state="visible" r:id="rId2"/>
    <sheet name="MSE Events" sheetId="2" state="visible" r:id="rId3"/>
    <sheet name="Index comparison" sheetId="3" state="visible" r:id="rId4"/>
    <sheet name="Index Sensitivity" sheetId="4" state="visible" r:id="rId5"/>
    <sheet name="Seasonality Charts" sheetId="5" state="visible" r:id="rId6"/>
    <sheet name="Seasonality Q" sheetId="6" state="visible" r:id="rId7"/>
    <sheet name="Seasonality TRD" sheetId="7" state="visible" r:id="rId8"/>
    <sheet name="Seasonality TRD 5" sheetId="8" state="visible" r:id="rId9"/>
    <sheet name="Data for seasonality" sheetId="9" state="visible" r:id="rId10"/>
    <sheet name="MI" sheetId="10" state="visible" r:id="rId11"/>
    <sheet name="60th PRECNETILE" sheetId="11" state="visible" r:id="rId12"/>
    <sheet name="MI wo. MBI10" sheetId="12" state="visible" r:id="rId13"/>
    <sheet name="Finance" sheetId="13" state="visible" r:id="rId14"/>
    <sheet name="Heavy Industry" sheetId="14" state="visible" r:id="rId15"/>
    <sheet name="Light Industry" sheetId="15" state="visible" r:id="rId16"/>
    <sheet name="Services" sheetId="16" state="visible" r:id="rId17"/>
    <sheet name="MBI10" sheetId="17" state="visible" r:id="rId18"/>
    <sheet name="MBI10 Ratio" sheetId="18" state="visible" r:id="rId19"/>
    <sheet name="Ratio" sheetId="19" state="visible" r:id="rId20"/>
    <sheet name="Ratio (data)" sheetId="20" state="visible" r:id="rId21"/>
    <sheet name="Capitalization" sheetId="21" state="visible" r:id="rId22"/>
    <sheet name="Liquid Stocks (Included)" sheetId="22" state="visible" r:id="rId23"/>
    <sheet name="Liqudity Check" sheetId="23" state="visible" r:id="rId24"/>
    <sheet name="Historical Prices Outview - ALL" sheetId="24" state="visible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</externalReferences>
  <definedNames>
    <definedName function="false" hidden="true" localSheetId="20" name="_xlnm._FilterDatabase" vbProcedure="false">Capitalization!$A$1:$AQ$29</definedName>
    <definedName function="false" hidden="true" localSheetId="8" name="_xlnm._FilterDatabase" vbProcedure="false">'Data for seasonality'!$A$87:$C$110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K1" authorId="0">
      <text>
        <r>
          <rPr>
            <sz val="10"/>
            <rFont val="Arial"/>
            <family val="2"/>
            <charset val="1"/>
          </rPr>
          <t xml:space="preserve">07 Ocb. Not trading day
Controlling power of the acknowledge territory of Israel is in Conflict/ War with the East Bank/Gaza.
Had to clarify as there are disputes in the naming of the whole action. There is an naming dispute at the Wikipedia page. That’s why had to include it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K1" authorId="0">
      <text>
        <r>
          <rPr>
            <sz val="10"/>
            <rFont val="Arial"/>
            <family val="2"/>
            <charset val="1"/>
          </rPr>
          <t xml:space="preserve">07 Ocb. Not trading day
Controlling power of the acknowledge territory of Israel is in Conflict/ War with the East Bank/Gaza.
Had to clarify as there are disputes in the naming of the whole action. There is an naming dispute at the Wikipedia page. That’s why had to include it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K1" authorId="0">
      <text>
        <r>
          <rPr>
            <sz val="10"/>
            <rFont val="Arial"/>
            <family val="2"/>
            <charset val="1"/>
          </rPr>
          <t xml:space="preserve">07 Ocb. Not trading day
Controlling power of the acknowledge territory of Israel is in Conflict/ War with the East Bank/Gaza.
Had to clarify as there are disputes in the naming of the whole action. There is an naming dispute at the Wikipedia page. That’s why had to include it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K1" authorId="0">
      <text>
        <r>
          <rPr>
            <sz val="10"/>
            <rFont val="Arial"/>
            <family val="2"/>
            <charset val="1"/>
          </rPr>
          <t xml:space="preserve">07 Ocb. Not trading day
Controlling power of the acknowledge territory of Israel is in Conflict/ War with the East Bank/Gaza.
Had to clarify as there are disputes in the naming of the whole action. There is an naming dispute at the Wikipedia page. That’s why had to include it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K1" authorId="0">
      <text>
        <r>
          <rPr>
            <sz val="10"/>
            <rFont val="Arial"/>
            <family val="2"/>
            <charset val="1"/>
          </rPr>
          <t xml:space="preserve">07 Ocb. Not trading day
Controlling power of the acknowledge territory of Israel is in Conflict/ War with the East Bank/Gaza.
Had to clarify as there are disputes in the naming of the whole action. There is an naming dispute at the Wikipedia page. That’s why had to include it</t>
        </r>
      </text>
    </comment>
    <comment ref="Q39" authorId="0">
      <text>
        <r>
          <rPr>
            <sz val="10"/>
            <rFont val="Arial"/>
            <family val="2"/>
            <charset val="1"/>
          </rPr>
          <t xml:space="preserve">SBT substituted for UNI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K1" authorId="0">
      <text>
        <r>
          <rPr>
            <sz val="10"/>
            <rFont val="Arial"/>
            <family val="2"/>
            <charset val="1"/>
          </rPr>
          <t xml:space="preserve">07 Ocb. Not trading day
Controlling power of the acknowledge territory of Israel is in Conflict/ War with the East Bank/Gaza.
Had to clarify as there are disputes in the naming of the whole action. There is an naming dispute at the Wikipedia page. That’s why had to include it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40" authorId="0">
      <text>
        <r>
          <rPr>
            <sz val="10"/>
            <rFont val="Arial"/>
            <family val="2"/>
            <charset val="1"/>
          </rPr>
          <t xml:space="preserve">Changes into the pension funds and other non related gains are not accounted for</t>
        </r>
      </text>
    </comment>
    <comment ref="A44" authorId="0">
      <text>
        <r>
          <rPr>
            <sz val="10"/>
            <rFont val="Arial"/>
            <family val="2"/>
            <charset val="1"/>
          </rPr>
          <t xml:space="preserve">Financial Assets not realized are not accounted for</t>
        </r>
      </text>
    </comment>
    <comment ref="A50" authorId="0">
      <text>
        <r>
          <rPr>
            <sz val="10"/>
            <rFont val="Arial"/>
            <family val="2"/>
            <charset val="1"/>
          </rPr>
          <t xml:space="preserve">TTK gains are excluded from the calculation tax rate on the gains is applied by getting the Gross Effective Tax Rate</t>
        </r>
      </text>
    </comment>
    <comment ref="A51" authorId="0">
      <text>
        <r>
          <rPr>
            <sz val="10"/>
            <rFont val="Arial"/>
            <family val="2"/>
            <charset val="1"/>
          </rPr>
          <t xml:space="preserve">Minority stake gains are excluded which are present by EVRO &amp; MKSD</t>
        </r>
      </text>
    </comment>
    <comment ref="K1" authorId="0">
      <text>
        <r>
          <rPr>
            <sz val="10"/>
            <rFont val="Arial"/>
            <family val="2"/>
            <charset val="1"/>
          </rPr>
          <t xml:space="preserve">07 Ocb. Not trading day
Controlling power of the acknowledge territory of Israel is in Conflict/ War with the East Bank/Gaza.
Had to clarify as there are disputes in the naming of the whole action. There is an naming dispute at the Wikipedia page. That’s why had to include it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3" authorId="0">
      <text>
        <r>
          <rPr>
            <sz val="10"/>
            <rFont val="Arial"/>
            <family val="2"/>
            <charset val="1"/>
          </rPr>
          <t xml:space="preserve">Interest Income + Fee Income + Net Trading + Net Other Financial Asset Gains + Net FX 
+ Other Income + Minority Ownership  Profits </t>
        </r>
      </text>
    </comment>
    <comment ref="A5" authorId="0">
      <text>
        <r>
          <rPr>
            <sz val="10"/>
            <rFont val="Arial"/>
            <family val="2"/>
            <charset val="1"/>
          </rPr>
          <t xml:space="preserve">Interest Income + Fee Income + Net Trading + Net Other Financial Asset Gains + Net FX 
+ Other Income + Minority Ownership  Profits </t>
        </r>
      </text>
    </comment>
    <comment ref="A7" authorId="0">
      <text>
        <r>
          <rPr>
            <sz val="10"/>
            <rFont val="Arial"/>
            <family val="2"/>
            <charset val="1"/>
          </rPr>
          <t xml:space="preserve">Interest Income + Fee Income + Net Trading + Net Other Financial Asset Gains + Net FX 
+ Other Income + Minority Ownership  Profits </t>
        </r>
      </text>
    </comment>
    <comment ref="A12" authorId="0">
      <text>
        <r>
          <rPr>
            <sz val="10"/>
            <rFont val="Arial"/>
            <family val="2"/>
            <charset val="1"/>
          </rPr>
          <t xml:space="preserve">Interest Income + Fee Income + Net Trading + Net Other Financial Asset Gains + Net FX 
+ Other Income + Minority Ownership  Profits </t>
        </r>
      </text>
    </comment>
    <comment ref="A17" authorId="0">
      <text>
        <r>
          <rPr>
            <sz val="10"/>
            <rFont val="Arial"/>
            <family val="2"/>
            <charset val="1"/>
          </rPr>
          <t xml:space="preserve">Interest Income + Fee Income + Net Trading + Net Other Financial Asset Gains + Net FX 
+ Other Income + Minority Ownership  Profits </t>
        </r>
      </text>
    </comment>
    <comment ref="A19" authorId="0">
      <text>
        <r>
          <rPr>
            <sz val="10"/>
            <rFont val="Arial"/>
            <family val="2"/>
            <charset val="1"/>
          </rPr>
          <t xml:space="preserve">Interest Income + Fee Income + Net Trading + Net Other Financial Asset Gains + Net FX 
+ Other Income + Minority Ownership  Profits </t>
        </r>
      </text>
    </comment>
    <comment ref="A93" authorId="0">
      <text>
        <r>
          <rPr>
            <sz val="10"/>
            <rFont val="Arial"/>
            <family val="2"/>
            <charset val="1"/>
          </rPr>
          <t xml:space="preserve">EBT + Amortization + Interest Exp.
</t>
        </r>
      </text>
    </comment>
    <comment ref="A95" authorId="0">
      <text>
        <r>
          <rPr>
            <sz val="10"/>
            <rFont val="Arial"/>
            <family val="2"/>
            <charset val="1"/>
          </rPr>
          <t xml:space="preserve">EBT + Amortizaton + Interest Exp.</t>
        </r>
      </text>
    </comment>
    <comment ref="A97" authorId="0">
      <text>
        <r>
          <rPr>
            <sz val="10"/>
            <rFont val="Arial"/>
            <family val="2"/>
            <charset val="1"/>
          </rPr>
          <t xml:space="preserve">EBT + Amortizaton + Interest Exp.</t>
        </r>
      </text>
    </comment>
    <comment ref="A102" authorId="0">
      <text>
        <r>
          <rPr>
            <sz val="10"/>
            <rFont val="Arial"/>
            <family val="2"/>
            <charset val="1"/>
          </rPr>
          <t xml:space="preserve">EBT + Amortizaton + Interest Exp.</t>
        </r>
      </text>
    </comment>
    <comment ref="A107" authorId="0">
      <text>
        <r>
          <rPr>
            <sz val="10"/>
            <rFont val="Arial"/>
            <family val="2"/>
            <charset val="1"/>
          </rPr>
          <t xml:space="preserve">EBT + Amortizaton + Interest Exp.</t>
        </r>
      </text>
    </comment>
    <comment ref="A109" authorId="0">
      <text>
        <r>
          <rPr>
            <sz val="10"/>
            <rFont val="Arial"/>
            <family val="2"/>
            <charset val="1"/>
          </rPr>
          <t xml:space="preserve">EBT + Amortizaton + Interest Exp.</t>
        </r>
      </text>
    </comment>
    <comment ref="A112" authorId="0">
      <text>
        <r>
          <rPr>
            <sz val="10"/>
            <rFont val="Arial"/>
            <family val="2"/>
            <charset val="1"/>
          </rPr>
          <t xml:space="preserve">EBT + FOREX EXP + Amortization on working assets excluding investments</t>
        </r>
      </text>
    </comment>
    <comment ref="D25" authorId="0">
      <text>
        <r>
          <rPr>
            <sz val="10"/>
            <rFont val="Arial"/>
            <family val="2"/>
            <charset val="1"/>
          </rPr>
          <t xml:space="preserve">240730 – 2023
</t>
        </r>
      </text>
    </comment>
    <comment ref="D55" authorId="0">
      <text>
        <r>
          <rPr>
            <sz val="10"/>
            <rFont val="Arial"/>
            <family val="2"/>
            <charset val="1"/>
          </rPr>
          <t xml:space="preserve">240730 – 2023
</t>
        </r>
      </text>
    </comment>
    <comment ref="D85" authorId="0">
      <text>
        <r>
          <rPr>
            <sz val="10"/>
            <rFont val="Arial"/>
            <family val="2"/>
            <charset val="1"/>
          </rPr>
          <t xml:space="preserve">240730 – 2023
</t>
        </r>
      </text>
    </comment>
    <comment ref="D115" authorId="0">
      <text>
        <r>
          <rPr>
            <sz val="10"/>
            <rFont val="Arial"/>
            <family val="2"/>
            <charset val="1"/>
          </rPr>
          <t xml:space="preserve">240730 – 2023
</t>
        </r>
      </text>
    </comment>
    <comment ref="D145" authorId="0">
      <text>
        <r>
          <rPr>
            <sz val="10"/>
            <rFont val="Arial"/>
            <family val="2"/>
            <charset val="1"/>
          </rPr>
          <t xml:space="preserve">240730 – 2023
</t>
        </r>
      </text>
    </comment>
    <comment ref="E23" authorId="0">
      <text>
        <r>
          <rPr>
            <sz val="10"/>
            <rFont val="Arial"/>
            <family val="2"/>
            <charset val="1"/>
          </rPr>
          <t xml:space="preserve">240705 – 2023
</t>
        </r>
      </text>
    </comment>
    <comment ref="E53" authorId="0">
      <text>
        <r>
          <rPr>
            <sz val="10"/>
            <rFont val="Arial"/>
            <family val="2"/>
            <charset val="1"/>
          </rPr>
          <t xml:space="preserve">240705 – 2023
</t>
        </r>
      </text>
    </comment>
    <comment ref="E83" authorId="0">
      <text>
        <r>
          <rPr>
            <sz val="10"/>
            <rFont val="Arial"/>
            <family val="2"/>
            <charset val="1"/>
          </rPr>
          <t xml:space="preserve">240705 – 2023
</t>
        </r>
      </text>
    </comment>
    <comment ref="E113" authorId="0">
      <text>
        <r>
          <rPr>
            <sz val="10"/>
            <rFont val="Arial"/>
            <family val="2"/>
            <charset val="1"/>
          </rPr>
          <t xml:space="preserve">240705 – 2023
</t>
        </r>
      </text>
    </comment>
    <comment ref="E143" authorId="0">
      <text>
        <r>
          <rPr>
            <sz val="10"/>
            <rFont val="Arial"/>
            <family val="2"/>
            <charset val="1"/>
          </rPr>
          <t xml:space="preserve">240705 – 2023
</t>
        </r>
      </text>
    </comment>
    <comment ref="F4" authorId="0">
      <text>
        <r>
          <rPr>
            <sz val="10"/>
            <rFont val="Arial"/>
            <family val="2"/>
            <charset val="1"/>
          </rPr>
          <t xml:space="preserve">240530 - 2023</t>
        </r>
      </text>
    </comment>
    <comment ref="F5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7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8" authorId="0">
      <text>
        <r>
          <rPr>
            <sz val="10"/>
            <rFont val="Arial"/>
            <family val="2"/>
            <charset val="1"/>
          </rPr>
          <t xml:space="preserve">240523 - 2024</t>
        </r>
      </text>
    </comment>
    <comment ref="F9" authorId="0">
      <text>
        <r>
          <rPr>
            <sz val="10"/>
            <rFont val="Arial"/>
            <family val="2"/>
            <charset val="1"/>
          </rPr>
          <t xml:space="preserve">240529 - 2023</t>
        </r>
      </text>
    </comment>
    <comment ref="F10" authorId="0">
      <text>
        <r>
          <rPr>
            <sz val="10"/>
            <rFont val="Arial"/>
            <family val="2"/>
            <charset val="1"/>
          </rPr>
          <t xml:space="preserve">240531 - 2024</t>
        </r>
      </text>
    </comment>
    <comment ref="F11" authorId="0">
      <text>
        <r>
          <rPr>
            <sz val="10"/>
            <rFont val="Arial"/>
            <family val="2"/>
            <charset val="1"/>
          </rPr>
          <t xml:space="preserve">240523 - 2023</t>
        </r>
      </text>
    </comment>
    <comment ref="F12" authorId="0">
      <text>
        <r>
          <rPr>
            <sz val="10"/>
            <rFont val="Arial"/>
            <family val="2"/>
            <charset val="1"/>
          </rPr>
          <t xml:space="preserve">240507 - 2023</t>
        </r>
      </text>
    </comment>
    <comment ref="F13" authorId="0">
      <text>
        <r>
          <rPr>
            <sz val="10"/>
            <rFont val="Arial"/>
            <family val="2"/>
            <charset val="1"/>
          </rPr>
          <t xml:space="preserve">240426 - 2023</t>
        </r>
      </text>
    </comment>
    <comment ref="F15" authorId="0">
      <text>
        <r>
          <rPr>
            <sz val="10"/>
            <rFont val="Arial"/>
            <family val="2"/>
            <charset val="1"/>
          </rPr>
          <t xml:space="preserve">240530 - 2023</t>
        </r>
      </text>
    </comment>
    <comment ref="F16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18" authorId="0">
      <text>
        <r>
          <rPr>
            <sz val="10"/>
            <rFont val="Arial"/>
            <family val="2"/>
            <charset val="1"/>
          </rPr>
          <t xml:space="preserve">240523 – 2023
</t>
        </r>
      </text>
    </comment>
    <comment ref="F19" authorId="0">
      <text>
        <r>
          <rPr>
            <sz val="10"/>
            <rFont val="Arial"/>
            <family val="2"/>
            <charset val="1"/>
          </rPr>
          <t xml:space="preserve">240426 -2023</t>
        </r>
      </text>
    </comment>
    <comment ref="F21" authorId="0">
      <text>
        <r>
          <rPr>
            <sz val="10"/>
            <rFont val="Arial"/>
            <family val="2"/>
            <charset val="1"/>
          </rPr>
          <t xml:space="preserve">240531 – 2023
</t>
        </r>
      </text>
    </comment>
    <comment ref="F22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24" authorId="0">
      <text>
        <r>
          <rPr>
            <sz val="10"/>
            <rFont val="Arial"/>
            <family val="2"/>
            <charset val="1"/>
          </rPr>
          <t xml:space="preserve">240531 – 2023
</t>
        </r>
      </text>
    </comment>
    <comment ref="F26" authorId="0">
      <text>
        <r>
          <rPr>
            <sz val="10"/>
            <rFont val="Arial"/>
            <family val="2"/>
            <charset val="1"/>
          </rPr>
          <t xml:space="preserve">240530 – 2023
</t>
        </r>
      </text>
    </comment>
    <comment ref="F27" authorId="0">
      <text>
        <r>
          <rPr>
            <sz val="10"/>
            <rFont val="Arial"/>
            <family val="2"/>
            <charset val="1"/>
          </rPr>
          <t xml:space="preserve">240620 – 2023
</t>
        </r>
      </text>
    </comment>
    <comment ref="F28" authorId="0">
      <text>
        <r>
          <rPr>
            <sz val="10"/>
            <rFont val="Arial"/>
            <family val="2"/>
            <charset val="1"/>
          </rPr>
          <t xml:space="preserve">240529 – 2023
</t>
        </r>
      </text>
    </comment>
    <comment ref="F29" authorId="0">
      <text>
        <r>
          <rPr>
            <sz val="10"/>
            <rFont val="Arial"/>
            <family val="2"/>
            <charset val="1"/>
          </rPr>
          <t xml:space="preserve">240521 – 2023
</t>
        </r>
      </text>
    </comment>
    <comment ref="F30" authorId="0">
      <text>
        <r>
          <rPr>
            <sz val="10"/>
            <rFont val="Arial"/>
            <family val="2"/>
            <charset val="1"/>
          </rPr>
          <t xml:space="preserve">240515 – 2023
</t>
        </r>
      </text>
    </comment>
    <comment ref="F34" authorId="0">
      <text>
        <r>
          <rPr>
            <sz val="10"/>
            <rFont val="Arial"/>
            <family val="2"/>
            <charset val="1"/>
          </rPr>
          <t xml:space="preserve">240530 - 2023</t>
        </r>
      </text>
    </comment>
    <comment ref="F35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37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38" authorId="0">
      <text>
        <r>
          <rPr>
            <sz val="10"/>
            <rFont val="Arial"/>
            <family val="2"/>
            <charset val="1"/>
          </rPr>
          <t xml:space="preserve">240523 - 2024</t>
        </r>
      </text>
    </comment>
    <comment ref="F39" authorId="0">
      <text>
        <r>
          <rPr>
            <sz val="10"/>
            <rFont val="Arial"/>
            <family val="2"/>
            <charset val="1"/>
          </rPr>
          <t xml:space="preserve">240529 - 2023</t>
        </r>
      </text>
    </comment>
    <comment ref="F40" authorId="0">
      <text>
        <r>
          <rPr>
            <sz val="10"/>
            <rFont val="Arial"/>
            <family val="2"/>
            <charset val="1"/>
          </rPr>
          <t xml:space="preserve">240531 - 2024</t>
        </r>
      </text>
    </comment>
    <comment ref="F41" authorId="0">
      <text>
        <r>
          <rPr>
            <sz val="10"/>
            <rFont val="Arial"/>
            <family val="2"/>
            <charset val="1"/>
          </rPr>
          <t xml:space="preserve">240523 - 2023</t>
        </r>
      </text>
    </comment>
    <comment ref="F42" authorId="0">
      <text>
        <r>
          <rPr>
            <sz val="10"/>
            <rFont val="Arial"/>
            <family val="2"/>
            <charset val="1"/>
          </rPr>
          <t xml:space="preserve">240507 - 2023</t>
        </r>
      </text>
    </comment>
    <comment ref="F43" authorId="0">
      <text>
        <r>
          <rPr>
            <sz val="10"/>
            <rFont val="Arial"/>
            <family val="2"/>
            <charset val="1"/>
          </rPr>
          <t xml:space="preserve">240426 - 2023</t>
        </r>
      </text>
    </comment>
    <comment ref="F45" authorId="0">
      <text>
        <r>
          <rPr>
            <sz val="10"/>
            <rFont val="Arial"/>
            <family val="2"/>
            <charset val="1"/>
          </rPr>
          <t xml:space="preserve">240530 - 2023</t>
        </r>
      </text>
    </comment>
    <comment ref="F46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48" authorId="0">
      <text>
        <r>
          <rPr>
            <sz val="10"/>
            <rFont val="Arial"/>
            <family val="2"/>
            <charset val="1"/>
          </rPr>
          <t xml:space="preserve">240523 – 2023
</t>
        </r>
      </text>
    </comment>
    <comment ref="F49" authorId="0">
      <text>
        <r>
          <rPr>
            <sz val="10"/>
            <rFont val="Arial"/>
            <family val="2"/>
            <charset val="1"/>
          </rPr>
          <t xml:space="preserve">240426 -2023</t>
        </r>
      </text>
    </comment>
    <comment ref="F51" authorId="0">
      <text>
        <r>
          <rPr>
            <sz val="10"/>
            <rFont val="Arial"/>
            <family val="2"/>
            <charset val="1"/>
          </rPr>
          <t xml:space="preserve">240531 – 2023
</t>
        </r>
      </text>
    </comment>
    <comment ref="F52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54" authorId="0">
      <text>
        <r>
          <rPr>
            <sz val="10"/>
            <rFont val="Arial"/>
            <family val="2"/>
            <charset val="1"/>
          </rPr>
          <t xml:space="preserve">240531 – 2023
</t>
        </r>
      </text>
    </comment>
    <comment ref="F56" authorId="0">
      <text>
        <r>
          <rPr>
            <sz val="10"/>
            <rFont val="Arial"/>
            <family val="2"/>
            <charset val="1"/>
          </rPr>
          <t xml:space="preserve">240530 – 2023
</t>
        </r>
      </text>
    </comment>
    <comment ref="F57" authorId="0">
      <text>
        <r>
          <rPr>
            <sz val="10"/>
            <rFont val="Arial"/>
            <family val="2"/>
            <charset val="1"/>
          </rPr>
          <t xml:space="preserve">240620 – 2023
</t>
        </r>
      </text>
    </comment>
    <comment ref="F58" authorId="0">
      <text>
        <r>
          <rPr>
            <sz val="10"/>
            <rFont val="Arial"/>
            <family val="2"/>
            <charset val="1"/>
          </rPr>
          <t xml:space="preserve">240529 – 2023
</t>
        </r>
      </text>
    </comment>
    <comment ref="F59" authorId="0">
      <text>
        <r>
          <rPr>
            <sz val="10"/>
            <rFont val="Arial"/>
            <family val="2"/>
            <charset val="1"/>
          </rPr>
          <t xml:space="preserve">240521 – 2023
</t>
        </r>
      </text>
    </comment>
    <comment ref="F60" authorId="0">
      <text>
        <r>
          <rPr>
            <sz val="10"/>
            <rFont val="Arial"/>
            <family val="2"/>
            <charset val="1"/>
          </rPr>
          <t xml:space="preserve">240515 – 2023
</t>
        </r>
      </text>
    </comment>
    <comment ref="F64" authorId="0">
      <text>
        <r>
          <rPr>
            <sz val="10"/>
            <rFont val="Arial"/>
            <family val="2"/>
            <charset val="1"/>
          </rPr>
          <t xml:space="preserve">240530 - 2023</t>
        </r>
      </text>
    </comment>
    <comment ref="F65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67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68" authorId="0">
      <text>
        <r>
          <rPr>
            <sz val="10"/>
            <rFont val="Arial"/>
            <family val="2"/>
            <charset val="1"/>
          </rPr>
          <t xml:space="preserve">240523 - 2024</t>
        </r>
      </text>
    </comment>
    <comment ref="F69" authorId="0">
      <text>
        <r>
          <rPr>
            <sz val="10"/>
            <rFont val="Arial"/>
            <family val="2"/>
            <charset val="1"/>
          </rPr>
          <t xml:space="preserve">240529 - 2023</t>
        </r>
      </text>
    </comment>
    <comment ref="F70" authorId="0">
      <text>
        <r>
          <rPr>
            <sz val="10"/>
            <rFont val="Arial"/>
            <family val="2"/>
            <charset val="1"/>
          </rPr>
          <t xml:space="preserve">240531 - 2024</t>
        </r>
      </text>
    </comment>
    <comment ref="F71" authorId="0">
      <text>
        <r>
          <rPr>
            <sz val="10"/>
            <rFont val="Arial"/>
            <family val="2"/>
            <charset val="1"/>
          </rPr>
          <t xml:space="preserve">240523 - 2023</t>
        </r>
      </text>
    </comment>
    <comment ref="F72" authorId="0">
      <text>
        <r>
          <rPr>
            <sz val="10"/>
            <rFont val="Arial"/>
            <family val="2"/>
            <charset val="1"/>
          </rPr>
          <t xml:space="preserve">240507 - 2023</t>
        </r>
      </text>
    </comment>
    <comment ref="F73" authorId="0">
      <text>
        <r>
          <rPr>
            <sz val="10"/>
            <rFont val="Arial"/>
            <family val="2"/>
            <charset val="1"/>
          </rPr>
          <t xml:space="preserve">240426 - 2023</t>
        </r>
      </text>
    </comment>
    <comment ref="F75" authorId="0">
      <text>
        <r>
          <rPr>
            <sz val="10"/>
            <rFont val="Arial"/>
            <family val="2"/>
            <charset val="1"/>
          </rPr>
          <t xml:space="preserve">240530 - 2023</t>
        </r>
      </text>
    </comment>
    <comment ref="F76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78" authorId="0">
      <text>
        <r>
          <rPr>
            <sz val="10"/>
            <rFont val="Arial"/>
            <family val="2"/>
            <charset val="1"/>
          </rPr>
          <t xml:space="preserve">240523 – 2023
</t>
        </r>
      </text>
    </comment>
    <comment ref="F79" authorId="0">
      <text>
        <r>
          <rPr>
            <sz val="10"/>
            <rFont val="Arial"/>
            <family val="2"/>
            <charset val="1"/>
          </rPr>
          <t xml:space="preserve">240426 -2023</t>
        </r>
      </text>
    </comment>
    <comment ref="F81" authorId="0">
      <text>
        <r>
          <rPr>
            <sz val="10"/>
            <rFont val="Arial"/>
            <family val="2"/>
            <charset val="1"/>
          </rPr>
          <t xml:space="preserve">240531 – 2023
</t>
        </r>
      </text>
    </comment>
    <comment ref="F82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84" authorId="0">
      <text>
        <r>
          <rPr>
            <sz val="10"/>
            <rFont val="Arial"/>
            <family val="2"/>
            <charset val="1"/>
          </rPr>
          <t xml:space="preserve">240531 – 2023
</t>
        </r>
      </text>
    </comment>
    <comment ref="F86" authorId="0">
      <text>
        <r>
          <rPr>
            <sz val="10"/>
            <rFont val="Arial"/>
            <family val="2"/>
            <charset val="1"/>
          </rPr>
          <t xml:space="preserve">240530 – 2023
</t>
        </r>
      </text>
    </comment>
    <comment ref="F87" authorId="0">
      <text>
        <r>
          <rPr>
            <sz val="10"/>
            <rFont val="Arial"/>
            <family val="2"/>
            <charset val="1"/>
          </rPr>
          <t xml:space="preserve">240620 – 2023
</t>
        </r>
      </text>
    </comment>
    <comment ref="F88" authorId="0">
      <text>
        <r>
          <rPr>
            <sz val="10"/>
            <rFont val="Arial"/>
            <family val="2"/>
            <charset val="1"/>
          </rPr>
          <t xml:space="preserve">240529 – 2023
</t>
        </r>
      </text>
    </comment>
    <comment ref="F89" authorId="0">
      <text>
        <r>
          <rPr>
            <sz val="10"/>
            <rFont val="Arial"/>
            <family val="2"/>
            <charset val="1"/>
          </rPr>
          <t xml:space="preserve">240521 – 2023
</t>
        </r>
      </text>
    </comment>
    <comment ref="F90" authorId="0">
      <text>
        <r>
          <rPr>
            <sz val="10"/>
            <rFont val="Arial"/>
            <family val="2"/>
            <charset val="1"/>
          </rPr>
          <t xml:space="preserve">240515 – 2023
</t>
        </r>
      </text>
    </comment>
    <comment ref="F94" authorId="0">
      <text>
        <r>
          <rPr>
            <sz val="10"/>
            <rFont val="Arial"/>
            <family val="2"/>
            <charset val="1"/>
          </rPr>
          <t xml:space="preserve">240530 - 2023</t>
        </r>
      </text>
    </comment>
    <comment ref="F95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97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98" authorId="0">
      <text>
        <r>
          <rPr>
            <sz val="10"/>
            <rFont val="Arial"/>
            <family val="2"/>
            <charset val="1"/>
          </rPr>
          <t xml:space="preserve">240523 - 2024</t>
        </r>
      </text>
    </comment>
    <comment ref="F99" authorId="0">
      <text>
        <r>
          <rPr>
            <sz val="10"/>
            <rFont val="Arial"/>
            <family val="2"/>
            <charset val="1"/>
          </rPr>
          <t xml:space="preserve">240529 - 2023</t>
        </r>
      </text>
    </comment>
    <comment ref="F100" authorId="0">
      <text>
        <r>
          <rPr>
            <sz val="10"/>
            <rFont val="Arial"/>
            <family val="2"/>
            <charset val="1"/>
          </rPr>
          <t xml:space="preserve">240531 - 2024</t>
        </r>
      </text>
    </comment>
    <comment ref="F101" authorId="0">
      <text>
        <r>
          <rPr>
            <sz val="10"/>
            <rFont val="Arial"/>
            <family val="2"/>
            <charset val="1"/>
          </rPr>
          <t xml:space="preserve">240523 - 2023</t>
        </r>
      </text>
    </comment>
    <comment ref="F102" authorId="0">
      <text>
        <r>
          <rPr>
            <sz val="10"/>
            <rFont val="Arial"/>
            <family val="2"/>
            <charset val="1"/>
          </rPr>
          <t xml:space="preserve">240507 - 2023</t>
        </r>
      </text>
    </comment>
    <comment ref="F103" authorId="0">
      <text>
        <r>
          <rPr>
            <sz val="10"/>
            <rFont val="Arial"/>
            <family val="2"/>
            <charset val="1"/>
          </rPr>
          <t xml:space="preserve">240426 - 2023</t>
        </r>
      </text>
    </comment>
    <comment ref="F105" authorId="0">
      <text>
        <r>
          <rPr>
            <sz val="10"/>
            <rFont val="Arial"/>
            <family val="2"/>
            <charset val="1"/>
          </rPr>
          <t xml:space="preserve">240530 - 2023</t>
        </r>
      </text>
    </comment>
    <comment ref="F106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108" authorId="0">
      <text>
        <r>
          <rPr>
            <sz val="10"/>
            <rFont val="Arial"/>
            <family val="2"/>
            <charset val="1"/>
          </rPr>
          <t xml:space="preserve">240523 – 2023
</t>
        </r>
      </text>
    </comment>
    <comment ref="F109" authorId="0">
      <text>
        <r>
          <rPr>
            <sz val="10"/>
            <rFont val="Arial"/>
            <family val="2"/>
            <charset val="1"/>
          </rPr>
          <t xml:space="preserve">240426 -2023</t>
        </r>
      </text>
    </comment>
    <comment ref="F111" authorId="0">
      <text>
        <r>
          <rPr>
            <sz val="10"/>
            <rFont val="Arial"/>
            <family val="2"/>
            <charset val="1"/>
          </rPr>
          <t xml:space="preserve">240531 – 2023
</t>
        </r>
      </text>
    </comment>
    <comment ref="F112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114" authorId="0">
      <text>
        <r>
          <rPr>
            <sz val="10"/>
            <rFont val="Arial"/>
            <family val="2"/>
            <charset val="1"/>
          </rPr>
          <t xml:space="preserve">240531 – 2023
</t>
        </r>
      </text>
    </comment>
    <comment ref="F116" authorId="0">
      <text>
        <r>
          <rPr>
            <sz val="10"/>
            <rFont val="Arial"/>
            <family val="2"/>
            <charset val="1"/>
          </rPr>
          <t xml:space="preserve">240530 – 2023
</t>
        </r>
      </text>
    </comment>
    <comment ref="F117" authorId="0">
      <text>
        <r>
          <rPr>
            <sz val="10"/>
            <rFont val="Arial"/>
            <family val="2"/>
            <charset val="1"/>
          </rPr>
          <t xml:space="preserve">240620 – 2023
</t>
        </r>
      </text>
    </comment>
    <comment ref="F118" authorId="0">
      <text>
        <r>
          <rPr>
            <sz val="10"/>
            <rFont val="Arial"/>
            <family val="2"/>
            <charset val="1"/>
          </rPr>
          <t xml:space="preserve">240529 – 2023
</t>
        </r>
      </text>
    </comment>
    <comment ref="F119" authorId="0">
      <text>
        <r>
          <rPr>
            <sz val="10"/>
            <rFont val="Arial"/>
            <family val="2"/>
            <charset val="1"/>
          </rPr>
          <t xml:space="preserve">240521 – 2023
</t>
        </r>
      </text>
    </comment>
    <comment ref="F120" authorId="0">
      <text>
        <r>
          <rPr>
            <sz val="10"/>
            <rFont val="Arial"/>
            <family val="2"/>
            <charset val="1"/>
          </rPr>
          <t xml:space="preserve">240515 – 2023
</t>
        </r>
      </text>
    </comment>
    <comment ref="F124" authorId="0">
      <text>
        <r>
          <rPr>
            <sz val="10"/>
            <rFont val="Arial"/>
            <family val="2"/>
            <charset val="1"/>
          </rPr>
          <t xml:space="preserve">240530 - 2023</t>
        </r>
      </text>
    </comment>
    <comment ref="F125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127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128" authorId="0">
      <text>
        <r>
          <rPr>
            <sz val="10"/>
            <rFont val="Arial"/>
            <family val="2"/>
            <charset val="1"/>
          </rPr>
          <t xml:space="preserve">240523 - 2024</t>
        </r>
      </text>
    </comment>
    <comment ref="F129" authorId="0">
      <text>
        <r>
          <rPr>
            <sz val="10"/>
            <rFont val="Arial"/>
            <family val="2"/>
            <charset val="1"/>
          </rPr>
          <t xml:space="preserve">240529 - 2023</t>
        </r>
      </text>
    </comment>
    <comment ref="F130" authorId="0">
      <text>
        <r>
          <rPr>
            <sz val="10"/>
            <rFont val="Arial"/>
            <family val="2"/>
            <charset val="1"/>
          </rPr>
          <t xml:space="preserve">240531 - 2024</t>
        </r>
      </text>
    </comment>
    <comment ref="F131" authorId="0">
      <text>
        <r>
          <rPr>
            <sz val="10"/>
            <rFont val="Arial"/>
            <family val="2"/>
            <charset val="1"/>
          </rPr>
          <t xml:space="preserve">240523 - 2023</t>
        </r>
      </text>
    </comment>
    <comment ref="F132" authorId="0">
      <text>
        <r>
          <rPr>
            <sz val="10"/>
            <rFont val="Arial"/>
            <family val="2"/>
            <charset val="1"/>
          </rPr>
          <t xml:space="preserve">240507 - 2023</t>
        </r>
      </text>
    </comment>
    <comment ref="F133" authorId="0">
      <text>
        <r>
          <rPr>
            <sz val="10"/>
            <rFont val="Arial"/>
            <family val="2"/>
            <charset val="1"/>
          </rPr>
          <t xml:space="preserve">240426 - 2023</t>
        </r>
      </text>
    </comment>
    <comment ref="F135" authorId="0">
      <text>
        <r>
          <rPr>
            <sz val="10"/>
            <rFont val="Arial"/>
            <family val="2"/>
            <charset val="1"/>
          </rPr>
          <t xml:space="preserve">240530 - 2023</t>
        </r>
      </text>
    </comment>
    <comment ref="F136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138" authorId="0">
      <text>
        <r>
          <rPr>
            <sz val="10"/>
            <rFont val="Arial"/>
            <family val="2"/>
            <charset val="1"/>
          </rPr>
          <t xml:space="preserve">240523 – 2023
</t>
        </r>
      </text>
    </comment>
    <comment ref="F139" authorId="0">
      <text>
        <r>
          <rPr>
            <sz val="10"/>
            <rFont val="Arial"/>
            <family val="2"/>
            <charset val="1"/>
          </rPr>
          <t xml:space="preserve">240426 -2023</t>
        </r>
      </text>
    </comment>
    <comment ref="F141" authorId="0">
      <text>
        <r>
          <rPr>
            <sz val="10"/>
            <rFont val="Arial"/>
            <family val="2"/>
            <charset val="1"/>
          </rPr>
          <t xml:space="preserve">240531 – 2023
</t>
        </r>
      </text>
    </comment>
    <comment ref="F142" authorId="0">
      <text>
        <r>
          <rPr>
            <sz val="10"/>
            <rFont val="Arial"/>
            <family val="2"/>
            <charset val="1"/>
          </rPr>
          <t xml:space="preserve">240531 - 2023</t>
        </r>
      </text>
    </comment>
    <comment ref="F144" authorId="0">
      <text>
        <r>
          <rPr>
            <sz val="10"/>
            <rFont val="Arial"/>
            <family val="2"/>
            <charset val="1"/>
          </rPr>
          <t xml:space="preserve">240531 – 2023
</t>
        </r>
      </text>
    </comment>
    <comment ref="F146" authorId="0">
      <text>
        <r>
          <rPr>
            <sz val="10"/>
            <rFont val="Arial"/>
            <family val="2"/>
            <charset val="1"/>
          </rPr>
          <t xml:space="preserve">240530 – 2023
</t>
        </r>
      </text>
    </comment>
    <comment ref="F147" authorId="0">
      <text>
        <r>
          <rPr>
            <sz val="10"/>
            <rFont val="Arial"/>
            <family val="2"/>
            <charset val="1"/>
          </rPr>
          <t xml:space="preserve">240620 – 2023
</t>
        </r>
      </text>
    </comment>
    <comment ref="F148" authorId="0">
      <text>
        <r>
          <rPr>
            <sz val="10"/>
            <rFont val="Arial"/>
            <family val="2"/>
            <charset val="1"/>
          </rPr>
          <t xml:space="preserve">240529 – 2023
</t>
        </r>
      </text>
    </comment>
    <comment ref="F149" authorId="0">
      <text>
        <r>
          <rPr>
            <sz val="10"/>
            <rFont val="Arial"/>
            <family val="2"/>
            <charset val="1"/>
          </rPr>
          <t xml:space="preserve">240521 – 2023
</t>
        </r>
      </text>
    </comment>
    <comment ref="F150" authorId="0">
      <text>
        <r>
          <rPr>
            <sz val="10"/>
            <rFont val="Arial"/>
            <family val="2"/>
            <charset val="1"/>
          </rPr>
          <t xml:space="preserve">240515 – 2023
</t>
        </r>
      </text>
    </comment>
    <comment ref="G6" authorId="0">
      <text>
        <r>
          <rPr>
            <sz val="10"/>
            <rFont val="Arial"/>
            <family val="2"/>
            <charset val="1"/>
          </rPr>
          <t xml:space="preserve">230401 – 2023
</t>
        </r>
      </text>
    </comment>
    <comment ref="G14" authorId="0">
      <text>
        <r>
          <rPr>
            <sz val="10"/>
            <rFont val="Arial"/>
            <family val="2"/>
            <charset val="1"/>
          </rPr>
          <t xml:space="preserve">240417 - 2023</t>
        </r>
      </text>
    </comment>
    <comment ref="G36" authorId="0">
      <text>
        <r>
          <rPr>
            <sz val="10"/>
            <rFont val="Arial"/>
            <family val="2"/>
            <charset val="1"/>
          </rPr>
          <t xml:space="preserve">230401 – 2023
</t>
        </r>
      </text>
    </comment>
    <comment ref="G44" authorId="0">
      <text>
        <r>
          <rPr>
            <sz val="10"/>
            <rFont val="Arial"/>
            <family val="2"/>
            <charset val="1"/>
          </rPr>
          <t xml:space="preserve">240417 - 2023</t>
        </r>
      </text>
    </comment>
    <comment ref="G66" authorId="0">
      <text>
        <r>
          <rPr>
            <sz val="10"/>
            <rFont val="Arial"/>
            <family val="2"/>
            <charset val="1"/>
          </rPr>
          <t xml:space="preserve">230401 – 2023
</t>
        </r>
      </text>
    </comment>
    <comment ref="G74" authorId="0">
      <text>
        <r>
          <rPr>
            <sz val="10"/>
            <rFont val="Arial"/>
            <family val="2"/>
            <charset val="1"/>
          </rPr>
          <t xml:space="preserve">240417 - 2023</t>
        </r>
      </text>
    </comment>
    <comment ref="G96" authorId="0">
      <text>
        <r>
          <rPr>
            <sz val="10"/>
            <rFont val="Arial"/>
            <family val="2"/>
            <charset val="1"/>
          </rPr>
          <t xml:space="preserve">230401 – 2023
</t>
        </r>
      </text>
    </comment>
    <comment ref="G104" authorId="0">
      <text>
        <r>
          <rPr>
            <sz val="10"/>
            <rFont val="Arial"/>
            <family val="2"/>
            <charset val="1"/>
          </rPr>
          <t xml:space="preserve">240417 - 2023</t>
        </r>
      </text>
    </comment>
    <comment ref="G126" authorId="0">
      <text>
        <r>
          <rPr>
            <sz val="10"/>
            <rFont val="Arial"/>
            <family val="2"/>
            <charset val="1"/>
          </rPr>
          <t xml:space="preserve">230401 – 2023
</t>
        </r>
      </text>
    </comment>
    <comment ref="G134" authorId="0">
      <text>
        <r>
          <rPr>
            <sz val="10"/>
            <rFont val="Arial"/>
            <family val="2"/>
            <charset val="1"/>
          </rPr>
          <t xml:space="preserve">240417 - 2023</t>
        </r>
      </text>
    </comment>
    <comment ref="H3" authorId="0">
      <text>
        <r>
          <rPr>
            <sz val="10"/>
            <rFont val="Arial"/>
            <family val="2"/>
            <charset val="1"/>
          </rPr>
          <t xml:space="preserve">27.03.24 – 2023
</t>
        </r>
      </text>
    </comment>
    <comment ref="H17" authorId="0">
      <text>
        <r>
          <rPr>
            <sz val="10"/>
            <rFont val="Arial"/>
            <family val="2"/>
            <charset val="1"/>
          </rPr>
          <t xml:space="preserve">240329 - 2023</t>
        </r>
      </text>
    </comment>
    <comment ref="H33" authorId="0">
      <text>
        <r>
          <rPr>
            <sz val="10"/>
            <rFont val="Arial"/>
            <family val="2"/>
            <charset val="1"/>
          </rPr>
          <t xml:space="preserve">27.03.24 – 2023
</t>
        </r>
      </text>
    </comment>
    <comment ref="H47" authorId="0">
      <text>
        <r>
          <rPr>
            <sz val="10"/>
            <rFont val="Arial"/>
            <family val="2"/>
            <charset val="1"/>
          </rPr>
          <t xml:space="preserve">240329 - 2023</t>
        </r>
      </text>
    </comment>
    <comment ref="H63" authorId="0">
      <text>
        <r>
          <rPr>
            <sz val="10"/>
            <rFont val="Arial"/>
            <family val="2"/>
            <charset val="1"/>
          </rPr>
          <t xml:space="preserve">27.03.24 – 2023
</t>
        </r>
      </text>
    </comment>
    <comment ref="H77" authorId="0">
      <text>
        <r>
          <rPr>
            <sz val="10"/>
            <rFont val="Arial"/>
            <family val="2"/>
            <charset val="1"/>
          </rPr>
          <t xml:space="preserve">240329 - 2023</t>
        </r>
      </text>
    </comment>
    <comment ref="H93" authorId="0">
      <text>
        <r>
          <rPr>
            <sz val="10"/>
            <rFont val="Arial"/>
            <family val="2"/>
            <charset val="1"/>
          </rPr>
          <t xml:space="preserve">27.03.24 – 2023
</t>
        </r>
      </text>
    </comment>
    <comment ref="H107" authorId="0">
      <text>
        <r>
          <rPr>
            <sz val="10"/>
            <rFont val="Arial"/>
            <family val="2"/>
            <charset val="1"/>
          </rPr>
          <t xml:space="preserve">240329 - 2023</t>
        </r>
      </text>
    </comment>
    <comment ref="H123" authorId="0">
      <text>
        <r>
          <rPr>
            <sz val="10"/>
            <rFont val="Arial"/>
            <family val="2"/>
            <charset val="1"/>
          </rPr>
          <t xml:space="preserve">27.03.24 – 2023
</t>
        </r>
      </text>
    </comment>
    <comment ref="H137" authorId="0">
      <text>
        <r>
          <rPr>
            <sz val="10"/>
            <rFont val="Arial"/>
            <family val="2"/>
            <charset val="1"/>
          </rPr>
          <t xml:space="preserve">240329 - 2023</t>
        </r>
      </text>
    </comment>
    <comment ref="I20" authorId="0">
      <text>
        <r>
          <rPr>
            <sz val="10"/>
            <rFont val="Arial"/>
            <family val="2"/>
            <charset val="1"/>
          </rPr>
          <t xml:space="preserve">240314 - 2023</t>
        </r>
      </text>
    </comment>
    <comment ref="I50" authorId="0">
      <text>
        <r>
          <rPr>
            <sz val="10"/>
            <rFont val="Arial"/>
            <family val="2"/>
            <charset val="1"/>
          </rPr>
          <t xml:space="preserve">240314 - 2023</t>
        </r>
      </text>
    </comment>
    <comment ref="I80" authorId="0">
      <text>
        <r>
          <rPr>
            <sz val="10"/>
            <rFont val="Arial"/>
            <family val="2"/>
            <charset val="1"/>
          </rPr>
          <t xml:space="preserve">240314 - 2023</t>
        </r>
      </text>
    </comment>
    <comment ref="I110" authorId="0">
      <text>
        <r>
          <rPr>
            <sz val="10"/>
            <rFont val="Arial"/>
            <family val="2"/>
            <charset val="1"/>
          </rPr>
          <t xml:space="preserve">240314 - 2023</t>
        </r>
      </text>
    </comment>
    <comment ref="I140" authorId="0">
      <text>
        <r>
          <rPr>
            <sz val="10"/>
            <rFont val="Arial"/>
            <family val="2"/>
            <charset val="1"/>
          </rPr>
          <t xml:space="preserve">240314 - 2023</t>
        </r>
      </text>
    </comment>
    <comment ref="K1" authorId="0">
      <text>
        <r>
          <rPr>
            <sz val="10"/>
            <rFont val="Arial"/>
            <family val="2"/>
            <charset val="1"/>
          </rPr>
          <t xml:space="preserve">07 Ocb. Not trading day
Controlling power of the acknowledge territory of Israel is in Conflict/ War with the East Bank/Gaza.
Had to clarify as there are disputes in the naming of the whole action. There is an naming dispute at the Wikipedia page. That’s why had to include it</t>
        </r>
      </text>
    </comment>
    <comment ref="O4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5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6" authorId="0">
      <text>
        <r>
          <rPr>
            <sz val="10"/>
            <rFont val="Arial"/>
            <family val="2"/>
            <charset val="1"/>
          </rPr>
          <t xml:space="preserve">230403 - 2022</t>
        </r>
      </text>
    </comment>
    <comment ref="O7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8" authorId="0">
      <text>
        <r>
          <rPr>
            <sz val="10"/>
            <rFont val="Arial"/>
            <family val="2"/>
            <charset val="1"/>
          </rPr>
          <t xml:space="preserve">230516 - 2022</t>
        </r>
      </text>
    </comment>
    <comment ref="O9" authorId="0">
      <text>
        <r>
          <rPr>
            <sz val="10"/>
            <rFont val="Arial"/>
            <family val="2"/>
            <charset val="1"/>
          </rPr>
          <t xml:space="preserve">230531 – 2023
</t>
        </r>
      </text>
    </comment>
    <comment ref="O10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11" authorId="0">
      <text>
        <r>
          <rPr>
            <sz val="10"/>
            <rFont val="Arial"/>
            <family val="2"/>
            <charset val="1"/>
          </rPr>
          <t xml:space="preserve">230530 - 2023</t>
        </r>
      </text>
    </comment>
    <comment ref="O12" authorId="0">
      <text>
        <r>
          <rPr>
            <sz val="10"/>
            <rFont val="Arial"/>
            <family val="2"/>
            <charset val="1"/>
          </rPr>
          <t xml:space="preserve">230504 - 2022</t>
        </r>
      </text>
    </comment>
    <comment ref="O13" authorId="0">
      <text>
        <r>
          <rPr>
            <sz val="10"/>
            <rFont val="Arial"/>
            <family val="2"/>
            <charset val="1"/>
          </rPr>
          <t xml:space="preserve">230427 – 2022
</t>
        </r>
      </text>
    </comment>
    <comment ref="O14" authorId="0">
      <text>
        <r>
          <rPr>
            <sz val="10"/>
            <rFont val="Arial"/>
            <family val="2"/>
            <charset val="1"/>
          </rPr>
          <t xml:space="preserve">230419 - 2022</t>
        </r>
      </text>
    </comment>
    <comment ref="O15" authorId="0">
      <text>
        <r>
          <rPr>
            <sz val="10"/>
            <rFont val="Arial"/>
            <family val="2"/>
            <charset val="1"/>
          </rPr>
          <t xml:space="preserve">250531 - 2022</t>
        </r>
      </text>
    </comment>
    <comment ref="O16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18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19" authorId="0">
      <text>
        <r>
          <rPr>
            <sz val="10"/>
            <rFont val="Arial"/>
            <family val="2"/>
            <charset val="1"/>
          </rPr>
          <t xml:space="preserve">230504 - 2022</t>
        </r>
      </text>
    </comment>
    <comment ref="O21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22" authorId="0">
      <text>
        <r>
          <rPr>
            <sz val="10"/>
            <rFont val="Arial"/>
            <family val="2"/>
            <charset val="1"/>
          </rPr>
          <t xml:space="preserve">230512 - 2022</t>
        </r>
      </text>
    </comment>
    <comment ref="O23" authorId="0">
      <text>
        <r>
          <rPr>
            <sz val="10"/>
            <rFont val="Arial"/>
            <family val="2"/>
            <charset val="1"/>
          </rPr>
          <t xml:space="preserve">230515 – 2022
</t>
        </r>
      </text>
    </comment>
    <comment ref="O24" authorId="0">
      <text>
        <r>
          <rPr>
            <sz val="10"/>
            <rFont val="Arial"/>
            <family val="2"/>
            <charset val="1"/>
          </rPr>
          <t xml:space="preserve">230427 – 2022
</t>
        </r>
      </text>
    </comment>
    <comment ref="O25" authorId="0">
      <text>
        <r>
          <rPr>
            <sz val="10"/>
            <rFont val="Arial"/>
            <family val="2"/>
            <charset val="1"/>
          </rPr>
          <t xml:space="preserve">230607 – 2022
</t>
        </r>
      </text>
    </comment>
    <comment ref="O26" authorId="0">
      <text>
        <r>
          <rPr>
            <sz val="10"/>
            <rFont val="Arial"/>
            <family val="2"/>
            <charset val="1"/>
          </rPr>
          <t xml:space="preserve">230526 – 2022
</t>
        </r>
      </text>
    </comment>
    <comment ref="O27" authorId="0">
      <text>
        <r>
          <rPr>
            <sz val="10"/>
            <rFont val="Arial"/>
            <family val="2"/>
            <charset val="1"/>
          </rPr>
          <t xml:space="preserve">230505 – 2022
</t>
        </r>
      </text>
    </comment>
    <comment ref="O28" authorId="0">
      <text>
        <r>
          <rPr>
            <sz val="10"/>
            <rFont val="Arial"/>
            <family val="2"/>
            <charset val="1"/>
          </rPr>
          <t xml:space="preserve">230526 – 2022
</t>
        </r>
      </text>
    </comment>
    <comment ref="O29" authorId="0">
      <text>
        <r>
          <rPr>
            <sz val="10"/>
            <rFont val="Arial"/>
            <family val="2"/>
            <charset val="1"/>
          </rPr>
          <t xml:space="preserve">230516 – 2022
</t>
        </r>
      </text>
    </comment>
    <comment ref="O30" authorId="0">
      <text>
        <r>
          <rPr>
            <sz val="10"/>
            <rFont val="Arial"/>
            <family val="2"/>
            <charset val="1"/>
          </rPr>
          <t xml:space="preserve">230512 – 2022
</t>
        </r>
      </text>
    </comment>
    <comment ref="O34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35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36" authorId="0">
      <text>
        <r>
          <rPr>
            <sz val="10"/>
            <rFont val="Arial"/>
            <family val="2"/>
            <charset val="1"/>
          </rPr>
          <t xml:space="preserve">230403 - 2022</t>
        </r>
      </text>
    </comment>
    <comment ref="O37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38" authorId="0">
      <text>
        <r>
          <rPr>
            <sz val="10"/>
            <rFont val="Arial"/>
            <family val="2"/>
            <charset val="1"/>
          </rPr>
          <t xml:space="preserve">230516 - 2022</t>
        </r>
      </text>
    </comment>
    <comment ref="O39" authorId="0">
      <text>
        <r>
          <rPr>
            <sz val="10"/>
            <rFont val="Arial"/>
            <family val="2"/>
            <charset val="1"/>
          </rPr>
          <t xml:space="preserve">230531 – 2023
</t>
        </r>
      </text>
    </comment>
    <comment ref="O40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41" authorId="0">
      <text>
        <r>
          <rPr>
            <sz val="10"/>
            <rFont val="Arial"/>
            <family val="2"/>
            <charset val="1"/>
          </rPr>
          <t xml:space="preserve">230530 - 2023</t>
        </r>
      </text>
    </comment>
    <comment ref="O42" authorId="0">
      <text>
        <r>
          <rPr>
            <sz val="10"/>
            <rFont val="Arial"/>
            <family val="2"/>
            <charset val="1"/>
          </rPr>
          <t xml:space="preserve">230504 - 2022</t>
        </r>
      </text>
    </comment>
    <comment ref="O43" authorId="0">
      <text>
        <r>
          <rPr>
            <sz val="10"/>
            <rFont val="Arial"/>
            <family val="2"/>
            <charset val="1"/>
          </rPr>
          <t xml:space="preserve">230427 – 2022
</t>
        </r>
      </text>
    </comment>
    <comment ref="O44" authorId="0">
      <text>
        <r>
          <rPr>
            <sz val="10"/>
            <rFont val="Arial"/>
            <family val="2"/>
            <charset val="1"/>
          </rPr>
          <t xml:space="preserve">230419 - 2022</t>
        </r>
      </text>
    </comment>
    <comment ref="O45" authorId="0">
      <text>
        <r>
          <rPr>
            <sz val="10"/>
            <rFont val="Arial"/>
            <family val="2"/>
            <charset val="1"/>
          </rPr>
          <t xml:space="preserve">250531 - 2022</t>
        </r>
      </text>
    </comment>
    <comment ref="O46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48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49" authorId="0">
      <text>
        <r>
          <rPr>
            <sz val="10"/>
            <rFont val="Arial"/>
            <family val="2"/>
            <charset val="1"/>
          </rPr>
          <t xml:space="preserve">230504 - 2022</t>
        </r>
      </text>
    </comment>
    <comment ref="O51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52" authorId="0">
      <text>
        <r>
          <rPr>
            <sz val="10"/>
            <rFont val="Arial"/>
            <family val="2"/>
            <charset val="1"/>
          </rPr>
          <t xml:space="preserve">230512 - 2022</t>
        </r>
      </text>
    </comment>
    <comment ref="O53" authorId="0">
      <text>
        <r>
          <rPr>
            <sz val="10"/>
            <rFont val="Arial"/>
            <family val="2"/>
            <charset val="1"/>
          </rPr>
          <t xml:space="preserve">230515 – 2022
</t>
        </r>
      </text>
    </comment>
    <comment ref="O54" authorId="0">
      <text>
        <r>
          <rPr>
            <sz val="10"/>
            <rFont val="Arial"/>
            <family val="2"/>
            <charset val="1"/>
          </rPr>
          <t xml:space="preserve">230427 – 2022
</t>
        </r>
      </text>
    </comment>
    <comment ref="O55" authorId="0">
      <text>
        <r>
          <rPr>
            <sz val="10"/>
            <rFont val="Arial"/>
            <family val="2"/>
            <charset val="1"/>
          </rPr>
          <t xml:space="preserve">230607 – 2022
</t>
        </r>
      </text>
    </comment>
    <comment ref="O56" authorId="0">
      <text>
        <r>
          <rPr>
            <sz val="10"/>
            <rFont val="Arial"/>
            <family val="2"/>
            <charset val="1"/>
          </rPr>
          <t xml:space="preserve">230526 – 2022
</t>
        </r>
      </text>
    </comment>
    <comment ref="O57" authorId="0">
      <text>
        <r>
          <rPr>
            <sz val="10"/>
            <rFont val="Arial"/>
            <family val="2"/>
            <charset val="1"/>
          </rPr>
          <t xml:space="preserve">230505 – 2022
</t>
        </r>
      </text>
    </comment>
    <comment ref="O58" authorId="0">
      <text>
        <r>
          <rPr>
            <sz val="10"/>
            <rFont val="Arial"/>
            <family val="2"/>
            <charset val="1"/>
          </rPr>
          <t xml:space="preserve">230526 – 2022
</t>
        </r>
      </text>
    </comment>
    <comment ref="O59" authorId="0">
      <text>
        <r>
          <rPr>
            <sz val="10"/>
            <rFont val="Arial"/>
            <family val="2"/>
            <charset val="1"/>
          </rPr>
          <t xml:space="preserve">230516 – 2022
</t>
        </r>
      </text>
    </comment>
    <comment ref="O60" authorId="0">
      <text>
        <r>
          <rPr>
            <sz val="10"/>
            <rFont val="Arial"/>
            <family val="2"/>
            <charset val="1"/>
          </rPr>
          <t xml:space="preserve">230512 – 2022
</t>
        </r>
      </text>
    </comment>
    <comment ref="O64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65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66" authorId="0">
      <text>
        <r>
          <rPr>
            <sz val="10"/>
            <rFont val="Arial"/>
            <family val="2"/>
            <charset val="1"/>
          </rPr>
          <t xml:space="preserve">230403 - 2022</t>
        </r>
      </text>
    </comment>
    <comment ref="O67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68" authorId="0">
      <text>
        <r>
          <rPr>
            <sz val="10"/>
            <rFont val="Arial"/>
            <family val="2"/>
            <charset val="1"/>
          </rPr>
          <t xml:space="preserve">230516 - 2022</t>
        </r>
      </text>
    </comment>
    <comment ref="O69" authorId="0">
      <text>
        <r>
          <rPr>
            <sz val="10"/>
            <rFont val="Arial"/>
            <family val="2"/>
            <charset val="1"/>
          </rPr>
          <t xml:space="preserve">230531 – 2023
</t>
        </r>
      </text>
    </comment>
    <comment ref="O70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71" authorId="0">
      <text>
        <r>
          <rPr>
            <sz val="10"/>
            <rFont val="Arial"/>
            <family val="2"/>
            <charset val="1"/>
          </rPr>
          <t xml:space="preserve">230530 - 2023</t>
        </r>
      </text>
    </comment>
    <comment ref="O72" authorId="0">
      <text>
        <r>
          <rPr>
            <sz val="10"/>
            <rFont val="Arial"/>
            <family val="2"/>
            <charset val="1"/>
          </rPr>
          <t xml:space="preserve">230504 - 2022</t>
        </r>
      </text>
    </comment>
    <comment ref="O73" authorId="0">
      <text>
        <r>
          <rPr>
            <sz val="10"/>
            <rFont val="Arial"/>
            <family val="2"/>
            <charset val="1"/>
          </rPr>
          <t xml:space="preserve">230427 – 2022
</t>
        </r>
      </text>
    </comment>
    <comment ref="O74" authorId="0">
      <text>
        <r>
          <rPr>
            <sz val="10"/>
            <rFont val="Arial"/>
            <family val="2"/>
            <charset val="1"/>
          </rPr>
          <t xml:space="preserve">230419 - 2022</t>
        </r>
      </text>
    </comment>
    <comment ref="O75" authorId="0">
      <text>
        <r>
          <rPr>
            <sz val="10"/>
            <rFont val="Arial"/>
            <family val="2"/>
            <charset val="1"/>
          </rPr>
          <t xml:space="preserve">250531 - 2022</t>
        </r>
      </text>
    </comment>
    <comment ref="O76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78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79" authorId="0">
      <text>
        <r>
          <rPr>
            <sz val="10"/>
            <rFont val="Arial"/>
            <family val="2"/>
            <charset val="1"/>
          </rPr>
          <t xml:space="preserve">230504 - 2022</t>
        </r>
      </text>
    </comment>
    <comment ref="O81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82" authorId="0">
      <text>
        <r>
          <rPr>
            <sz val="10"/>
            <rFont val="Arial"/>
            <family val="2"/>
            <charset val="1"/>
          </rPr>
          <t xml:space="preserve">230512 - 2022</t>
        </r>
      </text>
    </comment>
    <comment ref="O83" authorId="0">
      <text>
        <r>
          <rPr>
            <sz val="10"/>
            <rFont val="Arial"/>
            <family val="2"/>
            <charset val="1"/>
          </rPr>
          <t xml:space="preserve">230515 – 2022
</t>
        </r>
      </text>
    </comment>
    <comment ref="O84" authorId="0">
      <text>
        <r>
          <rPr>
            <sz val="10"/>
            <rFont val="Arial"/>
            <family val="2"/>
            <charset val="1"/>
          </rPr>
          <t xml:space="preserve">230427 – 2022
</t>
        </r>
      </text>
    </comment>
    <comment ref="O85" authorId="0">
      <text>
        <r>
          <rPr>
            <sz val="10"/>
            <rFont val="Arial"/>
            <family val="2"/>
            <charset val="1"/>
          </rPr>
          <t xml:space="preserve">230607 – 2022
</t>
        </r>
      </text>
    </comment>
    <comment ref="O86" authorId="0">
      <text>
        <r>
          <rPr>
            <sz val="10"/>
            <rFont val="Arial"/>
            <family val="2"/>
            <charset val="1"/>
          </rPr>
          <t xml:space="preserve">230526 – 2022
</t>
        </r>
      </text>
    </comment>
    <comment ref="O87" authorId="0">
      <text>
        <r>
          <rPr>
            <sz val="10"/>
            <rFont val="Arial"/>
            <family val="2"/>
            <charset val="1"/>
          </rPr>
          <t xml:space="preserve">230505 – 2022
</t>
        </r>
      </text>
    </comment>
    <comment ref="O88" authorId="0">
      <text>
        <r>
          <rPr>
            <sz val="10"/>
            <rFont val="Arial"/>
            <family val="2"/>
            <charset val="1"/>
          </rPr>
          <t xml:space="preserve">230526 – 2022
</t>
        </r>
      </text>
    </comment>
    <comment ref="O89" authorId="0">
      <text>
        <r>
          <rPr>
            <sz val="10"/>
            <rFont val="Arial"/>
            <family val="2"/>
            <charset val="1"/>
          </rPr>
          <t xml:space="preserve">230516 – 2022
</t>
        </r>
      </text>
    </comment>
    <comment ref="O90" authorId="0">
      <text>
        <r>
          <rPr>
            <sz val="10"/>
            <rFont val="Arial"/>
            <family val="2"/>
            <charset val="1"/>
          </rPr>
          <t xml:space="preserve">230512 – 2022
</t>
        </r>
      </text>
    </comment>
    <comment ref="O94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95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96" authorId="0">
      <text>
        <r>
          <rPr>
            <sz val="10"/>
            <rFont val="Arial"/>
            <family val="2"/>
            <charset val="1"/>
          </rPr>
          <t xml:space="preserve">230403 - 2022</t>
        </r>
      </text>
    </comment>
    <comment ref="O97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98" authorId="0">
      <text>
        <r>
          <rPr>
            <sz val="10"/>
            <rFont val="Arial"/>
            <family val="2"/>
            <charset val="1"/>
          </rPr>
          <t xml:space="preserve">230516 - 2022</t>
        </r>
      </text>
    </comment>
    <comment ref="O99" authorId="0">
      <text>
        <r>
          <rPr>
            <sz val="10"/>
            <rFont val="Arial"/>
            <family val="2"/>
            <charset val="1"/>
          </rPr>
          <t xml:space="preserve">230531 – 2023
</t>
        </r>
      </text>
    </comment>
    <comment ref="O100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101" authorId="0">
      <text>
        <r>
          <rPr>
            <sz val="10"/>
            <rFont val="Arial"/>
            <family val="2"/>
            <charset val="1"/>
          </rPr>
          <t xml:space="preserve">230530 - 2023</t>
        </r>
      </text>
    </comment>
    <comment ref="O102" authorId="0">
      <text>
        <r>
          <rPr>
            <sz val="10"/>
            <rFont val="Arial"/>
            <family val="2"/>
            <charset val="1"/>
          </rPr>
          <t xml:space="preserve">230504 - 2022</t>
        </r>
      </text>
    </comment>
    <comment ref="O103" authorId="0">
      <text>
        <r>
          <rPr>
            <sz val="10"/>
            <rFont val="Arial"/>
            <family val="2"/>
            <charset val="1"/>
          </rPr>
          <t xml:space="preserve">230427 – 2022
</t>
        </r>
      </text>
    </comment>
    <comment ref="O104" authorId="0">
      <text>
        <r>
          <rPr>
            <sz val="10"/>
            <rFont val="Arial"/>
            <family val="2"/>
            <charset val="1"/>
          </rPr>
          <t xml:space="preserve">230419 - 2022</t>
        </r>
      </text>
    </comment>
    <comment ref="O105" authorId="0">
      <text>
        <r>
          <rPr>
            <sz val="10"/>
            <rFont val="Arial"/>
            <family val="2"/>
            <charset val="1"/>
          </rPr>
          <t xml:space="preserve">250531 - 2022</t>
        </r>
      </text>
    </comment>
    <comment ref="O106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108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109" authorId="0">
      <text>
        <r>
          <rPr>
            <sz val="10"/>
            <rFont val="Arial"/>
            <family val="2"/>
            <charset val="1"/>
          </rPr>
          <t xml:space="preserve">230504 - 2022</t>
        </r>
      </text>
    </comment>
    <comment ref="O111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112" authorId="0">
      <text>
        <r>
          <rPr>
            <sz val="10"/>
            <rFont val="Arial"/>
            <family val="2"/>
            <charset val="1"/>
          </rPr>
          <t xml:space="preserve">230512 - 2022</t>
        </r>
      </text>
    </comment>
    <comment ref="O113" authorId="0">
      <text>
        <r>
          <rPr>
            <sz val="10"/>
            <rFont val="Arial"/>
            <family val="2"/>
            <charset val="1"/>
          </rPr>
          <t xml:space="preserve">230515 – 2022
</t>
        </r>
      </text>
    </comment>
    <comment ref="O114" authorId="0">
      <text>
        <r>
          <rPr>
            <sz val="10"/>
            <rFont val="Arial"/>
            <family val="2"/>
            <charset val="1"/>
          </rPr>
          <t xml:space="preserve">230427 – 2022
</t>
        </r>
      </text>
    </comment>
    <comment ref="O115" authorId="0">
      <text>
        <r>
          <rPr>
            <sz val="10"/>
            <rFont val="Arial"/>
            <family val="2"/>
            <charset val="1"/>
          </rPr>
          <t xml:space="preserve">230607 – 2022
</t>
        </r>
      </text>
    </comment>
    <comment ref="O116" authorId="0">
      <text>
        <r>
          <rPr>
            <sz val="10"/>
            <rFont val="Arial"/>
            <family val="2"/>
            <charset val="1"/>
          </rPr>
          <t xml:space="preserve">230526 – 2022
</t>
        </r>
      </text>
    </comment>
    <comment ref="O117" authorId="0">
      <text>
        <r>
          <rPr>
            <sz val="10"/>
            <rFont val="Arial"/>
            <family val="2"/>
            <charset val="1"/>
          </rPr>
          <t xml:space="preserve">230505 – 2022
</t>
        </r>
      </text>
    </comment>
    <comment ref="O118" authorId="0">
      <text>
        <r>
          <rPr>
            <sz val="10"/>
            <rFont val="Arial"/>
            <family val="2"/>
            <charset val="1"/>
          </rPr>
          <t xml:space="preserve">230526 – 2022
</t>
        </r>
      </text>
    </comment>
    <comment ref="O119" authorId="0">
      <text>
        <r>
          <rPr>
            <sz val="10"/>
            <rFont val="Arial"/>
            <family val="2"/>
            <charset val="1"/>
          </rPr>
          <t xml:space="preserve">230516 – 2022
</t>
        </r>
      </text>
    </comment>
    <comment ref="O120" authorId="0">
      <text>
        <r>
          <rPr>
            <sz val="10"/>
            <rFont val="Arial"/>
            <family val="2"/>
            <charset val="1"/>
          </rPr>
          <t xml:space="preserve">230512 – 2022
</t>
        </r>
      </text>
    </comment>
    <comment ref="O124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125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126" authorId="0">
      <text>
        <r>
          <rPr>
            <sz val="10"/>
            <rFont val="Arial"/>
            <family val="2"/>
            <charset val="1"/>
          </rPr>
          <t xml:space="preserve">230403 - 2022</t>
        </r>
      </text>
    </comment>
    <comment ref="O127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128" authorId="0">
      <text>
        <r>
          <rPr>
            <sz val="10"/>
            <rFont val="Arial"/>
            <family val="2"/>
            <charset val="1"/>
          </rPr>
          <t xml:space="preserve">230516 - 2022</t>
        </r>
      </text>
    </comment>
    <comment ref="O129" authorId="0">
      <text>
        <r>
          <rPr>
            <sz val="10"/>
            <rFont val="Arial"/>
            <family val="2"/>
            <charset val="1"/>
          </rPr>
          <t xml:space="preserve">230531 – 2023
</t>
        </r>
      </text>
    </comment>
    <comment ref="O130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131" authorId="0">
      <text>
        <r>
          <rPr>
            <sz val="10"/>
            <rFont val="Arial"/>
            <family val="2"/>
            <charset val="1"/>
          </rPr>
          <t xml:space="preserve">230530 - 2023</t>
        </r>
      </text>
    </comment>
    <comment ref="O132" authorId="0">
      <text>
        <r>
          <rPr>
            <sz val="10"/>
            <rFont val="Arial"/>
            <family val="2"/>
            <charset val="1"/>
          </rPr>
          <t xml:space="preserve">230504 - 2022</t>
        </r>
      </text>
    </comment>
    <comment ref="O133" authorId="0">
      <text>
        <r>
          <rPr>
            <sz val="10"/>
            <rFont val="Arial"/>
            <family val="2"/>
            <charset val="1"/>
          </rPr>
          <t xml:space="preserve">230427 – 2022
</t>
        </r>
      </text>
    </comment>
    <comment ref="O134" authorId="0">
      <text>
        <r>
          <rPr>
            <sz val="10"/>
            <rFont val="Arial"/>
            <family val="2"/>
            <charset val="1"/>
          </rPr>
          <t xml:space="preserve">230419 - 2022</t>
        </r>
      </text>
    </comment>
    <comment ref="O135" authorId="0">
      <text>
        <r>
          <rPr>
            <sz val="10"/>
            <rFont val="Arial"/>
            <family val="2"/>
            <charset val="1"/>
          </rPr>
          <t xml:space="preserve">250531 - 2022</t>
        </r>
      </text>
    </comment>
    <comment ref="O136" authorId="0">
      <text>
        <r>
          <rPr>
            <sz val="10"/>
            <rFont val="Arial"/>
            <family val="2"/>
            <charset val="1"/>
          </rPr>
          <t xml:space="preserve">230531 - 2022</t>
        </r>
      </text>
    </comment>
    <comment ref="O138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139" authorId="0">
      <text>
        <r>
          <rPr>
            <sz val="10"/>
            <rFont val="Arial"/>
            <family val="2"/>
            <charset val="1"/>
          </rPr>
          <t xml:space="preserve">230504 - 2022</t>
        </r>
      </text>
    </comment>
    <comment ref="O141" authorId="0">
      <text>
        <r>
          <rPr>
            <sz val="10"/>
            <rFont val="Arial"/>
            <family val="2"/>
            <charset val="1"/>
          </rPr>
          <t xml:space="preserve">230531 – 2022
</t>
        </r>
      </text>
    </comment>
    <comment ref="O142" authorId="0">
      <text>
        <r>
          <rPr>
            <sz val="10"/>
            <rFont val="Arial"/>
            <family val="2"/>
            <charset val="1"/>
          </rPr>
          <t xml:space="preserve">230512 - 2022</t>
        </r>
      </text>
    </comment>
    <comment ref="O143" authorId="0">
      <text>
        <r>
          <rPr>
            <sz val="10"/>
            <rFont val="Arial"/>
            <family val="2"/>
            <charset val="1"/>
          </rPr>
          <t xml:space="preserve">230515 – 2022
</t>
        </r>
      </text>
    </comment>
    <comment ref="O144" authorId="0">
      <text>
        <r>
          <rPr>
            <sz val="10"/>
            <rFont val="Arial"/>
            <family val="2"/>
            <charset val="1"/>
          </rPr>
          <t xml:space="preserve">230427 – 2022
</t>
        </r>
      </text>
    </comment>
    <comment ref="O145" authorId="0">
      <text>
        <r>
          <rPr>
            <sz val="10"/>
            <rFont val="Arial"/>
            <family val="2"/>
            <charset val="1"/>
          </rPr>
          <t xml:space="preserve">230607 – 2022
</t>
        </r>
      </text>
    </comment>
    <comment ref="O146" authorId="0">
      <text>
        <r>
          <rPr>
            <sz val="10"/>
            <rFont val="Arial"/>
            <family val="2"/>
            <charset val="1"/>
          </rPr>
          <t xml:space="preserve">230526 – 2022
</t>
        </r>
      </text>
    </comment>
    <comment ref="O147" authorId="0">
      <text>
        <r>
          <rPr>
            <sz val="10"/>
            <rFont val="Arial"/>
            <family val="2"/>
            <charset val="1"/>
          </rPr>
          <t xml:space="preserve">230505 – 2022
</t>
        </r>
      </text>
    </comment>
    <comment ref="O148" authorId="0">
      <text>
        <r>
          <rPr>
            <sz val="10"/>
            <rFont val="Arial"/>
            <family val="2"/>
            <charset val="1"/>
          </rPr>
          <t xml:space="preserve">230526 – 2022
</t>
        </r>
      </text>
    </comment>
    <comment ref="O149" authorId="0">
      <text>
        <r>
          <rPr>
            <sz val="10"/>
            <rFont val="Arial"/>
            <family val="2"/>
            <charset val="1"/>
          </rPr>
          <t xml:space="preserve">230516 – 2022
</t>
        </r>
      </text>
    </comment>
    <comment ref="O150" authorId="0">
      <text>
        <r>
          <rPr>
            <sz val="10"/>
            <rFont val="Arial"/>
            <family val="2"/>
            <charset val="1"/>
          </rPr>
          <t xml:space="preserve">230512 – 2022
</t>
        </r>
      </text>
    </comment>
    <comment ref="P3" authorId="0">
      <text>
        <r>
          <rPr>
            <sz val="10"/>
            <rFont val="Arial"/>
            <family val="2"/>
            <charset val="1"/>
          </rPr>
          <t xml:space="preserve">29.03.23 – 2022
</t>
        </r>
      </text>
    </comment>
    <comment ref="P17" authorId="0">
      <text>
        <r>
          <rPr>
            <sz val="10"/>
            <rFont val="Arial"/>
            <family val="2"/>
            <charset val="1"/>
          </rPr>
          <t xml:space="preserve">230303 - 2022</t>
        </r>
      </text>
    </comment>
    <comment ref="P20" authorId="0">
      <text>
        <r>
          <rPr>
            <sz val="10"/>
            <rFont val="Arial"/>
            <family val="2"/>
            <charset val="1"/>
          </rPr>
          <t xml:space="preserve">230322 - 2022</t>
        </r>
      </text>
    </comment>
    <comment ref="P33" authorId="0">
      <text>
        <r>
          <rPr>
            <sz val="10"/>
            <rFont val="Arial"/>
            <family val="2"/>
            <charset val="1"/>
          </rPr>
          <t xml:space="preserve">29.03.23 – 2022
</t>
        </r>
      </text>
    </comment>
    <comment ref="P47" authorId="0">
      <text>
        <r>
          <rPr>
            <sz val="10"/>
            <rFont val="Arial"/>
            <family val="2"/>
            <charset val="1"/>
          </rPr>
          <t xml:space="preserve">230303 - 2022</t>
        </r>
      </text>
    </comment>
    <comment ref="P50" authorId="0">
      <text>
        <r>
          <rPr>
            <sz val="10"/>
            <rFont val="Arial"/>
            <family val="2"/>
            <charset val="1"/>
          </rPr>
          <t xml:space="preserve">230322 - 2022</t>
        </r>
      </text>
    </comment>
    <comment ref="P63" authorId="0">
      <text>
        <r>
          <rPr>
            <sz val="10"/>
            <rFont val="Arial"/>
            <family val="2"/>
            <charset val="1"/>
          </rPr>
          <t xml:space="preserve">29.03.23 – 2022
</t>
        </r>
      </text>
    </comment>
    <comment ref="P77" authorId="0">
      <text>
        <r>
          <rPr>
            <sz val="10"/>
            <rFont val="Arial"/>
            <family val="2"/>
            <charset val="1"/>
          </rPr>
          <t xml:space="preserve">230303 - 2022</t>
        </r>
      </text>
    </comment>
    <comment ref="P80" authorId="0">
      <text>
        <r>
          <rPr>
            <sz val="10"/>
            <rFont val="Arial"/>
            <family val="2"/>
            <charset val="1"/>
          </rPr>
          <t xml:space="preserve">230322 - 2022</t>
        </r>
      </text>
    </comment>
    <comment ref="P93" authorId="0">
      <text>
        <r>
          <rPr>
            <sz val="10"/>
            <rFont val="Arial"/>
            <family val="2"/>
            <charset val="1"/>
          </rPr>
          <t xml:space="preserve">29.03.23 – 2022
</t>
        </r>
      </text>
    </comment>
    <comment ref="P107" authorId="0">
      <text>
        <r>
          <rPr>
            <sz val="10"/>
            <rFont val="Arial"/>
            <family val="2"/>
            <charset val="1"/>
          </rPr>
          <t xml:space="preserve">230303 - 2022</t>
        </r>
      </text>
    </comment>
    <comment ref="P110" authorId="0">
      <text>
        <r>
          <rPr>
            <sz val="10"/>
            <rFont val="Arial"/>
            <family val="2"/>
            <charset val="1"/>
          </rPr>
          <t xml:space="preserve">230322 - 2022</t>
        </r>
      </text>
    </comment>
    <comment ref="P123" authorId="0">
      <text>
        <r>
          <rPr>
            <sz val="10"/>
            <rFont val="Arial"/>
            <family val="2"/>
            <charset val="1"/>
          </rPr>
          <t xml:space="preserve">29.03.23 – 2022
</t>
        </r>
      </text>
    </comment>
    <comment ref="P137" authorId="0">
      <text>
        <r>
          <rPr>
            <sz val="10"/>
            <rFont val="Arial"/>
            <family val="2"/>
            <charset val="1"/>
          </rPr>
          <t xml:space="preserve">230303 - 2022</t>
        </r>
      </text>
    </comment>
    <comment ref="P140" authorId="0">
      <text>
        <r>
          <rPr>
            <sz val="10"/>
            <rFont val="Arial"/>
            <family val="2"/>
            <charset val="1"/>
          </rPr>
          <t xml:space="preserve">230322 - 2022</t>
        </r>
      </text>
    </comment>
    <comment ref="T4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5" authorId="0">
      <text>
        <r>
          <rPr>
            <sz val="10"/>
            <rFont val="Arial"/>
            <family val="2"/>
            <charset val="1"/>
          </rPr>
          <t xml:space="preserve">220518 - 2021</t>
        </r>
      </text>
    </comment>
    <comment ref="T6" authorId="0">
      <text>
        <r>
          <rPr>
            <sz val="10"/>
            <rFont val="Arial"/>
            <family val="2"/>
            <charset val="1"/>
          </rPr>
          <t xml:space="preserve">220404 - 2021</t>
        </r>
      </text>
    </comment>
    <comment ref="T7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8" authorId="0">
      <text>
        <r>
          <rPr>
            <sz val="10"/>
            <rFont val="Arial"/>
            <family val="2"/>
            <charset val="1"/>
          </rPr>
          <t xml:space="preserve">220520 – 2021
</t>
        </r>
      </text>
    </comment>
    <comment ref="T9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0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1" authorId="0">
      <text>
        <r>
          <rPr>
            <sz val="10"/>
            <rFont val="Arial"/>
            <family val="2"/>
            <charset val="1"/>
          </rPr>
          <t xml:space="preserve">220523 - 2021</t>
        </r>
      </text>
    </comment>
    <comment ref="T12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3" authorId="0">
      <text>
        <r>
          <rPr>
            <sz val="10"/>
            <rFont val="Arial"/>
            <family val="2"/>
            <charset val="1"/>
          </rPr>
          <t xml:space="preserve">220428 – 2021
</t>
        </r>
      </text>
    </comment>
    <comment ref="T14" authorId="0">
      <text>
        <r>
          <rPr>
            <sz val="10"/>
            <rFont val="Arial"/>
            <family val="2"/>
            <charset val="1"/>
          </rPr>
          <t xml:space="preserve">220511 - 2021</t>
        </r>
      </text>
    </comment>
    <comment ref="T15" authorId="0">
      <text>
        <r>
          <rPr>
            <sz val="10"/>
            <rFont val="Arial"/>
            <family val="2"/>
            <charset val="1"/>
          </rPr>
          <t xml:space="preserve">220530 - 2021</t>
        </r>
      </text>
    </comment>
    <comment ref="T16" authorId="0">
      <text>
        <r>
          <rPr>
            <sz val="10"/>
            <rFont val="Arial"/>
            <family val="2"/>
            <charset val="1"/>
          </rPr>
          <t xml:space="preserve">220429 - 2021 </t>
        </r>
      </text>
    </comment>
    <comment ref="T18" authorId="0">
      <text>
        <r>
          <rPr>
            <sz val="10"/>
            <rFont val="Arial"/>
            <family val="2"/>
            <charset val="1"/>
          </rPr>
          <t xml:space="preserve">220526 – 2021
</t>
        </r>
      </text>
    </comment>
    <comment ref="T19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21" authorId="0">
      <text>
        <r>
          <rPr>
            <sz val="10"/>
            <rFont val="Arial"/>
            <family val="2"/>
            <charset val="1"/>
          </rPr>
          <t xml:space="preserve">220531 – 2021
</t>
        </r>
      </text>
    </comment>
    <comment ref="T22" authorId="0">
      <text>
        <r>
          <rPr>
            <sz val="10"/>
            <rFont val="Arial"/>
            <family val="2"/>
            <charset val="1"/>
          </rPr>
          <t xml:space="preserve">220527 - 2021</t>
        </r>
      </text>
    </comment>
    <comment ref="T23" authorId="0">
      <text>
        <r>
          <rPr>
            <sz val="10"/>
            <rFont val="Arial"/>
            <family val="2"/>
            <charset val="1"/>
          </rPr>
          <t xml:space="preserve">220513 – 2021
</t>
        </r>
      </text>
    </comment>
    <comment ref="T24" authorId="0">
      <text>
        <r>
          <rPr>
            <sz val="10"/>
            <rFont val="Arial"/>
            <family val="2"/>
            <charset val="1"/>
          </rPr>
          <t xml:space="preserve">220418 – 2021
</t>
        </r>
      </text>
    </comment>
    <comment ref="T25" authorId="0">
      <text>
        <r>
          <rPr>
            <sz val="10"/>
            <rFont val="Arial"/>
            <family val="2"/>
            <charset val="1"/>
          </rPr>
          <t xml:space="preserve">220624 – 2021
</t>
        </r>
      </text>
    </comment>
    <comment ref="T26" authorId="0">
      <text>
        <r>
          <rPr>
            <sz val="10"/>
            <rFont val="Arial"/>
            <family val="2"/>
            <charset val="1"/>
          </rPr>
          <t xml:space="preserve">220531 – 2021
</t>
        </r>
      </text>
    </comment>
    <comment ref="T27" authorId="0">
      <text>
        <r>
          <rPr>
            <sz val="10"/>
            <rFont val="Arial"/>
            <family val="2"/>
            <charset val="1"/>
          </rPr>
          <t xml:space="preserve">220526 – 2021
</t>
        </r>
      </text>
    </comment>
    <comment ref="T28" authorId="0">
      <text>
        <r>
          <rPr>
            <sz val="10"/>
            <rFont val="Arial"/>
            <family val="2"/>
            <charset val="1"/>
          </rPr>
          <t xml:space="preserve">220517 – 2021
</t>
        </r>
      </text>
    </comment>
    <comment ref="T29" authorId="0">
      <text>
        <r>
          <rPr>
            <sz val="10"/>
            <rFont val="Arial"/>
            <family val="2"/>
            <charset val="1"/>
          </rPr>
          <t xml:space="preserve">220527 – 2021
</t>
        </r>
      </text>
    </comment>
    <comment ref="T30" authorId="0">
      <text>
        <r>
          <rPr>
            <sz val="10"/>
            <rFont val="Arial"/>
            <family val="2"/>
            <charset val="1"/>
          </rPr>
          <t xml:space="preserve">220520 – 2021
</t>
        </r>
      </text>
    </comment>
    <comment ref="T34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35" authorId="0">
      <text>
        <r>
          <rPr>
            <sz val="10"/>
            <rFont val="Arial"/>
            <family val="2"/>
            <charset val="1"/>
          </rPr>
          <t xml:space="preserve">220518 - 2021</t>
        </r>
      </text>
    </comment>
    <comment ref="T36" authorId="0">
      <text>
        <r>
          <rPr>
            <sz val="10"/>
            <rFont val="Arial"/>
            <family val="2"/>
            <charset val="1"/>
          </rPr>
          <t xml:space="preserve">220404 - 2021</t>
        </r>
      </text>
    </comment>
    <comment ref="T37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38" authorId="0">
      <text>
        <r>
          <rPr>
            <sz val="10"/>
            <rFont val="Arial"/>
            <family val="2"/>
            <charset val="1"/>
          </rPr>
          <t xml:space="preserve">220520 – 2021
</t>
        </r>
      </text>
    </comment>
    <comment ref="T39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40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41" authorId="0">
      <text>
        <r>
          <rPr>
            <sz val="10"/>
            <rFont val="Arial"/>
            <family val="2"/>
            <charset val="1"/>
          </rPr>
          <t xml:space="preserve">220523 - 2021</t>
        </r>
      </text>
    </comment>
    <comment ref="T42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43" authorId="0">
      <text>
        <r>
          <rPr>
            <sz val="10"/>
            <rFont val="Arial"/>
            <family val="2"/>
            <charset val="1"/>
          </rPr>
          <t xml:space="preserve">220428 – 2021
</t>
        </r>
      </text>
    </comment>
    <comment ref="T44" authorId="0">
      <text>
        <r>
          <rPr>
            <sz val="10"/>
            <rFont val="Arial"/>
            <family val="2"/>
            <charset val="1"/>
          </rPr>
          <t xml:space="preserve">220511 - 2021</t>
        </r>
      </text>
    </comment>
    <comment ref="T45" authorId="0">
      <text>
        <r>
          <rPr>
            <sz val="10"/>
            <rFont val="Arial"/>
            <family val="2"/>
            <charset val="1"/>
          </rPr>
          <t xml:space="preserve">220530 - 2021</t>
        </r>
      </text>
    </comment>
    <comment ref="T46" authorId="0">
      <text>
        <r>
          <rPr>
            <sz val="10"/>
            <rFont val="Arial"/>
            <family val="2"/>
            <charset val="1"/>
          </rPr>
          <t xml:space="preserve">220429 - 2021 </t>
        </r>
      </text>
    </comment>
    <comment ref="T48" authorId="0">
      <text>
        <r>
          <rPr>
            <sz val="10"/>
            <rFont val="Arial"/>
            <family val="2"/>
            <charset val="1"/>
          </rPr>
          <t xml:space="preserve">220526 – 2021
</t>
        </r>
      </text>
    </comment>
    <comment ref="T49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51" authorId="0">
      <text>
        <r>
          <rPr>
            <sz val="10"/>
            <rFont val="Arial"/>
            <family val="2"/>
            <charset val="1"/>
          </rPr>
          <t xml:space="preserve">220531 – 2021
</t>
        </r>
      </text>
    </comment>
    <comment ref="T52" authorId="0">
      <text>
        <r>
          <rPr>
            <sz val="10"/>
            <rFont val="Arial"/>
            <family val="2"/>
            <charset val="1"/>
          </rPr>
          <t xml:space="preserve">220527 - 2021</t>
        </r>
      </text>
    </comment>
    <comment ref="T53" authorId="0">
      <text>
        <r>
          <rPr>
            <sz val="10"/>
            <rFont val="Arial"/>
            <family val="2"/>
            <charset val="1"/>
          </rPr>
          <t xml:space="preserve">220513 – 2021
</t>
        </r>
      </text>
    </comment>
    <comment ref="T54" authorId="0">
      <text>
        <r>
          <rPr>
            <sz val="10"/>
            <rFont val="Arial"/>
            <family val="2"/>
            <charset val="1"/>
          </rPr>
          <t xml:space="preserve">220418 – 2021
</t>
        </r>
      </text>
    </comment>
    <comment ref="T55" authorId="0">
      <text>
        <r>
          <rPr>
            <sz val="10"/>
            <rFont val="Arial"/>
            <family val="2"/>
            <charset val="1"/>
          </rPr>
          <t xml:space="preserve">220624 – 2021
</t>
        </r>
      </text>
    </comment>
    <comment ref="T56" authorId="0">
      <text>
        <r>
          <rPr>
            <sz val="10"/>
            <rFont val="Arial"/>
            <family val="2"/>
            <charset val="1"/>
          </rPr>
          <t xml:space="preserve">220531 – 2021
</t>
        </r>
      </text>
    </comment>
    <comment ref="T57" authorId="0">
      <text>
        <r>
          <rPr>
            <sz val="10"/>
            <rFont val="Arial"/>
            <family val="2"/>
            <charset val="1"/>
          </rPr>
          <t xml:space="preserve">220526 – 2021
</t>
        </r>
      </text>
    </comment>
    <comment ref="T58" authorId="0">
      <text>
        <r>
          <rPr>
            <sz val="10"/>
            <rFont val="Arial"/>
            <family val="2"/>
            <charset val="1"/>
          </rPr>
          <t xml:space="preserve">220517 – 2021
</t>
        </r>
      </text>
    </comment>
    <comment ref="T59" authorId="0">
      <text>
        <r>
          <rPr>
            <sz val="10"/>
            <rFont val="Arial"/>
            <family val="2"/>
            <charset val="1"/>
          </rPr>
          <t xml:space="preserve">220527 – 2021
</t>
        </r>
      </text>
    </comment>
    <comment ref="T60" authorId="0">
      <text>
        <r>
          <rPr>
            <sz val="10"/>
            <rFont val="Arial"/>
            <family val="2"/>
            <charset val="1"/>
          </rPr>
          <t xml:space="preserve">220520 – 2021
</t>
        </r>
      </text>
    </comment>
    <comment ref="T64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65" authorId="0">
      <text>
        <r>
          <rPr>
            <sz val="10"/>
            <rFont val="Arial"/>
            <family val="2"/>
            <charset val="1"/>
          </rPr>
          <t xml:space="preserve">220518 - 2021</t>
        </r>
      </text>
    </comment>
    <comment ref="T66" authorId="0">
      <text>
        <r>
          <rPr>
            <sz val="10"/>
            <rFont val="Arial"/>
            <family val="2"/>
            <charset val="1"/>
          </rPr>
          <t xml:space="preserve">220404 - 2021</t>
        </r>
      </text>
    </comment>
    <comment ref="T67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68" authorId="0">
      <text>
        <r>
          <rPr>
            <sz val="10"/>
            <rFont val="Arial"/>
            <family val="2"/>
            <charset val="1"/>
          </rPr>
          <t xml:space="preserve">220520 – 2021
</t>
        </r>
      </text>
    </comment>
    <comment ref="T69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70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71" authorId="0">
      <text>
        <r>
          <rPr>
            <sz val="10"/>
            <rFont val="Arial"/>
            <family val="2"/>
            <charset val="1"/>
          </rPr>
          <t xml:space="preserve">220523 - 2021</t>
        </r>
      </text>
    </comment>
    <comment ref="T72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73" authorId="0">
      <text>
        <r>
          <rPr>
            <sz val="10"/>
            <rFont val="Arial"/>
            <family val="2"/>
            <charset val="1"/>
          </rPr>
          <t xml:space="preserve">220428 – 2021
</t>
        </r>
      </text>
    </comment>
    <comment ref="T74" authorId="0">
      <text>
        <r>
          <rPr>
            <sz val="10"/>
            <rFont val="Arial"/>
            <family val="2"/>
            <charset val="1"/>
          </rPr>
          <t xml:space="preserve">220511 - 2021</t>
        </r>
      </text>
    </comment>
    <comment ref="T75" authorId="0">
      <text>
        <r>
          <rPr>
            <sz val="10"/>
            <rFont val="Arial"/>
            <family val="2"/>
            <charset val="1"/>
          </rPr>
          <t xml:space="preserve">220530 - 2021</t>
        </r>
      </text>
    </comment>
    <comment ref="T76" authorId="0">
      <text>
        <r>
          <rPr>
            <sz val="10"/>
            <rFont val="Arial"/>
            <family val="2"/>
            <charset val="1"/>
          </rPr>
          <t xml:space="preserve">220429 - 2021 </t>
        </r>
      </text>
    </comment>
    <comment ref="T78" authorId="0">
      <text>
        <r>
          <rPr>
            <sz val="10"/>
            <rFont val="Arial"/>
            <family val="2"/>
            <charset val="1"/>
          </rPr>
          <t xml:space="preserve">220526 – 2021
</t>
        </r>
      </text>
    </comment>
    <comment ref="T79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81" authorId="0">
      <text>
        <r>
          <rPr>
            <sz val="10"/>
            <rFont val="Arial"/>
            <family val="2"/>
            <charset val="1"/>
          </rPr>
          <t xml:space="preserve">220531 – 2021
</t>
        </r>
      </text>
    </comment>
    <comment ref="T82" authorId="0">
      <text>
        <r>
          <rPr>
            <sz val="10"/>
            <rFont val="Arial"/>
            <family val="2"/>
            <charset val="1"/>
          </rPr>
          <t xml:space="preserve">220527 - 2021</t>
        </r>
      </text>
    </comment>
    <comment ref="T83" authorId="0">
      <text>
        <r>
          <rPr>
            <sz val="10"/>
            <rFont val="Arial"/>
            <family val="2"/>
            <charset val="1"/>
          </rPr>
          <t xml:space="preserve">220513 – 2021
</t>
        </r>
      </text>
    </comment>
    <comment ref="T84" authorId="0">
      <text>
        <r>
          <rPr>
            <sz val="10"/>
            <rFont val="Arial"/>
            <family val="2"/>
            <charset val="1"/>
          </rPr>
          <t xml:space="preserve">220418 – 2021
</t>
        </r>
      </text>
    </comment>
    <comment ref="T85" authorId="0">
      <text>
        <r>
          <rPr>
            <sz val="10"/>
            <rFont val="Arial"/>
            <family val="2"/>
            <charset val="1"/>
          </rPr>
          <t xml:space="preserve">220624 – 2021
</t>
        </r>
      </text>
    </comment>
    <comment ref="T86" authorId="0">
      <text>
        <r>
          <rPr>
            <sz val="10"/>
            <rFont val="Arial"/>
            <family val="2"/>
            <charset val="1"/>
          </rPr>
          <t xml:space="preserve">220531 – 2021
</t>
        </r>
      </text>
    </comment>
    <comment ref="T87" authorId="0">
      <text>
        <r>
          <rPr>
            <sz val="10"/>
            <rFont val="Arial"/>
            <family val="2"/>
            <charset val="1"/>
          </rPr>
          <t xml:space="preserve">220526 – 2021
</t>
        </r>
      </text>
    </comment>
    <comment ref="T88" authorId="0">
      <text>
        <r>
          <rPr>
            <sz val="10"/>
            <rFont val="Arial"/>
            <family val="2"/>
            <charset val="1"/>
          </rPr>
          <t xml:space="preserve">220517 – 2021
</t>
        </r>
      </text>
    </comment>
    <comment ref="T89" authorId="0">
      <text>
        <r>
          <rPr>
            <sz val="10"/>
            <rFont val="Arial"/>
            <family val="2"/>
            <charset val="1"/>
          </rPr>
          <t xml:space="preserve">220527 – 2021
</t>
        </r>
      </text>
    </comment>
    <comment ref="T90" authorId="0">
      <text>
        <r>
          <rPr>
            <sz val="10"/>
            <rFont val="Arial"/>
            <family val="2"/>
            <charset val="1"/>
          </rPr>
          <t xml:space="preserve">220520 – 2021
</t>
        </r>
      </text>
    </comment>
    <comment ref="T94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95" authorId="0">
      <text>
        <r>
          <rPr>
            <sz val="10"/>
            <rFont val="Arial"/>
            <family val="2"/>
            <charset val="1"/>
          </rPr>
          <t xml:space="preserve">220518 - 2021</t>
        </r>
      </text>
    </comment>
    <comment ref="T96" authorId="0">
      <text>
        <r>
          <rPr>
            <sz val="10"/>
            <rFont val="Arial"/>
            <family val="2"/>
            <charset val="1"/>
          </rPr>
          <t xml:space="preserve">220404 - 2021</t>
        </r>
      </text>
    </comment>
    <comment ref="T97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98" authorId="0">
      <text>
        <r>
          <rPr>
            <sz val="10"/>
            <rFont val="Arial"/>
            <family val="2"/>
            <charset val="1"/>
          </rPr>
          <t xml:space="preserve">220520 – 2021
</t>
        </r>
      </text>
    </comment>
    <comment ref="T99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00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01" authorId="0">
      <text>
        <r>
          <rPr>
            <sz val="10"/>
            <rFont val="Arial"/>
            <family val="2"/>
            <charset val="1"/>
          </rPr>
          <t xml:space="preserve">220523 - 2021</t>
        </r>
      </text>
    </comment>
    <comment ref="T102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03" authorId="0">
      <text>
        <r>
          <rPr>
            <sz val="10"/>
            <rFont val="Arial"/>
            <family val="2"/>
            <charset val="1"/>
          </rPr>
          <t xml:space="preserve">220428 – 2021
</t>
        </r>
      </text>
    </comment>
    <comment ref="T104" authorId="0">
      <text>
        <r>
          <rPr>
            <sz val="10"/>
            <rFont val="Arial"/>
            <family val="2"/>
            <charset val="1"/>
          </rPr>
          <t xml:space="preserve">220511 - 2021</t>
        </r>
      </text>
    </comment>
    <comment ref="T105" authorId="0">
      <text>
        <r>
          <rPr>
            <sz val="10"/>
            <rFont val="Arial"/>
            <family val="2"/>
            <charset val="1"/>
          </rPr>
          <t xml:space="preserve">220530 - 2021</t>
        </r>
      </text>
    </comment>
    <comment ref="T106" authorId="0">
      <text>
        <r>
          <rPr>
            <sz val="10"/>
            <rFont val="Arial"/>
            <family val="2"/>
            <charset val="1"/>
          </rPr>
          <t xml:space="preserve">220429 - 2021 </t>
        </r>
      </text>
    </comment>
    <comment ref="T108" authorId="0">
      <text>
        <r>
          <rPr>
            <sz val="10"/>
            <rFont val="Arial"/>
            <family val="2"/>
            <charset val="1"/>
          </rPr>
          <t xml:space="preserve">220526 – 2021
</t>
        </r>
      </text>
    </comment>
    <comment ref="T109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11" authorId="0">
      <text>
        <r>
          <rPr>
            <sz val="10"/>
            <rFont val="Arial"/>
            <family val="2"/>
            <charset val="1"/>
          </rPr>
          <t xml:space="preserve">220531 – 2021
</t>
        </r>
      </text>
    </comment>
    <comment ref="T112" authorId="0">
      <text>
        <r>
          <rPr>
            <sz val="10"/>
            <rFont val="Arial"/>
            <family val="2"/>
            <charset val="1"/>
          </rPr>
          <t xml:space="preserve">220527 - 2021</t>
        </r>
      </text>
    </comment>
    <comment ref="T113" authorId="0">
      <text>
        <r>
          <rPr>
            <sz val="10"/>
            <rFont val="Arial"/>
            <family val="2"/>
            <charset val="1"/>
          </rPr>
          <t xml:space="preserve">220513 – 2021
</t>
        </r>
      </text>
    </comment>
    <comment ref="T114" authorId="0">
      <text>
        <r>
          <rPr>
            <sz val="10"/>
            <rFont val="Arial"/>
            <family val="2"/>
            <charset val="1"/>
          </rPr>
          <t xml:space="preserve">220418 – 2021
</t>
        </r>
      </text>
    </comment>
    <comment ref="T115" authorId="0">
      <text>
        <r>
          <rPr>
            <sz val="10"/>
            <rFont val="Arial"/>
            <family val="2"/>
            <charset val="1"/>
          </rPr>
          <t xml:space="preserve">220624 – 2021
</t>
        </r>
      </text>
    </comment>
    <comment ref="T116" authorId="0">
      <text>
        <r>
          <rPr>
            <sz val="10"/>
            <rFont val="Arial"/>
            <family val="2"/>
            <charset val="1"/>
          </rPr>
          <t xml:space="preserve">220531 – 2021
</t>
        </r>
      </text>
    </comment>
    <comment ref="T117" authorId="0">
      <text>
        <r>
          <rPr>
            <sz val="10"/>
            <rFont val="Arial"/>
            <family val="2"/>
            <charset val="1"/>
          </rPr>
          <t xml:space="preserve">220526 – 2021
</t>
        </r>
      </text>
    </comment>
    <comment ref="T118" authorId="0">
      <text>
        <r>
          <rPr>
            <sz val="10"/>
            <rFont val="Arial"/>
            <family val="2"/>
            <charset val="1"/>
          </rPr>
          <t xml:space="preserve">220517 – 2021
</t>
        </r>
      </text>
    </comment>
    <comment ref="T119" authorId="0">
      <text>
        <r>
          <rPr>
            <sz val="10"/>
            <rFont val="Arial"/>
            <family val="2"/>
            <charset val="1"/>
          </rPr>
          <t xml:space="preserve">220527 – 2021
</t>
        </r>
      </text>
    </comment>
    <comment ref="T120" authorId="0">
      <text>
        <r>
          <rPr>
            <sz val="10"/>
            <rFont val="Arial"/>
            <family val="2"/>
            <charset val="1"/>
          </rPr>
          <t xml:space="preserve">220520 – 2021
</t>
        </r>
      </text>
    </comment>
    <comment ref="T124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25" authorId="0">
      <text>
        <r>
          <rPr>
            <sz val="10"/>
            <rFont val="Arial"/>
            <family val="2"/>
            <charset val="1"/>
          </rPr>
          <t xml:space="preserve">220518 - 2021</t>
        </r>
      </text>
    </comment>
    <comment ref="T126" authorId="0">
      <text>
        <r>
          <rPr>
            <sz val="10"/>
            <rFont val="Arial"/>
            <family val="2"/>
            <charset val="1"/>
          </rPr>
          <t xml:space="preserve">220404 - 2021</t>
        </r>
      </text>
    </comment>
    <comment ref="T127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28" authorId="0">
      <text>
        <r>
          <rPr>
            <sz val="10"/>
            <rFont val="Arial"/>
            <family val="2"/>
            <charset val="1"/>
          </rPr>
          <t xml:space="preserve">220520 – 2021
</t>
        </r>
      </text>
    </comment>
    <comment ref="T129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30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31" authorId="0">
      <text>
        <r>
          <rPr>
            <sz val="10"/>
            <rFont val="Arial"/>
            <family val="2"/>
            <charset val="1"/>
          </rPr>
          <t xml:space="preserve">220523 - 2021</t>
        </r>
      </text>
    </comment>
    <comment ref="T132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33" authorId="0">
      <text>
        <r>
          <rPr>
            <sz val="10"/>
            <rFont val="Arial"/>
            <family val="2"/>
            <charset val="1"/>
          </rPr>
          <t xml:space="preserve">220428 – 2021
</t>
        </r>
      </text>
    </comment>
    <comment ref="T134" authorId="0">
      <text>
        <r>
          <rPr>
            <sz val="10"/>
            <rFont val="Arial"/>
            <family val="2"/>
            <charset val="1"/>
          </rPr>
          <t xml:space="preserve">220511 - 2021</t>
        </r>
      </text>
    </comment>
    <comment ref="T135" authorId="0">
      <text>
        <r>
          <rPr>
            <sz val="10"/>
            <rFont val="Arial"/>
            <family val="2"/>
            <charset val="1"/>
          </rPr>
          <t xml:space="preserve">220530 - 2021</t>
        </r>
      </text>
    </comment>
    <comment ref="T136" authorId="0">
      <text>
        <r>
          <rPr>
            <sz val="10"/>
            <rFont val="Arial"/>
            <family val="2"/>
            <charset val="1"/>
          </rPr>
          <t xml:space="preserve">220429 - 2021 </t>
        </r>
      </text>
    </comment>
    <comment ref="T138" authorId="0">
      <text>
        <r>
          <rPr>
            <sz val="10"/>
            <rFont val="Arial"/>
            <family val="2"/>
            <charset val="1"/>
          </rPr>
          <t xml:space="preserve">220526 – 2021
</t>
        </r>
      </text>
    </comment>
    <comment ref="T139" authorId="0">
      <text>
        <r>
          <rPr>
            <sz val="10"/>
            <rFont val="Arial"/>
            <family val="2"/>
            <charset val="1"/>
          </rPr>
          <t xml:space="preserve">220531 - 2021</t>
        </r>
      </text>
    </comment>
    <comment ref="T141" authorId="0">
      <text>
        <r>
          <rPr>
            <sz val="10"/>
            <rFont val="Arial"/>
            <family val="2"/>
            <charset val="1"/>
          </rPr>
          <t xml:space="preserve">220531 – 2021
</t>
        </r>
      </text>
    </comment>
    <comment ref="T142" authorId="0">
      <text>
        <r>
          <rPr>
            <sz val="10"/>
            <rFont val="Arial"/>
            <family val="2"/>
            <charset val="1"/>
          </rPr>
          <t xml:space="preserve">220527 - 2021</t>
        </r>
      </text>
    </comment>
    <comment ref="T143" authorId="0">
      <text>
        <r>
          <rPr>
            <sz val="10"/>
            <rFont val="Arial"/>
            <family val="2"/>
            <charset val="1"/>
          </rPr>
          <t xml:space="preserve">220513 – 2021
</t>
        </r>
      </text>
    </comment>
    <comment ref="T144" authorId="0">
      <text>
        <r>
          <rPr>
            <sz val="10"/>
            <rFont val="Arial"/>
            <family val="2"/>
            <charset val="1"/>
          </rPr>
          <t xml:space="preserve">220418 – 2021
</t>
        </r>
      </text>
    </comment>
    <comment ref="T145" authorId="0">
      <text>
        <r>
          <rPr>
            <sz val="10"/>
            <rFont val="Arial"/>
            <family val="2"/>
            <charset val="1"/>
          </rPr>
          <t xml:space="preserve">220624 – 2021
</t>
        </r>
      </text>
    </comment>
    <comment ref="T146" authorId="0">
      <text>
        <r>
          <rPr>
            <sz val="10"/>
            <rFont val="Arial"/>
            <family val="2"/>
            <charset val="1"/>
          </rPr>
          <t xml:space="preserve">220531 – 2021
</t>
        </r>
      </text>
    </comment>
    <comment ref="T147" authorId="0">
      <text>
        <r>
          <rPr>
            <sz val="10"/>
            <rFont val="Arial"/>
            <family val="2"/>
            <charset val="1"/>
          </rPr>
          <t xml:space="preserve">220526 – 2021
</t>
        </r>
      </text>
    </comment>
    <comment ref="T148" authorId="0">
      <text>
        <r>
          <rPr>
            <sz val="10"/>
            <rFont val="Arial"/>
            <family val="2"/>
            <charset val="1"/>
          </rPr>
          <t xml:space="preserve">220517 – 2021
</t>
        </r>
      </text>
    </comment>
    <comment ref="T149" authorId="0">
      <text>
        <r>
          <rPr>
            <sz val="10"/>
            <rFont val="Arial"/>
            <family val="2"/>
            <charset val="1"/>
          </rPr>
          <t xml:space="preserve">220527 – 2021
</t>
        </r>
      </text>
    </comment>
    <comment ref="T150" authorId="0">
      <text>
        <r>
          <rPr>
            <sz val="10"/>
            <rFont val="Arial"/>
            <family val="2"/>
            <charset val="1"/>
          </rPr>
          <t xml:space="preserve">220520 – 2021
</t>
        </r>
      </text>
    </comment>
    <comment ref="U3" authorId="0">
      <text>
        <r>
          <rPr>
            <sz val="10"/>
            <rFont val="Arial"/>
            <family val="2"/>
            <charset val="1"/>
          </rPr>
          <t xml:space="preserve">22.03.30 – 2021
</t>
        </r>
      </text>
    </comment>
    <comment ref="U17" authorId="0">
      <text>
        <r>
          <rPr>
            <sz val="10"/>
            <rFont val="Arial"/>
            <family val="2"/>
            <charset val="1"/>
          </rPr>
          <t xml:space="preserve">220303 - 2021</t>
        </r>
      </text>
    </comment>
    <comment ref="U33" authorId="0">
      <text>
        <r>
          <rPr>
            <sz val="10"/>
            <rFont val="Arial"/>
            <family val="2"/>
            <charset val="1"/>
          </rPr>
          <t xml:space="preserve">22.03.30 – 2021
</t>
        </r>
      </text>
    </comment>
    <comment ref="U47" authorId="0">
      <text>
        <r>
          <rPr>
            <sz val="10"/>
            <rFont val="Arial"/>
            <family val="2"/>
            <charset val="1"/>
          </rPr>
          <t xml:space="preserve">220303 - 2021</t>
        </r>
      </text>
    </comment>
    <comment ref="U63" authorId="0">
      <text>
        <r>
          <rPr>
            <sz val="10"/>
            <rFont val="Arial"/>
            <family val="2"/>
            <charset val="1"/>
          </rPr>
          <t xml:space="preserve">22.03.30 – 2021
</t>
        </r>
      </text>
    </comment>
    <comment ref="U77" authorId="0">
      <text>
        <r>
          <rPr>
            <sz val="10"/>
            <rFont val="Arial"/>
            <family val="2"/>
            <charset val="1"/>
          </rPr>
          <t xml:space="preserve">220303 - 2021</t>
        </r>
      </text>
    </comment>
    <comment ref="U93" authorId="0">
      <text>
        <r>
          <rPr>
            <sz val="10"/>
            <rFont val="Arial"/>
            <family val="2"/>
            <charset val="1"/>
          </rPr>
          <t xml:space="preserve">22.03.30 – 2021
</t>
        </r>
      </text>
    </comment>
    <comment ref="U107" authorId="0">
      <text>
        <r>
          <rPr>
            <sz val="10"/>
            <rFont val="Arial"/>
            <family val="2"/>
            <charset val="1"/>
          </rPr>
          <t xml:space="preserve">220303 - 2021</t>
        </r>
      </text>
    </comment>
    <comment ref="U123" authorId="0">
      <text>
        <r>
          <rPr>
            <sz val="10"/>
            <rFont val="Arial"/>
            <family val="2"/>
            <charset val="1"/>
          </rPr>
          <t xml:space="preserve">22.03.30 – 2021
</t>
        </r>
      </text>
    </comment>
    <comment ref="U137" authorId="0">
      <text>
        <r>
          <rPr>
            <sz val="10"/>
            <rFont val="Arial"/>
            <family val="2"/>
            <charset val="1"/>
          </rPr>
          <t xml:space="preserve">220303 - 2021</t>
        </r>
      </text>
    </comment>
    <comment ref="V20" authorId="0">
      <text>
        <r>
          <rPr>
            <sz val="10"/>
            <rFont val="Arial"/>
            <family val="2"/>
            <charset val="1"/>
          </rPr>
          <t xml:space="preserve">220225 – 2021
</t>
        </r>
      </text>
    </comment>
    <comment ref="V50" authorId="0">
      <text>
        <r>
          <rPr>
            <sz val="10"/>
            <rFont val="Arial"/>
            <family val="2"/>
            <charset val="1"/>
          </rPr>
          <t xml:space="preserve">220225 – 2021
</t>
        </r>
      </text>
    </comment>
    <comment ref="V80" authorId="0">
      <text>
        <r>
          <rPr>
            <sz val="10"/>
            <rFont val="Arial"/>
            <family val="2"/>
            <charset val="1"/>
          </rPr>
          <t xml:space="preserve">220225 – 2021
</t>
        </r>
      </text>
    </comment>
    <comment ref="V110" authorId="0">
      <text>
        <r>
          <rPr>
            <sz val="10"/>
            <rFont val="Arial"/>
            <family val="2"/>
            <charset val="1"/>
          </rPr>
          <t xml:space="preserve">220225 – 2021
</t>
        </r>
      </text>
    </comment>
    <comment ref="V140" authorId="0">
      <text>
        <r>
          <rPr>
            <sz val="10"/>
            <rFont val="Arial"/>
            <family val="2"/>
            <charset val="1"/>
          </rPr>
          <t xml:space="preserve">220225 – 2021
</t>
        </r>
      </text>
    </comment>
    <comment ref="AA4" authorId="0">
      <text>
        <r>
          <rPr>
            <sz val="10"/>
            <rFont val="Arial"/>
            <family val="2"/>
            <charset val="1"/>
          </rPr>
          <t xml:space="preserve">210617 – 2020
</t>
        </r>
      </text>
    </comment>
    <comment ref="AA34" authorId="0">
      <text>
        <r>
          <rPr>
            <sz val="10"/>
            <rFont val="Arial"/>
            <family val="2"/>
            <charset val="1"/>
          </rPr>
          <t xml:space="preserve">210617 – 2020
</t>
        </r>
      </text>
    </comment>
    <comment ref="AA64" authorId="0">
      <text>
        <r>
          <rPr>
            <sz val="10"/>
            <rFont val="Arial"/>
            <family val="2"/>
            <charset val="1"/>
          </rPr>
          <t xml:space="preserve">210617 – 2020
</t>
        </r>
      </text>
    </comment>
    <comment ref="AA94" authorId="0">
      <text>
        <r>
          <rPr>
            <sz val="10"/>
            <rFont val="Arial"/>
            <family val="2"/>
            <charset val="1"/>
          </rPr>
          <t xml:space="preserve">210617 – 2020
</t>
        </r>
      </text>
    </comment>
    <comment ref="AA124" authorId="0">
      <text>
        <r>
          <rPr>
            <sz val="10"/>
            <rFont val="Arial"/>
            <family val="2"/>
            <charset val="1"/>
          </rPr>
          <t xml:space="preserve">210617 – 2020
</t>
        </r>
      </text>
    </comment>
    <comment ref="AB5" authorId="0">
      <text>
        <r>
          <rPr>
            <sz val="10"/>
            <rFont val="Arial"/>
            <family val="2"/>
            <charset val="1"/>
          </rPr>
          <t xml:space="preserve">210505 - 2020</t>
        </r>
      </text>
    </comment>
    <comment ref="AB6" authorId="0">
      <text>
        <r>
          <rPr>
            <sz val="10"/>
            <rFont val="Arial"/>
            <family val="2"/>
            <charset val="1"/>
          </rPr>
          <t xml:space="preserve">210405 - 2020</t>
        </r>
      </text>
    </comment>
    <comment ref="AB7" authorId="0">
      <text>
        <r>
          <rPr>
            <sz val="10"/>
            <rFont val="Arial"/>
            <family val="2"/>
            <charset val="1"/>
          </rPr>
          <t xml:space="preserve">210629 - 2020</t>
        </r>
      </text>
    </comment>
    <comment ref="AB8" authorId="0">
      <text>
        <r>
          <rPr>
            <sz val="10"/>
            <rFont val="Arial"/>
            <family val="2"/>
            <charset val="1"/>
          </rPr>
          <t xml:space="preserve">210525 - 2020</t>
        </r>
      </text>
    </comment>
    <comment ref="AB9" authorId="0">
      <text>
        <r>
          <rPr>
            <sz val="10"/>
            <rFont val="Arial"/>
            <family val="2"/>
            <charset val="1"/>
          </rPr>
          <t xml:space="preserve">210527 - 2020</t>
        </r>
      </text>
    </comment>
    <comment ref="AB10" authorId="0">
      <text>
        <r>
          <rPr>
            <sz val="10"/>
            <rFont val="Arial"/>
            <family val="2"/>
            <charset val="1"/>
          </rPr>
          <t xml:space="preserve">210528 - 2020</t>
        </r>
      </text>
    </comment>
    <comment ref="AB11" authorId="0">
      <text>
        <r>
          <rPr>
            <sz val="10"/>
            <rFont val="Arial"/>
            <family val="2"/>
            <charset val="1"/>
          </rPr>
          <t xml:space="preserve">210421 - 2020</t>
        </r>
      </text>
    </comment>
    <comment ref="AB12" authorId="0">
      <text>
        <r>
          <rPr>
            <sz val="10"/>
            <rFont val="Arial"/>
            <family val="2"/>
            <charset val="1"/>
          </rPr>
          <t xml:space="preserve">210624 - 2020</t>
        </r>
      </text>
    </comment>
    <comment ref="AB13" authorId="0">
      <text>
        <r>
          <rPr>
            <sz val="10"/>
            <rFont val="Arial"/>
            <family val="2"/>
            <charset val="1"/>
          </rPr>
          <t xml:space="preserve">210429 - 2020</t>
        </r>
      </text>
    </comment>
    <comment ref="AB14" authorId="0">
      <text>
        <r>
          <rPr>
            <sz val="10"/>
            <rFont val="Arial"/>
            <family val="2"/>
            <charset val="1"/>
          </rPr>
          <t xml:space="preserve">210519 - 2020</t>
        </r>
      </text>
    </comment>
    <comment ref="AB15" authorId="0">
      <text>
        <r>
          <rPr>
            <sz val="10"/>
            <rFont val="Arial"/>
            <family val="2"/>
            <charset val="1"/>
          </rPr>
          <t xml:space="preserve">210526 - 2020</t>
        </r>
      </text>
    </comment>
    <comment ref="AB16" authorId="0">
      <text>
        <r>
          <rPr>
            <sz val="10"/>
            <rFont val="Arial"/>
            <family val="2"/>
            <charset val="1"/>
          </rPr>
          <t xml:space="preserve">210601 - 2020</t>
        </r>
      </text>
    </comment>
    <comment ref="AB18" authorId="0">
      <text>
        <r>
          <rPr>
            <sz val="10"/>
            <rFont val="Arial"/>
            <family val="2"/>
            <charset val="1"/>
          </rPr>
          <t xml:space="preserve">210528 – 2020
</t>
        </r>
      </text>
    </comment>
    <comment ref="AB19" authorId="0">
      <text>
        <r>
          <rPr>
            <sz val="10"/>
            <rFont val="Arial"/>
            <family val="2"/>
            <charset val="1"/>
          </rPr>
          <t xml:space="preserve">210526 - 2020</t>
        </r>
      </text>
    </comment>
    <comment ref="AB21" authorId="0">
      <text>
        <r>
          <rPr>
            <sz val="10"/>
            <rFont val="Arial"/>
            <family val="2"/>
            <charset val="1"/>
          </rPr>
          <t xml:space="preserve">210527 – 2020
</t>
        </r>
      </text>
    </comment>
    <comment ref="AB22" authorId="0">
      <text>
        <r>
          <rPr>
            <sz val="10"/>
            <rFont val="Arial"/>
            <family val="2"/>
            <charset val="1"/>
          </rPr>
          <t xml:space="preserve">210521 - 2020</t>
        </r>
      </text>
    </comment>
    <comment ref="AB23" authorId="0">
      <text>
        <r>
          <rPr>
            <sz val="10"/>
            <rFont val="Arial"/>
            <family val="2"/>
            <charset val="1"/>
          </rPr>
          <t xml:space="preserve">210511 – 2020
</t>
        </r>
      </text>
    </comment>
    <comment ref="AB24" authorId="0">
      <text>
        <r>
          <rPr>
            <sz val="10"/>
            <rFont val="Arial"/>
            <family val="2"/>
            <charset val="1"/>
          </rPr>
          <t xml:space="preserve">210427 – 2020
</t>
        </r>
      </text>
    </comment>
    <comment ref="AB25" authorId="0">
      <text>
        <r>
          <rPr>
            <sz val="10"/>
            <rFont val="Arial"/>
            <family val="2"/>
            <charset val="1"/>
          </rPr>
          <t xml:space="preserve">210609 – 2020
</t>
        </r>
      </text>
    </comment>
    <comment ref="AB26" authorId="0">
      <text>
        <r>
          <rPr>
            <sz val="10"/>
            <rFont val="Arial"/>
            <family val="2"/>
            <charset val="1"/>
          </rPr>
          <t xml:space="preserve">210329 – 2020
</t>
        </r>
      </text>
    </comment>
    <comment ref="AB27" authorId="0">
      <text>
        <r>
          <rPr>
            <sz val="10"/>
            <rFont val="Arial"/>
            <family val="2"/>
            <charset val="1"/>
          </rPr>
          <t xml:space="preserve">210514 – 2020
</t>
        </r>
      </text>
    </comment>
    <comment ref="AB28" authorId="0">
      <text>
        <r>
          <rPr>
            <sz val="10"/>
            <rFont val="Arial"/>
            <family val="2"/>
            <charset val="1"/>
          </rPr>
          <t xml:space="preserve">210519 – 2020
</t>
        </r>
      </text>
    </comment>
    <comment ref="AB29" authorId="0">
      <text>
        <r>
          <rPr>
            <sz val="10"/>
            <rFont val="Arial"/>
            <family val="2"/>
            <charset val="1"/>
          </rPr>
          <t xml:space="preserve">210527 – 2020
</t>
        </r>
      </text>
    </comment>
    <comment ref="AB30" authorId="0">
      <text>
        <r>
          <rPr>
            <sz val="10"/>
            <rFont val="Arial"/>
            <family val="2"/>
            <charset val="1"/>
          </rPr>
          <t xml:space="preserve">210521 – 2020
</t>
        </r>
      </text>
    </comment>
    <comment ref="AB35" authorId="0">
      <text>
        <r>
          <rPr>
            <sz val="10"/>
            <rFont val="Arial"/>
            <family val="2"/>
            <charset val="1"/>
          </rPr>
          <t xml:space="preserve">210505 - 2020</t>
        </r>
      </text>
    </comment>
    <comment ref="AB36" authorId="0">
      <text>
        <r>
          <rPr>
            <sz val="10"/>
            <rFont val="Arial"/>
            <family val="2"/>
            <charset val="1"/>
          </rPr>
          <t xml:space="preserve">210405 - 2020</t>
        </r>
      </text>
    </comment>
    <comment ref="AB37" authorId="0">
      <text>
        <r>
          <rPr>
            <sz val="10"/>
            <rFont val="Arial"/>
            <family val="2"/>
            <charset val="1"/>
          </rPr>
          <t xml:space="preserve">210629 - 2020</t>
        </r>
      </text>
    </comment>
    <comment ref="AB38" authorId="0">
      <text>
        <r>
          <rPr>
            <sz val="10"/>
            <rFont val="Arial"/>
            <family val="2"/>
            <charset val="1"/>
          </rPr>
          <t xml:space="preserve">210525 - 2020</t>
        </r>
      </text>
    </comment>
    <comment ref="AB39" authorId="0">
      <text>
        <r>
          <rPr>
            <sz val="10"/>
            <rFont val="Arial"/>
            <family val="2"/>
            <charset val="1"/>
          </rPr>
          <t xml:space="preserve">210527 - 2020</t>
        </r>
      </text>
    </comment>
    <comment ref="AB40" authorId="0">
      <text>
        <r>
          <rPr>
            <sz val="10"/>
            <rFont val="Arial"/>
            <family val="2"/>
            <charset val="1"/>
          </rPr>
          <t xml:space="preserve">210528 - 2020</t>
        </r>
      </text>
    </comment>
    <comment ref="AB41" authorId="0">
      <text>
        <r>
          <rPr>
            <sz val="10"/>
            <rFont val="Arial"/>
            <family val="2"/>
            <charset val="1"/>
          </rPr>
          <t xml:space="preserve">210421 - 2020</t>
        </r>
      </text>
    </comment>
    <comment ref="AB42" authorId="0">
      <text>
        <r>
          <rPr>
            <sz val="10"/>
            <rFont val="Arial"/>
            <family val="2"/>
            <charset val="1"/>
          </rPr>
          <t xml:space="preserve">210624 - 2020</t>
        </r>
      </text>
    </comment>
    <comment ref="AB43" authorId="0">
      <text>
        <r>
          <rPr>
            <sz val="10"/>
            <rFont val="Arial"/>
            <family val="2"/>
            <charset val="1"/>
          </rPr>
          <t xml:space="preserve">210429 - 2020</t>
        </r>
      </text>
    </comment>
    <comment ref="AB44" authorId="0">
      <text>
        <r>
          <rPr>
            <sz val="10"/>
            <rFont val="Arial"/>
            <family val="2"/>
            <charset val="1"/>
          </rPr>
          <t xml:space="preserve">210519 - 2020</t>
        </r>
      </text>
    </comment>
    <comment ref="AB45" authorId="0">
      <text>
        <r>
          <rPr>
            <sz val="10"/>
            <rFont val="Arial"/>
            <family val="2"/>
            <charset val="1"/>
          </rPr>
          <t xml:space="preserve">210526 - 2020</t>
        </r>
      </text>
    </comment>
    <comment ref="AB46" authorId="0">
      <text>
        <r>
          <rPr>
            <sz val="10"/>
            <rFont val="Arial"/>
            <family val="2"/>
            <charset val="1"/>
          </rPr>
          <t xml:space="preserve">210601 - 2020</t>
        </r>
      </text>
    </comment>
    <comment ref="AB48" authorId="0">
      <text>
        <r>
          <rPr>
            <sz val="10"/>
            <rFont val="Arial"/>
            <family val="2"/>
            <charset val="1"/>
          </rPr>
          <t xml:space="preserve">210528 – 2020
</t>
        </r>
      </text>
    </comment>
    <comment ref="AB49" authorId="0">
      <text>
        <r>
          <rPr>
            <sz val="10"/>
            <rFont val="Arial"/>
            <family val="2"/>
            <charset val="1"/>
          </rPr>
          <t xml:space="preserve">210526 - 2020</t>
        </r>
      </text>
    </comment>
    <comment ref="AB51" authorId="0">
      <text>
        <r>
          <rPr>
            <sz val="10"/>
            <rFont val="Arial"/>
            <family val="2"/>
            <charset val="1"/>
          </rPr>
          <t xml:space="preserve">210527 – 2020
</t>
        </r>
      </text>
    </comment>
    <comment ref="AB52" authorId="0">
      <text>
        <r>
          <rPr>
            <sz val="10"/>
            <rFont val="Arial"/>
            <family val="2"/>
            <charset val="1"/>
          </rPr>
          <t xml:space="preserve">210521 - 2020</t>
        </r>
      </text>
    </comment>
    <comment ref="AB53" authorId="0">
      <text>
        <r>
          <rPr>
            <sz val="10"/>
            <rFont val="Arial"/>
            <family val="2"/>
            <charset val="1"/>
          </rPr>
          <t xml:space="preserve">210511 – 2020
</t>
        </r>
      </text>
    </comment>
    <comment ref="AB54" authorId="0">
      <text>
        <r>
          <rPr>
            <sz val="10"/>
            <rFont val="Arial"/>
            <family val="2"/>
            <charset val="1"/>
          </rPr>
          <t xml:space="preserve">210427 – 2020
</t>
        </r>
      </text>
    </comment>
    <comment ref="AB55" authorId="0">
      <text>
        <r>
          <rPr>
            <sz val="10"/>
            <rFont val="Arial"/>
            <family val="2"/>
            <charset val="1"/>
          </rPr>
          <t xml:space="preserve">210609 – 2020
</t>
        </r>
      </text>
    </comment>
    <comment ref="AB56" authorId="0">
      <text>
        <r>
          <rPr>
            <sz val="10"/>
            <rFont val="Arial"/>
            <family val="2"/>
            <charset val="1"/>
          </rPr>
          <t xml:space="preserve">210329 – 2020
</t>
        </r>
      </text>
    </comment>
    <comment ref="AB57" authorId="0">
      <text>
        <r>
          <rPr>
            <sz val="10"/>
            <rFont val="Arial"/>
            <family val="2"/>
            <charset val="1"/>
          </rPr>
          <t xml:space="preserve">210514 – 2020
</t>
        </r>
      </text>
    </comment>
    <comment ref="AB58" authorId="0">
      <text>
        <r>
          <rPr>
            <sz val="10"/>
            <rFont val="Arial"/>
            <family val="2"/>
            <charset val="1"/>
          </rPr>
          <t xml:space="preserve">210519 – 2020
</t>
        </r>
      </text>
    </comment>
    <comment ref="AB59" authorId="0">
      <text>
        <r>
          <rPr>
            <sz val="10"/>
            <rFont val="Arial"/>
            <family val="2"/>
            <charset val="1"/>
          </rPr>
          <t xml:space="preserve">210527 – 2020
</t>
        </r>
      </text>
    </comment>
    <comment ref="AB60" authorId="0">
      <text>
        <r>
          <rPr>
            <sz val="10"/>
            <rFont val="Arial"/>
            <family val="2"/>
            <charset val="1"/>
          </rPr>
          <t xml:space="preserve">210521 – 2020
</t>
        </r>
      </text>
    </comment>
    <comment ref="AB65" authorId="0">
      <text>
        <r>
          <rPr>
            <sz val="10"/>
            <rFont val="Arial"/>
            <family val="2"/>
            <charset val="1"/>
          </rPr>
          <t xml:space="preserve">210505 - 2020</t>
        </r>
      </text>
    </comment>
    <comment ref="AB66" authorId="0">
      <text>
        <r>
          <rPr>
            <sz val="10"/>
            <rFont val="Arial"/>
            <family val="2"/>
            <charset val="1"/>
          </rPr>
          <t xml:space="preserve">210405 - 2020</t>
        </r>
      </text>
    </comment>
    <comment ref="AB67" authorId="0">
      <text>
        <r>
          <rPr>
            <sz val="10"/>
            <rFont val="Arial"/>
            <family val="2"/>
            <charset val="1"/>
          </rPr>
          <t xml:space="preserve">210629 - 2020</t>
        </r>
      </text>
    </comment>
    <comment ref="AB68" authorId="0">
      <text>
        <r>
          <rPr>
            <sz val="10"/>
            <rFont val="Arial"/>
            <family val="2"/>
            <charset val="1"/>
          </rPr>
          <t xml:space="preserve">210525 - 2020</t>
        </r>
      </text>
    </comment>
    <comment ref="AB69" authorId="0">
      <text>
        <r>
          <rPr>
            <sz val="10"/>
            <rFont val="Arial"/>
            <family val="2"/>
            <charset val="1"/>
          </rPr>
          <t xml:space="preserve">210527 - 2020</t>
        </r>
      </text>
    </comment>
    <comment ref="AB70" authorId="0">
      <text>
        <r>
          <rPr>
            <sz val="10"/>
            <rFont val="Arial"/>
            <family val="2"/>
            <charset val="1"/>
          </rPr>
          <t xml:space="preserve">210528 - 2020</t>
        </r>
      </text>
    </comment>
    <comment ref="AB71" authorId="0">
      <text>
        <r>
          <rPr>
            <sz val="10"/>
            <rFont val="Arial"/>
            <family val="2"/>
            <charset val="1"/>
          </rPr>
          <t xml:space="preserve">210421 - 2020</t>
        </r>
      </text>
    </comment>
    <comment ref="AB72" authorId="0">
      <text>
        <r>
          <rPr>
            <sz val="10"/>
            <rFont val="Arial"/>
            <family val="2"/>
            <charset val="1"/>
          </rPr>
          <t xml:space="preserve">210624 - 2020</t>
        </r>
      </text>
    </comment>
    <comment ref="AB73" authorId="0">
      <text>
        <r>
          <rPr>
            <sz val="10"/>
            <rFont val="Arial"/>
            <family val="2"/>
            <charset val="1"/>
          </rPr>
          <t xml:space="preserve">210429 - 2020</t>
        </r>
      </text>
    </comment>
    <comment ref="AB74" authorId="0">
      <text>
        <r>
          <rPr>
            <sz val="10"/>
            <rFont val="Arial"/>
            <family val="2"/>
            <charset val="1"/>
          </rPr>
          <t xml:space="preserve">210519 - 2020</t>
        </r>
      </text>
    </comment>
    <comment ref="AB75" authorId="0">
      <text>
        <r>
          <rPr>
            <sz val="10"/>
            <rFont val="Arial"/>
            <family val="2"/>
            <charset val="1"/>
          </rPr>
          <t xml:space="preserve">210526 - 2020</t>
        </r>
      </text>
    </comment>
    <comment ref="AB76" authorId="0">
      <text>
        <r>
          <rPr>
            <sz val="10"/>
            <rFont val="Arial"/>
            <family val="2"/>
            <charset val="1"/>
          </rPr>
          <t xml:space="preserve">210601 - 2020</t>
        </r>
      </text>
    </comment>
    <comment ref="AB78" authorId="0">
      <text>
        <r>
          <rPr>
            <sz val="10"/>
            <rFont val="Arial"/>
            <family val="2"/>
            <charset val="1"/>
          </rPr>
          <t xml:space="preserve">210528 – 2020
</t>
        </r>
      </text>
    </comment>
    <comment ref="AB79" authorId="0">
      <text>
        <r>
          <rPr>
            <sz val="10"/>
            <rFont val="Arial"/>
            <family val="2"/>
            <charset val="1"/>
          </rPr>
          <t xml:space="preserve">210526 - 2020</t>
        </r>
      </text>
    </comment>
    <comment ref="AB81" authorId="0">
      <text>
        <r>
          <rPr>
            <sz val="10"/>
            <rFont val="Arial"/>
            <family val="2"/>
            <charset val="1"/>
          </rPr>
          <t xml:space="preserve">210527 – 2020
</t>
        </r>
      </text>
    </comment>
    <comment ref="AB82" authorId="0">
      <text>
        <r>
          <rPr>
            <sz val="10"/>
            <rFont val="Arial"/>
            <family val="2"/>
            <charset val="1"/>
          </rPr>
          <t xml:space="preserve">210521 - 2020</t>
        </r>
      </text>
    </comment>
    <comment ref="AB83" authorId="0">
      <text>
        <r>
          <rPr>
            <sz val="10"/>
            <rFont val="Arial"/>
            <family val="2"/>
            <charset val="1"/>
          </rPr>
          <t xml:space="preserve">210511 – 2020
</t>
        </r>
      </text>
    </comment>
    <comment ref="AB84" authorId="0">
      <text>
        <r>
          <rPr>
            <sz val="10"/>
            <rFont val="Arial"/>
            <family val="2"/>
            <charset val="1"/>
          </rPr>
          <t xml:space="preserve">210427 – 2020
</t>
        </r>
      </text>
    </comment>
    <comment ref="AB85" authorId="0">
      <text>
        <r>
          <rPr>
            <sz val="10"/>
            <rFont val="Arial"/>
            <family val="2"/>
            <charset val="1"/>
          </rPr>
          <t xml:space="preserve">210609 – 2020
</t>
        </r>
      </text>
    </comment>
    <comment ref="AB86" authorId="0">
      <text>
        <r>
          <rPr>
            <sz val="10"/>
            <rFont val="Arial"/>
            <family val="2"/>
            <charset val="1"/>
          </rPr>
          <t xml:space="preserve">210329 – 2020
</t>
        </r>
      </text>
    </comment>
    <comment ref="AB87" authorId="0">
      <text>
        <r>
          <rPr>
            <sz val="10"/>
            <rFont val="Arial"/>
            <family val="2"/>
            <charset val="1"/>
          </rPr>
          <t xml:space="preserve">210514 – 2020
</t>
        </r>
      </text>
    </comment>
    <comment ref="AB88" authorId="0">
      <text>
        <r>
          <rPr>
            <sz val="10"/>
            <rFont val="Arial"/>
            <family val="2"/>
            <charset val="1"/>
          </rPr>
          <t xml:space="preserve">210519 – 2020
</t>
        </r>
      </text>
    </comment>
    <comment ref="AB89" authorId="0">
      <text>
        <r>
          <rPr>
            <sz val="10"/>
            <rFont val="Arial"/>
            <family val="2"/>
            <charset val="1"/>
          </rPr>
          <t xml:space="preserve">210527 – 2020
</t>
        </r>
      </text>
    </comment>
    <comment ref="AB90" authorId="0">
      <text>
        <r>
          <rPr>
            <sz val="10"/>
            <rFont val="Arial"/>
            <family val="2"/>
            <charset val="1"/>
          </rPr>
          <t xml:space="preserve">210521 – 2020
</t>
        </r>
      </text>
    </comment>
    <comment ref="AB95" authorId="0">
      <text>
        <r>
          <rPr>
            <sz val="10"/>
            <rFont val="Arial"/>
            <family val="2"/>
            <charset val="1"/>
          </rPr>
          <t xml:space="preserve">210505 - 2020</t>
        </r>
      </text>
    </comment>
    <comment ref="AB96" authorId="0">
      <text>
        <r>
          <rPr>
            <sz val="10"/>
            <rFont val="Arial"/>
            <family val="2"/>
            <charset val="1"/>
          </rPr>
          <t xml:space="preserve">210405 - 2020</t>
        </r>
      </text>
    </comment>
    <comment ref="AB97" authorId="0">
      <text>
        <r>
          <rPr>
            <sz val="10"/>
            <rFont val="Arial"/>
            <family val="2"/>
            <charset val="1"/>
          </rPr>
          <t xml:space="preserve">210629 - 2020</t>
        </r>
      </text>
    </comment>
    <comment ref="AB98" authorId="0">
      <text>
        <r>
          <rPr>
            <sz val="10"/>
            <rFont val="Arial"/>
            <family val="2"/>
            <charset val="1"/>
          </rPr>
          <t xml:space="preserve">210525 - 2020</t>
        </r>
      </text>
    </comment>
    <comment ref="AB99" authorId="0">
      <text>
        <r>
          <rPr>
            <sz val="10"/>
            <rFont val="Arial"/>
            <family val="2"/>
            <charset val="1"/>
          </rPr>
          <t xml:space="preserve">210527 - 2020</t>
        </r>
      </text>
    </comment>
    <comment ref="AB100" authorId="0">
      <text>
        <r>
          <rPr>
            <sz val="10"/>
            <rFont val="Arial"/>
            <family val="2"/>
            <charset val="1"/>
          </rPr>
          <t xml:space="preserve">210528 - 2020</t>
        </r>
      </text>
    </comment>
    <comment ref="AB101" authorId="0">
      <text>
        <r>
          <rPr>
            <sz val="10"/>
            <rFont val="Arial"/>
            <family val="2"/>
            <charset val="1"/>
          </rPr>
          <t xml:space="preserve">210421 – 2020 Regarding 2020 there if we include amortization on Operating earrnings there was a net loss. Net earnings were positive because of financial gains
</t>
        </r>
      </text>
    </comment>
    <comment ref="AB102" authorId="0">
      <text>
        <r>
          <rPr>
            <sz val="10"/>
            <rFont val="Arial"/>
            <family val="2"/>
            <charset val="1"/>
          </rPr>
          <t xml:space="preserve">210624 - 2020</t>
        </r>
      </text>
    </comment>
    <comment ref="AB103" authorId="0">
      <text>
        <r>
          <rPr>
            <sz val="10"/>
            <rFont val="Arial"/>
            <family val="2"/>
            <charset val="1"/>
          </rPr>
          <t xml:space="preserve">210429 - 2020</t>
        </r>
      </text>
    </comment>
    <comment ref="AB104" authorId="0">
      <text>
        <r>
          <rPr>
            <sz val="10"/>
            <rFont val="Arial"/>
            <family val="2"/>
            <charset val="1"/>
          </rPr>
          <t xml:space="preserve">210519 - 2020</t>
        </r>
      </text>
    </comment>
    <comment ref="AB105" authorId="0">
      <text>
        <r>
          <rPr>
            <sz val="10"/>
            <rFont val="Arial"/>
            <family val="2"/>
            <charset val="1"/>
          </rPr>
          <t xml:space="preserve">210526 - 2020</t>
        </r>
      </text>
    </comment>
    <comment ref="AB106" authorId="0">
      <text>
        <r>
          <rPr>
            <sz val="10"/>
            <rFont val="Arial"/>
            <family val="2"/>
            <charset val="1"/>
          </rPr>
          <t xml:space="preserve">210601 - 2020</t>
        </r>
      </text>
    </comment>
    <comment ref="AB108" authorId="0">
      <text>
        <r>
          <rPr>
            <sz val="10"/>
            <rFont val="Arial"/>
            <family val="2"/>
            <charset val="1"/>
          </rPr>
          <t xml:space="preserve">210528 – 2020
</t>
        </r>
      </text>
    </comment>
    <comment ref="AB109" authorId="0">
      <text>
        <r>
          <rPr>
            <sz val="10"/>
            <rFont val="Arial"/>
            <family val="2"/>
            <charset val="1"/>
          </rPr>
          <t xml:space="preserve">210526 - 2020</t>
        </r>
      </text>
    </comment>
    <comment ref="AB111" authorId="0">
      <text>
        <r>
          <rPr>
            <sz val="10"/>
            <rFont val="Arial"/>
            <family val="2"/>
            <charset val="1"/>
          </rPr>
          <t xml:space="preserve">210527 – 2020
</t>
        </r>
      </text>
    </comment>
    <comment ref="AB112" authorId="0">
      <text>
        <r>
          <rPr>
            <sz val="10"/>
            <rFont val="Arial"/>
            <family val="2"/>
            <charset val="1"/>
          </rPr>
          <t xml:space="preserve">210521 - 2020</t>
        </r>
      </text>
    </comment>
    <comment ref="AB113" authorId="0">
      <text>
        <r>
          <rPr>
            <sz val="10"/>
            <rFont val="Arial"/>
            <family val="2"/>
            <charset val="1"/>
          </rPr>
          <t xml:space="preserve">210511 – 2020
</t>
        </r>
      </text>
    </comment>
    <comment ref="AB114" authorId="0">
      <text>
        <r>
          <rPr>
            <sz val="10"/>
            <rFont val="Arial"/>
            <family val="2"/>
            <charset val="1"/>
          </rPr>
          <t xml:space="preserve">210427 – 2020
</t>
        </r>
      </text>
    </comment>
    <comment ref="AB115" authorId="0">
      <text>
        <r>
          <rPr>
            <sz val="10"/>
            <rFont val="Arial"/>
            <family val="2"/>
            <charset val="1"/>
          </rPr>
          <t xml:space="preserve">210609 – 2020
</t>
        </r>
      </text>
    </comment>
    <comment ref="AB116" authorId="0">
      <text>
        <r>
          <rPr>
            <sz val="10"/>
            <rFont val="Arial"/>
            <family val="2"/>
            <charset val="1"/>
          </rPr>
          <t xml:space="preserve">210329 – 2020
</t>
        </r>
      </text>
    </comment>
    <comment ref="AB117" authorId="0">
      <text>
        <r>
          <rPr>
            <sz val="10"/>
            <rFont val="Arial"/>
            <family val="2"/>
            <charset val="1"/>
          </rPr>
          <t xml:space="preserve">210514 – 2020
</t>
        </r>
      </text>
    </comment>
    <comment ref="AB118" authorId="0">
      <text>
        <r>
          <rPr>
            <sz val="10"/>
            <rFont val="Arial"/>
            <family val="2"/>
            <charset val="1"/>
          </rPr>
          <t xml:space="preserve">210519 – 2020
</t>
        </r>
      </text>
    </comment>
    <comment ref="AB119" authorId="0">
      <text>
        <r>
          <rPr>
            <sz val="10"/>
            <rFont val="Arial"/>
            <family val="2"/>
            <charset val="1"/>
          </rPr>
          <t xml:space="preserve">210527 – 2020
</t>
        </r>
      </text>
    </comment>
    <comment ref="AB120" authorId="0">
      <text>
        <r>
          <rPr>
            <sz val="10"/>
            <rFont val="Arial"/>
            <family val="2"/>
            <charset val="1"/>
          </rPr>
          <t xml:space="preserve">210521 – 2020
</t>
        </r>
      </text>
    </comment>
    <comment ref="AB125" authorId="0">
      <text>
        <r>
          <rPr>
            <sz val="10"/>
            <rFont val="Arial"/>
            <family val="2"/>
            <charset val="1"/>
          </rPr>
          <t xml:space="preserve">210505 - 2020</t>
        </r>
      </text>
    </comment>
    <comment ref="AB126" authorId="0">
      <text>
        <r>
          <rPr>
            <sz val="10"/>
            <rFont val="Arial"/>
            <family val="2"/>
            <charset val="1"/>
          </rPr>
          <t xml:space="preserve">210405 - 2020</t>
        </r>
      </text>
    </comment>
    <comment ref="AB127" authorId="0">
      <text>
        <r>
          <rPr>
            <sz val="10"/>
            <rFont val="Arial"/>
            <family val="2"/>
            <charset val="1"/>
          </rPr>
          <t xml:space="preserve">210629 - 2020</t>
        </r>
      </text>
    </comment>
    <comment ref="AB128" authorId="0">
      <text>
        <r>
          <rPr>
            <sz val="10"/>
            <rFont val="Arial"/>
            <family val="2"/>
            <charset val="1"/>
          </rPr>
          <t xml:space="preserve">210525 - 2020</t>
        </r>
      </text>
    </comment>
    <comment ref="AB129" authorId="0">
      <text>
        <r>
          <rPr>
            <sz val="10"/>
            <rFont val="Arial"/>
            <family val="2"/>
            <charset val="1"/>
          </rPr>
          <t xml:space="preserve">210527 - 2020</t>
        </r>
      </text>
    </comment>
    <comment ref="AB130" authorId="0">
      <text>
        <r>
          <rPr>
            <sz val="10"/>
            <rFont val="Arial"/>
            <family val="2"/>
            <charset val="1"/>
          </rPr>
          <t xml:space="preserve">210528 - 2020</t>
        </r>
      </text>
    </comment>
    <comment ref="AB131" authorId="0">
      <text>
        <r>
          <rPr>
            <sz val="10"/>
            <rFont val="Arial"/>
            <family val="2"/>
            <charset val="1"/>
          </rPr>
          <t xml:space="preserve">210421 - 2020</t>
        </r>
      </text>
    </comment>
    <comment ref="AB132" authorId="0">
      <text>
        <r>
          <rPr>
            <sz val="10"/>
            <rFont val="Arial"/>
            <family val="2"/>
            <charset val="1"/>
          </rPr>
          <t xml:space="preserve">210624 - 2020</t>
        </r>
      </text>
    </comment>
    <comment ref="AB133" authorId="0">
      <text>
        <r>
          <rPr>
            <sz val="10"/>
            <rFont val="Arial"/>
            <family val="2"/>
            <charset val="1"/>
          </rPr>
          <t xml:space="preserve">210429 - 2020</t>
        </r>
      </text>
    </comment>
    <comment ref="AB134" authorId="0">
      <text>
        <r>
          <rPr>
            <sz val="10"/>
            <rFont val="Arial"/>
            <family val="2"/>
            <charset val="1"/>
          </rPr>
          <t xml:space="preserve">210519 - 2020</t>
        </r>
      </text>
    </comment>
    <comment ref="AB135" authorId="0">
      <text>
        <r>
          <rPr>
            <sz val="10"/>
            <rFont val="Arial"/>
            <family val="2"/>
            <charset val="1"/>
          </rPr>
          <t xml:space="preserve">210526 - 2020</t>
        </r>
      </text>
    </comment>
    <comment ref="AB136" authorId="0">
      <text>
        <r>
          <rPr>
            <sz val="10"/>
            <rFont val="Arial"/>
            <family val="2"/>
            <charset val="1"/>
          </rPr>
          <t xml:space="preserve">210601 - 2020</t>
        </r>
      </text>
    </comment>
    <comment ref="AB138" authorId="0">
      <text>
        <r>
          <rPr>
            <sz val="10"/>
            <rFont val="Arial"/>
            <family val="2"/>
            <charset val="1"/>
          </rPr>
          <t xml:space="preserve">210528 – 2020
</t>
        </r>
      </text>
    </comment>
    <comment ref="AB139" authorId="0">
      <text>
        <r>
          <rPr>
            <sz val="10"/>
            <rFont val="Arial"/>
            <family val="2"/>
            <charset val="1"/>
          </rPr>
          <t xml:space="preserve">210526 - 2020</t>
        </r>
      </text>
    </comment>
    <comment ref="AB141" authorId="0">
      <text>
        <r>
          <rPr>
            <sz val="10"/>
            <rFont val="Arial"/>
            <family val="2"/>
            <charset val="1"/>
          </rPr>
          <t xml:space="preserve">210527 – 2020
</t>
        </r>
      </text>
    </comment>
    <comment ref="AB142" authorId="0">
      <text>
        <r>
          <rPr>
            <sz val="10"/>
            <rFont val="Arial"/>
            <family val="2"/>
            <charset val="1"/>
          </rPr>
          <t xml:space="preserve">210521 - 2020</t>
        </r>
      </text>
    </comment>
    <comment ref="AB143" authorId="0">
      <text>
        <r>
          <rPr>
            <sz val="10"/>
            <rFont val="Arial"/>
            <family val="2"/>
            <charset val="1"/>
          </rPr>
          <t xml:space="preserve">210511 – 2020
</t>
        </r>
      </text>
    </comment>
    <comment ref="AB144" authorId="0">
      <text>
        <r>
          <rPr>
            <sz val="10"/>
            <rFont val="Arial"/>
            <family val="2"/>
            <charset val="1"/>
          </rPr>
          <t xml:space="preserve">210427 – 2020
</t>
        </r>
      </text>
    </comment>
    <comment ref="AB145" authorId="0">
      <text>
        <r>
          <rPr>
            <sz val="10"/>
            <rFont val="Arial"/>
            <family val="2"/>
            <charset val="1"/>
          </rPr>
          <t xml:space="preserve">210609 – 2020
</t>
        </r>
      </text>
    </comment>
    <comment ref="AB146" authorId="0">
      <text>
        <r>
          <rPr>
            <sz val="10"/>
            <rFont val="Arial"/>
            <family val="2"/>
            <charset val="1"/>
          </rPr>
          <t xml:space="preserve">210329 – 2020
</t>
        </r>
      </text>
    </comment>
    <comment ref="AB147" authorId="0">
      <text>
        <r>
          <rPr>
            <sz val="10"/>
            <rFont val="Arial"/>
            <family val="2"/>
            <charset val="1"/>
          </rPr>
          <t xml:space="preserve">210514 – 2020
</t>
        </r>
      </text>
    </comment>
    <comment ref="AB148" authorId="0">
      <text>
        <r>
          <rPr>
            <sz val="10"/>
            <rFont val="Arial"/>
            <family val="2"/>
            <charset val="1"/>
          </rPr>
          <t xml:space="preserve">210519 – 2020
</t>
        </r>
      </text>
    </comment>
    <comment ref="AB149" authorId="0">
      <text>
        <r>
          <rPr>
            <sz val="10"/>
            <rFont val="Arial"/>
            <family val="2"/>
            <charset val="1"/>
          </rPr>
          <t xml:space="preserve">210527 – 2020
</t>
        </r>
      </text>
    </comment>
    <comment ref="AB150" authorId="0">
      <text>
        <r>
          <rPr>
            <sz val="10"/>
            <rFont val="Arial"/>
            <family val="2"/>
            <charset val="1"/>
          </rPr>
          <t xml:space="preserve">210521 – 2020
</t>
        </r>
      </text>
    </comment>
    <comment ref="AC3" authorId="0">
      <text>
        <r>
          <rPr>
            <sz val="10"/>
            <rFont val="Arial"/>
            <family val="2"/>
            <charset val="1"/>
          </rPr>
          <t xml:space="preserve">21.03.29 – 2020
</t>
        </r>
      </text>
    </comment>
    <comment ref="AC17" authorId="0">
      <text>
        <r>
          <rPr>
            <sz val="10"/>
            <rFont val="Arial"/>
            <family val="2"/>
            <charset val="1"/>
          </rPr>
          <t xml:space="preserve">210226 - 2020</t>
        </r>
      </text>
    </comment>
    <comment ref="AC20" authorId="0">
      <text>
        <r>
          <rPr>
            <sz val="10"/>
            <rFont val="Arial"/>
            <family val="2"/>
            <charset val="1"/>
          </rPr>
          <t xml:space="preserve">210226 – 2020
</t>
        </r>
      </text>
    </comment>
    <comment ref="AC33" authorId="0">
      <text>
        <r>
          <rPr>
            <sz val="10"/>
            <rFont val="Arial"/>
            <family val="2"/>
            <charset val="1"/>
          </rPr>
          <t xml:space="preserve">21.03.29 – 2020
</t>
        </r>
      </text>
    </comment>
    <comment ref="AC47" authorId="0">
      <text>
        <r>
          <rPr>
            <sz val="10"/>
            <rFont val="Arial"/>
            <family val="2"/>
            <charset val="1"/>
          </rPr>
          <t xml:space="preserve">210226 - 2020</t>
        </r>
      </text>
    </comment>
    <comment ref="AC50" authorId="0">
      <text>
        <r>
          <rPr>
            <sz val="10"/>
            <rFont val="Arial"/>
            <family val="2"/>
            <charset val="1"/>
          </rPr>
          <t xml:space="preserve">210226 – 2020
</t>
        </r>
      </text>
    </comment>
    <comment ref="AC63" authorId="0">
      <text>
        <r>
          <rPr>
            <sz val="10"/>
            <rFont val="Arial"/>
            <family val="2"/>
            <charset val="1"/>
          </rPr>
          <t xml:space="preserve">21.03.29 – 2020
</t>
        </r>
      </text>
    </comment>
    <comment ref="AC77" authorId="0">
      <text>
        <r>
          <rPr>
            <sz val="10"/>
            <rFont val="Arial"/>
            <family val="2"/>
            <charset val="1"/>
          </rPr>
          <t xml:space="preserve">210226 - 2020</t>
        </r>
      </text>
    </comment>
    <comment ref="AC80" authorId="0">
      <text>
        <r>
          <rPr>
            <sz val="10"/>
            <rFont val="Arial"/>
            <family val="2"/>
            <charset val="1"/>
          </rPr>
          <t xml:space="preserve">210226 – 2020
</t>
        </r>
      </text>
    </comment>
    <comment ref="AC93" authorId="0">
      <text>
        <r>
          <rPr>
            <sz val="10"/>
            <rFont val="Arial"/>
            <family val="2"/>
            <charset val="1"/>
          </rPr>
          <t xml:space="preserve">21.03.29 – 2020
</t>
        </r>
      </text>
    </comment>
    <comment ref="AC107" authorId="0">
      <text>
        <r>
          <rPr>
            <sz val="10"/>
            <rFont val="Arial"/>
            <family val="2"/>
            <charset val="1"/>
          </rPr>
          <t xml:space="preserve">210226 - 2020</t>
        </r>
      </text>
    </comment>
    <comment ref="AC110" authorId="0">
      <text>
        <r>
          <rPr>
            <sz val="10"/>
            <rFont val="Arial"/>
            <family val="2"/>
            <charset val="1"/>
          </rPr>
          <t xml:space="preserve">210226 – 2020
</t>
        </r>
      </text>
    </comment>
    <comment ref="AC123" authorId="0">
      <text>
        <r>
          <rPr>
            <sz val="10"/>
            <rFont val="Arial"/>
            <family val="2"/>
            <charset val="1"/>
          </rPr>
          <t xml:space="preserve">21.03.29 – 2020
</t>
        </r>
      </text>
    </comment>
    <comment ref="AC137" authorId="0">
      <text>
        <r>
          <rPr>
            <sz val="10"/>
            <rFont val="Arial"/>
            <family val="2"/>
            <charset val="1"/>
          </rPr>
          <t xml:space="preserve">210226 - 2020</t>
        </r>
      </text>
    </comment>
    <comment ref="AC140" authorId="0">
      <text>
        <r>
          <rPr>
            <sz val="10"/>
            <rFont val="Arial"/>
            <family val="2"/>
            <charset val="1"/>
          </rPr>
          <t xml:space="preserve">210226 – 2020
</t>
        </r>
      </text>
    </comment>
    <comment ref="AF4" authorId="0">
      <text>
        <r>
          <rPr>
            <sz val="10"/>
            <rFont val="Arial"/>
            <family val="2"/>
            <charset val="1"/>
          </rPr>
          <t xml:space="preserve">200701 – 2019
</t>
        </r>
      </text>
    </comment>
    <comment ref="AF7" authorId="0">
      <text>
        <r>
          <rPr>
            <sz val="10"/>
            <rFont val="Arial"/>
            <family val="2"/>
            <charset val="1"/>
          </rPr>
          <t xml:space="preserve">200701 - 2019</t>
        </r>
      </text>
    </comment>
    <comment ref="AF15" authorId="0">
      <text>
        <r>
          <rPr>
            <sz val="10"/>
            <rFont val="Arial"/>
            <family val="2"/>
            <charset val="1"/>
          </rPr>
          <t xml:space="preserve">200722 - 2019</t>
        </r>
      </text>
    </comment>
    <comment ref="AF16" authorId="0">
      <text>
        <r>
          <rPr>
            <sz val="10"/>
            <rFont val="Arial"/>
            <family val="2"/>
            <charset val="1"/>
          </rPr>
          <t xml:space="preserve">200903 - 2019</t>
        </r>
      </text>
    </comment>
    <comment ref="AF29" authorId="0">
      <text>
        <r>
          <rPr>
            <sz val="10"/>
            <rFont val="Arial"/>
            <family val="2"/>
            <charset val="1"/>
          </rPr>
          <t xml:space="preserve">200727 – 2019
</t>
        </r>
      </text>
    </comment>
    <comment ref="AF34" authorId="0">
      <text>
        <r>
          <rPr>
            <sz val="10"/>
            <rFont val="Arial"/>
            <family val="2"/>
            <charset val="1"/>
          </rPr>
          <t xml:space="preserve">200701 – 2019
</t>
        </r>
      </text>
    </comment>
    <comment ref="AF37" authorId="0">
      <text>
        <r>
          <rPr>
            <sz val="10"/>
            <rFont val="Arial"/>
            <family val="2"/>
            <charset val="1"/>
          </rPr>
          <t xml:space="preserve">200701 - 2019</t>
        </r>
      </text>
    </comment>
    <comment ref="AF45" authorId="0">
      <text>
        <r>
          <rPr>
            <sz val="10"/>
            <rFont val="Arial"/>
            <family val="2"/>
            <charset val="1"/>
          </rPr>
          <t xml:space="preserve">200722 - 2019</t>
        </r>
      </text>
    </comment>
    <comment ref="AF46" authorId="0">
      <text>
        <r>
          <rPr>
            <sz val="10"/>
            <rFont val="Arial"/>
            <family val="2"/>
            <charset val="1"/>
          </rPr>
          <t xml:space="preserve">200903 - 2019</t>
        </r>
      </text>
    </comment>
    <comment ref="AF59" authorId="0">
      <text>
        <r>
          <rPr>
            <sz val="10"/>
            <rFont val="Arial"/>
            <family val="2"/>
            <charset val="1"/>
          </rPr>
          <t xml:space="preserve">200727 – 2019
</t>
        </r>
      </text>
    </comment>
    <comment ref="AF64" authorId="0">
      <text>
        <r>
          <rPr>
            <sz val="10"/>
            <rFont val="Arial"/>
            <family val="2"/>
            <charset val="1"/>
          </rPr>
          <t xml:space="preserve">200701 – 2019
</t>
        </r>
      </text>
    </comment>
    <comment ref="AF67" authorId="0">
      <text>
        <r>
          <rPr>
            <sz val="10"/>
            <rFont val="Arial"/>
            <family val="2"/>
            <charset val="1"/>
          </rPr>
          <t xml:space="preserve">200701 - 2019</t>
        </r>
      </text>
    </comment>
    <comment ref="AF75" authorId="0">
      <text>
        <r>
          <rPr>
            <sz val="10"/>
            <rFont val="Arial"/>
            <family val="2"/>
            <charset val="1"/>
          </rPr>
          <t xml:space="preserve">200722 - 2019</t>
        </r>
      </text>
    </comment>
    <comment ref="AF76" authorId="0">
      <text>
        <r>
          <rPr>
            <sz val="10"/>
            <rFont val="Arial"/>
            <family val="2"/>
            <charset val="1"/>
          </rPr>
          <t xml:space="preserve">200903 - 2019</t>
        </r>
      </text>
    </comment>
    <comment ref="AF89" authorId="0">
      <text>
        <r>
          <rPr>
            <sz val="10"/>
            <rFont val="Arial"/>
            <family val="2"/>
            <charset val="1"/>
          </rPr>
          <t xml:space="preserve">200727 – 2019
</t>
        </r>
      </text>
    </comment>
    <comment ref="AF94" authorId="0">
      <text>
        <r>
          <rPr>
            <sz val="10"/>
            <rFont val="Arial"/>
            <family val="2"/>
            <charset val="1"/>
          </rPr>
          <t xml:space="preserve">200701 – 2019
</t>
        </r>
      </text>
    </comment>
    <comment ref="AF97" authorId="0">
      <text>
        <r>
          <rPr>
            <sz val="10"/>
            <rFont val="Arial"/>
            <family val="2"/>
            <charset val="1"/>
          </rPr>
          <t xml:space="preserve">200701 - 2019</t>
        </r>
      </text>
    </comment>
    <comment ref="AF105" authorId="0">
      <text>
        <r>
          <rPr>
            <sz val="10"/>
            <rFont val="Arial"/>
            <family val="2"/>
            <charset val="1"/>
          </rPr>
          <t xml:space="preserve">200722 - 2019</t>
        </r>
      </text>
    </comment>
    <comment ref="AF106" authorId="0">
      <text>
        <r>
          <rPr>
            <sz val="10"/>
            <rFont val="Arial"/>
            <family val="2"/>
            <charset val="1"/>
          </rPr>
          <t xml:space="preserve">200903 - 2019</t>
        </r>
      </text>
    </comment>
    <comment ref="AF119" authorId="0">
      <text>
        <r>
          <rPr>
            <sz val="10"/>
            <rFont val="Arial"/>
            <family val="2"/>
            <charset val="1"/>
          </rPr>
          <t xml:space="preserve">200727 – 2019
</t>
        </r>
      </text>
    </comment>
    <comment ref="AF124" authorId="0">
      <text>
        <r>
          <rPr>
            <sz val="10"/>
            <rFont val="Arial"/>
            <family val="2"/>
            <charset val="1"/>
          </rPr>
          <t xml:space="preserve">200701 – 2019
</t>
        </r>
      </text>
    </comment>
    <comment ref="AF127" authorId="0">
      <text>
        <r>
          <rPr>
            <sz val="10"/>
            <rFont val="Arial"/>
            <family val="2"/>
            <charset val="1"/>
          </rPr>
          <t xml:space="preserve">200701 - 2019</t>
        </r>
      </text>
    </comment>
    <comment ref="AF135" authorId="0">
      <text>
        <r>
          <rPr>
            <sz val="10"/>
            <rFont val="Arial"/>
            <family val="2"/>
            <charset val="1"/>
          </rPr>
          <t xml:space="preserve">200722 - 2019</t>
        </r>
      </text>
    </comment>
    <comment ref="AF136" authorId="0">
      <text>
        <r>
          <rPr>
            <sz val="10"/>
            <rFont val="Arial"/>
            <family val="2"/>
            <charset val="1"/>
          </rPr>
          <t xml:space="preserve">200903 - 2019</t>
        </r>
      </text>
    </comment>
    <comment ref="AF149" authorId="0">
      <text>
        <r>
          <rPr>
            <sz val="10"/>
            <rFont val="Arial"/>
            <family val="2"/>
            <charset val="1"/>
          </rPr>
          <t xml:space="preserve">200727 – 2019
</t>
        </r>
      </text>
    </comment>
    <comment ref="AG3" authorId="0">
      <text>
        <r>
          <rPr>
            <sz val="10"/>
            <rFont val="Arial"/>
            <family val="2"/>
            <charset val="1"/>
          </rPr>
          <t xml:space="preserve">19.04.03 - 2019</t>
        </r>
      </text>
    </comment>
    <comment ref="AG5" authorId="0">
      <text>
        <r>
          <rPr>
            <sz val="10"/>
            <rFont val="Arial"/>
            <family val="2"/>
            <charset val="1"/>
          </rPr>
          <t xml:space="preserve">200424 - 2019</t>
        </r>
      </text>
    </comment>
    <comment ref="AG6" authorId="0">
      <text>
        <r>
          <rPr>
            <sz val="10"/>
            <rFont val="Arial"/>
            <family val="2"/>
            <charset val="1"/>
          </rPr>
          <t xml:space="preserve">200406 – 2019
</t>
        </r>
      </text>
    </comment>
    <comment ref="AG8" authorId="0">
      <text>
        <r>
          <rPr>
            <sz val="10"/>
            <rFont val="Arial"/>
            <family val="2"/>
            <charset val="1"/>
          </rPr>
          <t xml:space="preserve">200508 – 2019
</t>
        </r>
      </text>
    </comment>
    <comment ref="AG9" authorId="0">
      <text>
        <r>
          <rPr>
            <sz val="10"/>
            <rFont val="Arial"/>
            <family val="2"/>
            <charset val="1"/>
          </rPr>
          <t xml:space="preserve">200622 – 2019
</t>
        </r>
      </text>
    </comment>
    <comment ref="AG10" authorId="0">
      <text>
        <r>
          <rPr>
            <sz val="10"/>
            <rFont val="Arial"/>
            <family val="2"/>
            <charset val="1"/>
          </rPr>
          <t xml:space="preserve">200602 - 2019</t>
        </r>
      </text>
    </comment>
    <comment ref="AG11" authorId="0">
      <text>
        <r>
          <rPr>
            <sz val="10"/>
            <rFont val="Arial"/>
            <family val="2"/>
            <charset val="1"/>
          </rPr>
          <t xml:space="preserve">200410 - 2019</t>
        </r>
      </text>
    </comment>
    <comment ref="AG12" authorId="0">
      <text>
        <r>
          <rPr>
            <sz val="10"/>
            <rFont val="Arial"/>
            <family val="2"/>
            <charset val="1"/>
          </rPr>
          <t xml:space="preserve">200612 - 2019</t>
        </r>
      </text>
    </comment>
    <comment ref="AG13" authorId="0">
      <text>
        <r>
          <rPr>
            <sz val="10"/>
            <rFont val="Arial"/>
            <family val="2"/>
            <charset val="1"/>
          </rPr>
          <t xml:space="preserve">200408 - 2019</t>
        </r>
      </text>
    </comment>
    <comment ref="AG14" authorId="0">
      <text>
        <r>
          <rPr>
            <sz val="10"/>
            <rFont val="Arial"/>
            <family val="2"/>
            <charset val="1"/>
          </rPr>
          <t xml:space="preserve">200415 - 2019</t>
        </r>
      </text>
    </comment>
    <comment ref="AG18" authorId="0">
      <text>
        <r>
          <rPr>
            <sz val="10"/>
            <rFont val="Arial"/>
            <family val="2"/>
            <charset val="1"/>
          </rPr>
          <t xml:space="preserve">200629 – 2019
</t>
        </r>
      </text>
    </comment>
    <comment ref="AG19" authorId="0">
      <text>
        <r>
          <rPr>
            <sz val="10"/>
            <rFont val="Arial"/>
            <family val="2"/>
            <charset val="1"/>
          </rPr>
          <t xml:space="preserve">200527 - 2019</t>
        </r>
      </text>
    </comment>
    <comment ref="AG20" authorId="0">
      <text>
        <r>
          <rPr>
            <sz val="10"/>
            <rFont val="Arial"/>
            <family val="2"/>
            <charset val="1"/>
          </rPr>
          <t xml:space="preserve">200530 – 2019
</t>
        </r>
      </text>
    </comment>
    <comment ref="AG21" authorId="0">
      <text>
        <r>
          <rPr>
            <sz val="10"/>
            <rFont val="Arial"/>
            <family val="2"/>
            <charset val="1"/>
          </rPr>
          <t xml:space="preserve">200623 – 2019
</t>
        </r>
      </text>
    </comment>
    <comment ref="AG22" authorId="0">
      <text>
        <r>
          <rPr>
            <sz val="10"/>
            <rFont val="Arial"/>
            <family val="2"/>
            <charset val="1"/>
          </rPr>
          <t xml:space="preserve">200604 - 2019</t>
        </r>
      </text>
    </comment>
    <comment ref="AG23" authorId="0">
      <text>
        <r>
          <rPr>
            <sz val="10"/>
            <rFont val="Arial"/>
            <family val="2"/>
            <charset val="1"/>
          </rPr>
          <t xml:space="preserve">200414 – 2019
</t>
        </r>
      </text>
    </comment>
    <comment ref="AG24" authorId="0">
      <text>
        <r>
          <rPr>
            <sz val="10"/>
            <rFont val="Arial"/>
            <family val="2"/>
            <charset val="1"/>
          </rPr>
          <t xml:space="preserve">200515 – 2019
</t>
        </r>
      </text>
    </comment>
    <comment ref="AG25" authorId="0">
      <text>
        <r>
          <rPr>
            <sz val="10"/>
            <rFont val="Arial"/>
            <family val="2"/>
            <charset val="1"/>
          </rPr>
          <t xml:space="preserve">200611 – 2019
</t>
        </r>
      </text>
    </comment>
    <comment ref="AG26" authorId="0">
      <text>
        <r>
          <rPr>
            <sz val="10"/>
            <rFont val="Arial"/>
            <family val="2"/>
            <charset val="1"/>
          </rPr>
          <t xml:space="preserve">200522 – 2019
</t>
        </r>
      </text>
    </comment>
    <comment ref="AG27" authorId="0">
      <text>
        <r>
          <rPr>
            <sz val="10"/>
            <rFont val="Arial"/>
            <family val="2"/>
            <charset val="1"/>
          </rPr>
          <t xml:space="preserve">200518 – 2019
</t>
        </r>
      </text>
    </comment>
    <comment ref="AG28" authorId="0">
      <text>
        <r>
          <rPr>
            <sz val="10"/>
            <rFont val="Arial"/>
            <family val="2"/>
            <charset val="1"/>
          </rPr>
          <t xml:space="preserve">200602 – 2019
</t>
        </r>
      </text>
    </comment>
    <comment ref="AG30" authorId="0">
      <text>
        <r>
          <rPr>
            <sz val="10"/>
            <rFont val="Arial"/>
            <family val="2"/>
            <charset val="1"/>
          </rPr>
          <t xml:space="preserve">200529 – 2019
</t>
        </r>
      </text>
    </comment>
    <comment ref="AG33" authorId="0">
      <text>
        <r>
          <rPr>
            <sz val="10"/>
            <rFont val="Arial"/>
            <family val="2"/>
            <charset val="1"/>
          </rPr>
          <t xml:space="preserve">19.04.03 - 2019</t>
        </r>
      </text>
    </comment>
    <comment ref="AG35" authorId="0">
      <text>
        <r>
          <rPr>
            <sz val="10"/>
            <rFont val="Arial"/>
            <family val="2"/>
            <charset val="1"/>
          </rPr>
          <t xml:space="preserve">200424 - 2019</t>
        </r>
      </text>
    </comment>
    <comment ref="AG36" authorId="0">
      <text>
        <r>
          <rPr>
            <sz val="10"/>
            <rFont val="Arial"/>
            <family val="2"/>
            <charset val="1"/>
          </rPr>
          <t xml:space="preserve">200406 – 2019
</t>
        </r>
      </text>
    </comment>
    <comment ref="AG38" authorId="0">
      <text>
        <r>
          <rPr>
            <sz val="10"/>
            <rFont val="Arial"/>
            <family val="2"/>
            <charset val="1"/>
          </rPr>
          <t xml:space="preserve">200508 – 2019
</t>
        </r>
      </text>
    </comment>
    <comment ref="AG39" authorId="0">
      <text>
        <r>
          <rPr>
            <sz val="10"/>
            <rFont val="Arial"/>
            <family val="2"/>
            <charset val="1"/>
          </rPr>
          <t xml:space="preserve">200622 – 2019
</t>
        </r>
      </text>
    </comment>
    <comment ref="AG40" authorId="0">
      <text>
        <r>
          <rPr>
            <sz val="10"/>
            <rFont val="Arial"/>
            <family val="2"/>
            <charset val="1"/>
          </rPr>
          <t xml:space="preserve">200602 - 2019</t>
        </r>
      </text>
    </comment>
    <comment ref="AG41" authorId="0">
      <text>
        <r>
          <rPr>
            <sz val="10"/>
            <rFont val="Arial"/>
            <family val="2"/>
            <charset val="1"/>
          </rPr>
          <t xml:space="preserve">200410 - 2019</t>
        </r>
      </text>
    </comment>
    <comment ref="AG42" authorId="0">
      <text>
        <r>
          <rPr>
            <sz val="10"/>
            <rFont val="Arial"/>
            <family val="2"/>
            <charset val="1"/>
          </rPr>
          <t xml:space="preserve">200612 - 2019</t>
        </r>
      </text>
    </comment>
    <comment ref="AG43" authorId="0">
      <text>
        <r>
          <rPr>
            <sz val="10"/>
            <rFont val="Arial"/>
            <family val="2"/>
            <charset val="1"/>
          </rPr>
          <t xml:space="preserve">200408 - 2019</t>
        </r>
      </text>
    </comment>
    <comment ref="AG44" authorId="0">
      <text>
        <r>
          <rPr>
            <sz val="10"/>
            <rFont val="Arial"/>
            <family val="2"/>
            <charset val="1"/>
          </rPr>
          <t xml:space="preserve">200415 - 2019</t>
        </r>
      </text>
    </comment>
    <comment ref="AG48" authorId="0">
      <text>
        <r>
          <rPr>
            <sz val="10"/>
            <rFont val="Arial"/>
            <family val="2"/>
            <charset val="1"/>
          </rPr>
          <t xml:space="preserve">200629 – 2019
</t>
        </r>
      </text>
    </comment>
    <comment ref="AG49" authorId="0">
      <text>
        <r>
          <rPr>
            <sz val="10"/>
            <rFont val="Arial"/>
            <family val="2"/>
            <charset val="1"/>
          </rPr>
          <t xml:space="preserve">200527 - 2019</t>
        </r>
      </text>
    </comment>
    <comment ref="AG50" authorId="0">
      <text>
        <r>
          <rPr>
            <sz val="10"/>
            <rFont val="Arial"/>
            <family val="2"/>
            <charset val="1"/>
          </rPr>
          <t xml:space="preserve"> </t>
        </r>
      </text>
    </comment>
    <comment ref="AG51" authorId="0">
      <text>
        <r>
          <rPr>
            <sz val="10"/>
            <rFont val="Arial"/>
            <family val="2"/>
            <charset val="1"/>
          </rPr>
          <t xml:space="preserve">200623 – 2019
</t>
        </r>
      </text>
    </comment>
    <comment ref="AG52" authorId="0">
      <text>
        <r>
          <rPr>
            <sz val="10"/>
            <rFont val="Arial"/>
            <family val="2"/>
            <charset val="1"/>
          </rPr>
          <t xml:space="preserve">200604 - 2019</t>
        </r>
      </text>
    </comment>
    <comment ref="AG53" authorId="0">
      <text>
        <r>
          <rPr>
            <sz val="10"/>
            <rFont val="Arial"/>
            <family val="2"/>
            <charset val="1"/>
          </rPr>
          <t xml:space="preserve">200414 – 2019
</t>
        </r>
      </text>
    </comment>
    <comment ref="AG54" authorId="0">
      <text>
        <r>
          <rPr>
            <sz val="10"/>
            <rFont val="Arial"/>
            <family val="2"/>
            <charset val="1"/>
          </rPr>
          <t xml:space="preserve">200515 – 2019
</t>
        </r>
      </text>
    </comment>
    <comment ref="AG55" authorId="0">
      <text>
        <r>
          <rPr>
            <sz val="10"/>
            <rFont val="Arial"/>
            <family val="2"/>
            <charset val="1"/>
          </rPr>
          <t xml:space="preserve">200611 – 2019
</t>
        </r>
      </text>
    </comment>
    <comment ref="AG56" authorId="0">
      <text>
        <r>
          <rPr>
            <sz val="10"/>
            <rFont val="Arial"/>
            <family val="2"/>
            <charset val="1"/>
          </rPr>
          <t xml:space="preserve">200522 – 2019
</t>
        </r>
      </text>
    </comment>
    <comment ref="AG57" authorId="0">
      <text>
        <r>
          <rPr>
            <sz val="10"/>
            <rFont val="Arial"/>
            <family val="2"/>
            <charset val="1"/>
          </rPr>
          <t xml:space="preserve">200518 – 2019
</t>
        </r>
      </text>
    </comment>
    <comment ref="AG58" authorId="0">
      <text>
        <r>
          <rPr>
            <sz val="10"/>
            <rFont val="Arial"/>
            <family val="2"/>
            <charset val="1"/>
          </rPr>
          <t xml:space="preserve">200602 – 2019
</t>
        </r>
      </text>
    </comment>
    <comment ref="AG60" authorId="0">
      <text>
        <r>
          <rPr>
            <sz val="10"/>
            <rFont val="Arial"/>
            <family val="2"/>
            <charset val="1"/>
          </rPr>
          <t xml:space="preserve">200529 – 2019
</t>
        </r>
      </text>
    </comment>
    <comment ref="AG63" authorId="0">
      <text>
        <r>
          <rPr>
            <sz val="10"/>
            <rFont val="Arial"/>
            <family val="2"/>
            <charset val="1"/>
          </rPr>
          <t xml:space="preserve">19.04.03 - 2019</t>
        </r>
      </text>
    </comment>
    <comment ref="AG65" authorId="0">
      <text>
        <r>
          <rPr>
            <sz val="10"/>
            <rFont val="Arial"/>
            <family val="2"/>
            <charset val="1"/>
          </rPr>
          <t xml:space="preserve">200424 - 2019</t>
        </r>
      </text>
    </comment>
    <comment ref="AG66" authorId="0">
      <text>
        <r>
          <rPr>
            <sz val="10"/>
            <rFont val="Arial"/>
            <family val="2"/>
            <charset val="1"/>
          </rPr>
          <t xml:space="preserve">200406 – 2019
</t>
        </r>
      </text>
    </comment>
    <comment ref="AG68" authorId="0">
      <text>
        <r>
          <rPr>
            <sz val="10"/>
            <rFont val="Arial"/>
            <family val="2"/>
            <charset val="1"/>
          </rPr>
          <t xml:space="preserve">200508 – 2019
</t>
        </r>
      </text>
    </comment>
    <comment ref="AG69" authorId="0">
      <text>
        <r>
          <rPr>
            <sz val="10"/>
            <rFont val="Arial"/>
            <family val="2"/>
            <charset val="1"/>
          </rPr>
          <t xml:space="preserve">200622 – 2019
</t>
        </r>
      </text>
    </comment>
    <comment ref="AG70" authorId="0">
      <text>
        <r>
          <rPr>
            <sz val="10"/>
            <rFont val="Arial"/>
            <family val="2"/>
            <charset val="1"/>
          </rPr>
          <t xml:space="preserve">200602 - 2019</t>
        </r>
      </text>
    </comment>
    <comment ref="AG71" authorId="0">
      <text>
        <r>
          <rPr>
            <sz val="10"/>
            <rFont val="Arial"/>
            <family val="2"/>
            <charset val="1"/>
          </rPr>
          <t xml:space="preserve">200410 - 2019</t>
        </r>
      </text>
    </comment>
    <comment ref="AG72" authorId="0">
      <text>
        <r>
          <rPr>
            <sz val="10"/>
            <rFont val="Arial"/>
            <family val="2"/>
            <charset val="1"/>
          </rPr>
          <t xml:space="preserve">200612 - 2019</t>
        </r>
      </text>
    </comment>
    <comment ref="AG73" authorId="0">
      <text>
        <r>
          <rPr>
            <sz val="10"/>
            <rFont val="Arial"/>
            <family val="2"/>
            <charset val="1"/>
          </rPr>
          <t xml:space="preserve">200408 - 2019</t>
        </r>
      </text>
    </comment>
    <comment ref="AG74" authorId="0">
      <text>
        <r>
          <rPr>
            <sz val="10"/>
            <rFont val="Arial"/>
            <family val="2"/>
            <charset val="1"/>
          </rPr>
          <t xml:space="preserve">200415 - 2019</t>
        </r>
      </text>
    </comment>
    <comment ref="AG78" authorId="0">
      <text>
        <r>
          <rPr>
            <sz val="10"/>
            <rFont val="Arial"/>
            <family val="2"/>
            <charset val="1"/>
          </rPr>
          <t xml:space="preserve">200629 – 2019
</t>
        </r>
      </text>
    </comment>
    <comment ref="AG79" authorId="0">
      <text>
        <r>
          <rPr>
            <sz val="10"/>
            <rFont val="Arial"/>
            <family val="2"/>
            <charset val="1"/>
          </rPr>
          <t xml:space="preserve">200527 - 2019</t>
        </r>
      </text>
    </comment>
    <comment ref="AG80" authorId="0">
      <text>
        <r>
          <rPr>
            <sz val="10"/>
            <rFont val="Arial"/>
            <family val="2"/>
            <charset val="1"/>
          </rPr>
          <t xml:space="preserve">200530 – 2019
</t>
        </r>
      </text>
    </comment>
    <comment ref="AG81" authorId="0">
      <text>
        <r>
          <rPr>
            <sz val="10"/>
            <rFont val="Arial"/>
            <family val="2"/>
            <charset val="1"/>
          </rPr>
          <t xml:space="preserve">200623 – 2019
</t>
        </r>
      </text>
    </comment>
    <comment ref="AG82" authorId="0">
      <text>
        <r>
          <rPr>
            <sz val="10"/>
            <rFont val="Arial"/>
            <family val="2"/>
            <charset val="1"/>
          </rPr>
          <t xml:space="preserve">200604 - 2019</t>
        </r>
      </text>
    </comment>
    <comment ref="AG83" authorId="0">
      <text>
        <r>
          <rPr>
            <sz val="10"/>
            <rFont val="Arial"/>
            <family val="2"/>
            <charset val="1"/>
          </rPr>
          <t xml:space="preserve">200414 – 2019
</t>
        </r>
      </text>
    </comment>
    <comment ref="AG84" authorId="0">
      <text>
        <r>
          <rPr>
            <sz val="10"/>
            <rFont val="Arial"/>
            <family val="2"/>
            <charset val="1"/>
          </rPr>
          <t xml:space="preserve">200515 – 2019
</t>
        </r>
      </text>
    </comment>
    <comment ref="AG85" authorId="0">
      <text>
        <r>
          <rPr>
            <sz val="10"/>
            <rFont val="Arial"/>
            <family val="2"/>
            <charset val="1"/>
          </rPr>
          <t xml:space="preserve">200611 – 2019
</t>
        </r>
      </text>
    </comment>
    <comment ref="AG86" authorId="0">
      <text>
        <r>
          <rPr>
            <sz val="10"/>
            <rFont val="Arial"/>
            <family val="2"/>
            <charset val="1"/>
          </rPr>
          <t xml:space="preserve">200522 – 2019
</t>
        </r>
      </text>
    </comment>
    <comment ref="AG87" authorId="0">
      <text>
        <r>
          <rPr>
            <sz val="10"/>
            <rFont val="Arial"/>
            <family val="2"/>
            <charset val="1"/>
          </rPr>
          <t xml:space="preserve">200518 – 2019
</t>
        </r>
      </text>
    </comment>
    <comment ref="AG88" authorId="0">
      <text>
        <r>
          <rPr>
            <sz val="10"/>
            <rFont val="Arial"/>
            <family val="2"/>
            <charset val="1"/>
          </rPr>
          <t xml:space="preserve">200602 – 2019
</t>
        </r>
      </text>
    </comment>
    <comment ref="AG90" authorId="0">
      <text>
        <r>
          <rPr>
            <sz val="10"/>
            <rFont val="Arial"/>
            <family val="2"/>
            <charset val="1"/>
          </rPr>
          <t xml:space="preserve">200529 – 2019
</t>
        </r>
      </text>
    </comment>
    <comment ref="AG93" authorId="0">
      <text>
        <r>
          <rPr>
            <sz val="10"/>
            <rFont val="Arial"/>
            <family val="2"/>
            <charset val="1"/>
          </rPr>
          <t xml:space="preserve">19.04.03 - 2019</t>
        </r>
      </text>
    </comment>
    <comment ref="AG95" authorId="0">
      <text>
        <r>
          <rPr>
            <sz val="10"/>
            <rFont val="Arial"/>
            <family val="2"/>
            <charset val="1"/>
          </rPr>
          <t xml:space="preserve">200424 - 2019</t>
        </r>
      </text>
    </comment>
    <comment ref="AG96" authorId="0">
      <text>
        <r>
          <rPr>
            <sz val="10"/>
            <rFont val="Arial"/>
            <family val="2"/>
            <charset val="1"/>
          </rPr>
          <t xml:space="preserve">200406 – 2019
</t>
        </r>
      </text>
    </comment>
    <comment ref="AG98" authorId="0">
      <text>
        <r>
          <rPr>
            <sz val="10"/>
            <rFont val="Arial"/>
            <family val="2"/>
            <charset val="1"/>
          </rPr>
          <t xml:space="preserve">200508 – 2019
</t>
        </r>
      </text>
    </comment>
    <comment ref="AG99" authorId="0">
      <text>
        <r>
          <rPr>
            <sz val="10"/>
            <rFont val="Arial"/>
            <family val="2"/>
            <charset val="1"/>
          </rPr>
          <t xml:space="preserve">200622 – 2019
</t>
        </r>
      </text>
    </comment>
    <comment ref="AG100" authorId="0">
      <text>
        <r>
          <rPr>
            <sz val="10"/>
            <rFont val="Arial"/>
            <family val="2"/>
            <charset val="1"/>
          </rPr>
          <t xml:space="preserve">200602 - 2019</t>
        </r>
      </text>
    </comment>
    <comment ref="AG101" authorId="0">
      <text>
        <r>
          <rPr>
            <sz val="10"/>
            <rFont val="Arial"/>
            <family val="2"/>
            <charset val="1"/>
          </rPr>
          <t xml:space="preserve">200410 - 2019</t>
        </r>
      </text>
    </comment>
    <comment ref="AG102" authorId="0">
      <text>
        <r>
          <rPr>
            <sz val="10"/>
            <rFont val="Arial"/>
            <family val="2"/>
            <charset val="1"/>
          </rPr>
          <t xml:space="preserve">200612 - 2019</t>
        </r>
      </text>
    </comment>
    <comment ref="AG103" authorId="0">
      <text>
        <r>
          <rPr>
            <sz val="10"/>
            <rFont val="Arial"/>
            <family val="2"/>
            <charset val="1"/>
          </rPr>
          <t xml:space="preserve">200408 - 2019</t>
        </r>
      </text>
    </comment>
    <comment ref="AG104" authorId="0">
      <text>
        <r>
          <rPr>
            <sz val="10"/>
            <rFont val="Arial"/>
            <family val="2"/>
            <charset val="1"/>
          </rPr>
          <t xml:space="preserve">200415 - 2019</t>
        </r>
      </text>
    </comment>
    <comment ref="AG108" authorId="0">
      <text>
        <r>
          <rPr>
            <sz val="10"/>
            <rFont val="Arial"/>
            <family val="2"/>
            <charset val="1"/>
          </rPr>
          <t xml:space="preserve">200629 – 2019
</t>
        </r>
      </text>
    </comment>
    <comment ref="AG109" authorId="0">
      <text>
        <r>
          <rPr>
            <sz val="10"/>
            <rFont val="Arial"/>
            <family val="2"/>
            <charset val="1"/>
          </rPr>
          <t xml:space="preserve">200527 - 2019</t>
        </r>
      </text>
    </comment>
    <comment ref="AG110" authorId="0">
      <text>
        <r>
          <rPr>
            <sz val="10"/>
            <rFont val="Arial"/>
            <family val="2"/>
            <charset val="1"/>
          </rPr>
          <t xml:space="preserve">200530 – 2019
</t>
        </r>
      </text>
    </comment>
    <comment ref="AG111" authorId="0">
      <text>
        <r>
          <rPr>
            <sz val="10"/>
            <rFont val="Arial"/>
            <family val="2"/>
            <charset val="1"/>
          </rPr>
          <t xml:space="preserve">200623 – 2019
</t>
        </r>
      </text>
    </comment>
    <comment ref="AG112" authorId="0">
      <text>
        <r>
          <rPr>
            <sz val="10"/>
            <rFont val="Arial"/>
            <family val="2"/>
            <charset val="1"/>
          </rPr>
          <t xml:space="preserve">200604 - 2019</t>
        </r>
      </text>
    </comment>
    <comment ref="AG113" authorId="0">
      <text>
        <r>
          <rPr>
            <sz val="10"/>
            <rFont val="Arial"/>
            <family val="2"/>
            <charset val="1"/>
          </rPr>
          <t xml:space="preserve">200414 – 2019
</t>
        </r>
      </text>
    </comment>
    <comment ref="AG114" authorId="0">
      <text>
        <r>
          <rPr>
            <sz val="10"/>
            <rFont val="Arial"/>
            <family val="2"/>
            <charset val="1"/>
          </rPr>
          <t xml:space="preserve">200515 – 2019
</t>
        </r>
      </text>
    </comment>
    <comment ref="AG115" authorId="0">
      <text>
        <r>
          <rPr>
            <sz val="10"/>
            <rFont val="Arial"/>
            <family val="2"/>
            <charset val="1"/>
          </rPr>
          <t xml:space="preserve">200611 – 2019
</t>
        </r>
      </text>
    </comment>
    <comment ref="AG116" authorId="0">
      <text>
        <r>
          <rPr>
            <sz val="10"/>
            <rFont val="Arial"/>
            <family val="2"/>
            <charset val="1"/>
          </rPr>
          <t xml:space="preserve">200522 – 2019
</t>
        </r>
      </text>
    </comment>
    <comment ref="AG117" authorId="0">
      <text>
        <r>
          <rPr>
            <sz val="10"/>
            <rFont val="Arial"/>
            <family val="2"/>
            <charset val="1"/>
          </rPr>
          <t xml:space="preserve">200518 – 2019
</t>
        </r>
      </text>
    </comment>
    <comment ref="AG118" authorId="0">
      <text>
        <r>
          <rPr>
            <sz val="10"/>
            <rFont val="Arial"/>
            <family val="2"/>
            <charset val="1"/>
          </rPr>
          <t xml:space="preserve">200602 – 2019
</t>
        </r>
      </text>
    </comment>
    <comment ref="AG120" authorId="0">
      <text>
        <r>
          <rPr>
            <sz val="10"/>
            <rFont val="Arial"/>
            <family val="2"/>
            <charset val="1"/>
          </rPr>
          <t xml:space="preserve">200529 – 2019
</t>
        </r>
      </text>
    </comment>
    <comment ref="AG123" authorId="0">
      <text>
        <r>
          <rPr>
            <sz val="10"/>
            <rFont val="Arial"/>
            <family val="2"/>
            <charset val="1"/>
          </rPr>
          <t xml:space="preserve">19.04.03 - 2019</t>
        </r>
      </text>
    </comment>
    <comment ref="AG125" authorId="0">
      <text>
        <r>
          <rPr>
            <sz val="10"/>
            <rFont val="Arial"/>
            <family val="2"/>
            <charset val="1"/>
          </rPr>
          <t xml:space="preserve">200424 - 2019</t>
        </r>
      </text>
    </comment>
    <comment ref="AG126" authorId="0">
      <text>
        <r>
          <rPr>
            <sz val="10"/>
            <rFont val="Arial"/>
            <family val="2"/>
            <charset val="1"/>
          </rPr>
          <t xml:space="preserve">200406 – 2019
</t>
        </r>
      </text>
    </comment>
    <comment ref="AG128" authorId="0">
      <text>
        <r>
          <rPr>
            <sz val="10"/>
            <rFont val="Arial"/>
            <family val="2"/>
            <charset val="1"/>
          </rPr>
          <t xml:space="preserve">200508 – 2019
</t>
        </r>
      </text>
    </comment>
    <comment ref="AG129" authorId="0">
      <text>
        <r>
          <rPr>
            <sz val="10"/>
            <rFont val="Arial"/>
            <family val="2"/>
            <charset val="1"/>
          </rPr>
          <t xml:space="preserve">200622 – 2019
</t>
        </r>
      </text>
    </comment>
    <comment ref="AG130" authorId="0">
      <text>
        <r>
          <rPr>
            <sz val="10"/>
            <rFont val="Arial"/>
            <family val="2"/>
            <charset val="1"/>
          </rPr>
          <t xml:space="preserve">200602 - 2019</t>
        </r>
      </text>
    </comment>
    <comment ref="AG131" authorId="0">
      <text>
        <r>
          <rPr>
            <sz val="10"/>
            <rFont val="Arial"/>
            <family val="2"/>
            <charset val="1"/>
          </rPr>
          <t xml:space="preserve">200410 - 2019</t>
        </r>
      </text>
    </comment>
    <comment ref="AG132" authorId="0">
      <text>
        <r>
          <rPr>
            <sz val="10"/>
            <rFont val="Arial"/>
            <family val="2"/>
            <charset val="1"/>
          </rPr>
          <t xml:space="preserve">200612 - 2019</t>
        </r>
      </text>
    </comment>
    <comment ref="AG133" authorId="0">
      <text>
        <r>
          <rPr>
            <sz val="10"/>
            <rFont val="Arial"/>
            <family val="2"/>
            <charset val="1"/>
          </rPr>
          <t xml:space="preserve">200408 - 2019</t>
        </r>
      </text>
    </comment>
    <comment ref="AG134" authorId="0">
      <text>
        <r>
          <rPr>
            <sz val="10"/>
            <rFont val="Arial"/>
            <family val="2"/>
            <charset val="1"/>
          </rPr>
          <t xml:space="preserve">200415 - 2019</t>
        </r>
      </text>
    </comment>
    <comment ref="AG138" authorId="0">
      <text>
        <r>
          <rPr>
            <sz val="10"/>
            <rFont val="Arial"/>
            <family val="2"/>
            <charset val="1"/>
          </rPr>
          <t xml:space="preserve">200629 – 2019
</t>
        </r>
      </text>
    </comment>
    <comment ref="AG139" authorId="0">
      <text>
        <r>
          <rPr>
            <sz val="10"/>
            <rFont val="Arial"/>
            <family val="2"/>
            <charset val="1"/>
          </rPr>
          <t xml:space="preserve">200527 - 2019</t>
        </r>
      </text>
    </comment>
    <comment ref="AG140" authorId="0">
      <text>
        <r>
          <rPr>
            <sz val="10"/>
            <rFont val="Arial"/>
            <family val="2"/>
            <charset val="1"/>
          </rPr>
          <t xml:space="preserve">200530 – 2019
</t>
        </r>
      </text>
    </comment>
    <comment ref="AG141" authorId="0">
      <text>
        <r>
          <rPr>
            <sz val="10"/>
            <rFont val="Arial"/>
            <family val="2"/>
            <charset val="1"/>
          </rPr>
          <t xml:space="preserve">200623 – 2019
</t>
        </r>
      </text>
    </comment>
    <comment ref="AG142" authorId="0">
      <text>
        <r>
          <rPr>
            <sz val="10"/>
            <rFont val="Arial"/>
            <family val="2"/>
            <charset val="1"/>
          </rPr>
          <t xml:space="preserve">200604 - 2019</t>
        </r>
      </text>
    </comment>
    <comment ref="AG143" authorId="0">
      <text>
        <r>
          <rPr>
            <sz val="10"/>
            <rFont val="Arial"/>
            <family val="2"/>
            <charset val="1"/>
          </rPr>
          <t xml:space="preserve">200414 – 2019
</t>
        </r>
      </text>
    </comment>
    <comment ref="AG144" authorId="0">
      <text>
        <r>
          <rPr>
            <sz val="10"/>
            <rFont val="Arial"/>
            <family val="2"/>
            <charset val="1"/>
          </rPr>
          <t xml:space="preserve">200515 – 2019
</t>
        </r>
      </text>
    </comment>
    <comment ref="AG145" authorId="0">
      <text>
        <r>
          <rPr>
            <sz val="10"/>
            <rFont val="Arial"/>
            <family val="2"/>
            <charset val="1"/>
          </rPr>
          <t xml:space="preserve">200611 – 2019
</t>
        </r>
      </text>
    </comment>
    <comment ref="AG146" authorId="0">
      <text>
        <r>
          <rPr>
            <sz val="10"/>
            <rFont val="Arial"/>
            <family val="2"/>
            <charset val="1"/>
          </rPr>
          <t xml:space="preserve">200522 – 2019
</t>
        </r>
      </text>
    </comment>
    <comment ref="AG147" authorId="0">
      <text>
        <r>
          <rPr>
            <sz val="10"/>
            <rFont val="Arial"/>
            <family val="2"/>
            <charset val="1"/>
          </rPr>
          <t xml:space="preserve">200518 – 2019
</t>
        </r>
      </text>
    </comment>
    <comment ref="AG148" authorId="0">
      <text>
        <r>
          <rPr>
            <sz val="10"/>
            <rFont val="Arial"/>
            <family val="2"/>
            <charset val="1"/>
          </rPr>
          <t xml:space="preserve">200602 – 2019
</t>
        </r>
      </text>
    </comment>
    <comment ref="AG150" authorId="0">
      <text>
        <r>
          <rPr>
            <sz val="10"/>
            <rFont val="Arial"/>
            <family val="2"/>
            <charset val="1"/>
          </rPr>
          <t xml:space="preserve">200529 – 2019
</t>
        </r>
      </text>
    </comment>
    <comment ref="AI17" authorId="0">
      <text>
        <r>
          <rPr>
            <sz val="10"/>
            <rFont val="Arial"/>
            <family val="2"/>
            <charset val="1"/>
          </rPr>
          <t xml:space="preserve">200301 - 2019</t>
        </r>
      </text>
    </comment>
    <comment ref="AI47" authorId="0">
      <text>
        <r>
          <rPr>
            <sz val="10"/>
            <rFont val="Arial"/>
            <family val="2"/>
            <charset val="1"/>
          </rPr>
          <t xml:space="preserve">200301 - 2019</t>
        </r>
      </text>
    </comment>
    <comment ref="AI77" authorId="0">
      <text>
        <r>
          <rPr>
            <sz val="10"/>
            <rFont val="Arial"/>
            <family val="2"/>
            <charset val="1"/>
          </rPr>
          <t xml:space="preserve">200301 - 2019</t>
        </r>
      </text>
    </comment>
    <comment ref="AI107" authorId="0">
      <text>
        <r>
          <rPr>
            <sz val="10"/>
            <rFont val="Arial"/>
            <family val="2"/>
            <charset val="1"/>
          </rPr>
          <t xml:space="preserve">200301 - 2019</t>
        </r>
      </text>
    </comment>
    <comment ref="AI137" authorId="0">
      <text>
        <r>
          <rPr>
            <sz val="10"/>
            <rFont val="Arial"/>
            <family val="2"/>
            <charset val="1"/>
          </rPr>
          <t xml:space="preserve">200301 - 2019</t>
        </r>
      </text>
    </comment>
    <comment ref="AL15" authorId="0">
      <text>
        <r>
          <rPr>
            <sz val="10"/>
            <rFont val="Arial"/>
            <family val="2"/>
            <charset val="1"/>
          </rPr>
          <t xml:space="preserve">190307 - 2018</t>
        </r>
      </text>
    </comment>
    <comment ref="AL16" authorId="0">
      <text>
        <r>
          <rPr>
            <sz val="10"/>
            <rFont val="Arial"/>
            <family val="2"/>
            <charset val="1"/>
          </rPr>
          <t xml:space="preserve">190705 - 2018</t>
        </r>
      </text>
    </comment>
    <comment ref="AL45" authorId="0">
      <text>
        <r>
          <rPr>
            <sz val="10"/>
            <rFont val="Arial"/>
            <family val="2"/>
            <charset val="1"/>
          </rPr>
          <t xml:space="preserve">190307 - 2018</t>
        </r>
      </text>
    </comment>
    <comment ref="AL46" authorId="0">
      <text>
        <r>
          <rPr>
            <sz val="10"/>
            <rFont val="Arial"/>
            <family val="2"/>
            <charset val="1"/>
          </rPr>
          <t xml:space="preserve">190705 - 2018</t>
        </r>
      </text>
    </comment>
    <comment ref="AL75" authorId="0">
      <text>
        <r>
          <rPr>
            <sz val="10"/>
            <rFont val="Arial"/>
            <family val="2"/>
            <charset val="1"/>
          </rPr>
          <t xml:space="preserve">190307 - 2018</t>
        </r>
      </text>
    </comment>
    <comment ref="AL76" authorId="0">
      <text>
        <r>
          <rPr>
            <sz val="10"/>
            <rFont val="Arial"/>
            <family val="2"/>
            <charset val="1"/>
          </rPr>
          <t xml:space="preserve">190705 - 2018</t>
        </r>
      </text>
    </comment>
    <comment ref="AL105" authorId="0">
      <text>
        <r>
          <rPr>
            <sz val="10"/>
            <rFont val="Arial"/>
            <family val="2"/>
            <charset val="1"/>
          </rPr>
          <t xml:space="preserve">190307 - 2018</t>
        </r>
      </text>
    </comment>
    <comment ref="AL106" authorId="0">
      <text>
        <r>
          <rPr>
            <sz val="10"/>
            <rFont val="Arial"/>
            <family val="2"/>
            <charset val="1"/>
          </rPr>
          <t xml:space="preserve">190705 - 2018</t>
        </r>
      </text>
    </comment>
    <comment ref="AL135" authorId="0">
      <text>
        <r>
          <rPr>
            <sz val="10"/>
            <rFont val="Arial"/>
            <family val="2"/>
            <charset val="1"/>
          </rPr>
          <t xml:space="preserve">190307 - 2018</t>
        </r>
      </text>
    </comment>
    <comment ref="AL136" authorId="0">
      <text>
        <r>
          <rPr>
            <sz val="10"/>
            <rFont val="Arial"/>
            <family val="2"/>
            <charset val="1"/>
          </rPr>
          <t xml:space="preserve">190705 - 2018</t>
        </r>
      </text>
    </comment>
    <comment ref="AM3" authorId="0">
      <text>
        <r>
          <rPr>
            <sz val="10"/>
            <rFont val="Arial"/>
            <family val="2"/>
            <charset val="1"/>
          </rPr>
          <t xml:space="preserve">19.04.04 – 2018
</t>
        </r>
      </text>
    </comment>
    <comment ref="AM4" authorId="0">
      <text>
        <r>
          <rPr>
            <sz val="10"/>
            <rFont val="Arial"/>
            <family val="2"/>
            <charset val="1"/>
          </rPr>
          <t xml:space="preserve">19.05.19 – 2018
</t>
        </r>
      </text>
    </comment>
    <comment ref="AM5" authorId="0">
      <text>
        <r>
          <rPr>
            <sz val="10"/>
            <rFont val="Arial"/>
            <family val="2"/>
            <charset val="1"/>
          </rPr>
          <t xml:space="preserve">190531 - 2018</t>
        </r>
      </text>
    </comment>
    <comment ref="AM6" authorId="0">
      <text>
        <r>
          <rPr>
            <sz val="10"/>
            <rFont val="Arial"/>
            <family val="2"/>
            <charset val="1"/>
          </rPr>
          <t xml:space="preserve">190408 – 2018
</t>
        </r>
      </text>
    </comment>
    <comment ref="AM7" authorId="0">
      <text>
        <r>
          <rPr>
            <sz val="10"/>
            <rFont val="Arial"/>
            <family val="2"/>
            <charset val="1"/>
          </rPr>
          <t xml:space="preserve">190530 - 2018</t>
        </r>
      </text>
    </comment>
    <comment ref="AM8" authorId="0">
      <text>
        <r>
          <rPr>
            <sz val="10"/>
            <rFont val="Arial"/>
            <family val="2"/>
            <charset val="1"/>
          </rPr>
          <t xml:space="preserve">190528 – 2018
</t>
        </r>
      </text>
    </comment>
    <comment ref="AM9" authorId="0">
      <text>
        <r>
          <rPr>
            <sz val="10"/>
            <rFont val="Arial"/>
            <family val="2"/>
            <charset val="1"/>
          </rPr>
          <t xml:space="preserve">190610 – 2018
</t>
        </r>
      </text>
    </comment>
    <comment ref="AM10" authorId="0">
      <text>
        <r>
          <rPr>
            <sz val="10"/>
            <rFont val="Arial"/>
            <family val="2"/>
            <charset val="1"/>
          </rPr>
          <t xml:space="preserve">190516 - 2018
</t>
        </r>
      </text>
    </comment>
    <comment ref="AM11" authorId="0">
      <text>
        <r>
          <rPr>
            <sz val="10"/>
            <rFont val="Arial"/>
            <family val="2"/>
            <charset val="1"/>
          </rPr>
          <t xml:space="preserve">190611 - 2019</t>
        </r>
      </text>
    </comment>
    <comment ref="AM12" authorId="0">
      <text>
        <r>
          <rPr>
            <sz val="10"/>
            <rFont val="Arial"/>
            <family val="2"/>
            <charset val="1"/>
          </rPr>
          <t xml:space="preserve">190617 - 2018</t>
        </r>
      </text>
    </comment>
    <comment ref="AM13" authorId="0">
      <text>
        <r>
          <rPr>
            <sz val="10"/>
            <rFont val="Arial"/>
            <family val="2"/>
            <charset val="1"/>
          </rPr>
          <t xml:space="preserve">190408 – 2018</t>
        </r>
      </text>
    </comment>
    <comment ref="AM14" authorId="0">
      <text>
        <r>
          <rPr>
            <sz val="10"/>
            <rFont val="Arial"/>
            <family val="2"/>
            <charset val="1"/>
          </rPr>
          <t xml:space="preserve">190509 - 2018</t>
        </r>
      </text>
    </comment>
    <comment ref="AM18" authorId="0">
      <text>
        <r>
          <rPr>
            <sz val="10"/>
            <rFont val="Arial"/>
            <family val="2"/>
            <charset val="1"/>
          </rPr>
          <t xml:space="preserve">190530 – 2018
</t>
        </r>
      </text>
    </comment>
    <comment ref="AM19" authorId="0">
      <text>
        <r>
          <rPr>
            <sz val="10"/>
            <rFont val="Arial"/>
            <family val="2"/>
            <charset val="1"/>
          </rPr>
          <t xml:space="preserve">190529 - 2018</t>
        </r>
      </text>
    </comment>
    <comment ref="AM20" authorId="0">
      <text>
        <r>
          <rPr>
            <sz val="10"/>
            <rFont val="Arial"/>
            <family val="2"/>
            <charset val="1"/>
          </rPr>
          <t xml:space="preserve">190404 – 2018
</t>
        </r>
      </text>
    </comment>
    <comment ref="AM21" authorId="0">
      <text>
        <r>
          <rPr>
            <sz val="10"/>
            <rFont val="Arial"/>
            <family val="2"/>
            <charset val="1"/>
          </rPr>
          <t xml:space="preserve">190517 – 2018
</t>
        </r>
      </text>
    </comment>
    <comment ref="AM22" authorId="0">
      <text>
        <r>
          <rPr>
            <sz val="10"/>
            <rFont val="Arial"/>
            <family val="2"/>
            <charset val="1"/>
          </rPr>
          <t xml:space="preserve">190430 - 2018</t>
        </r>
      </text>
    </comment>
    <comment ref="AM23" authorId="0">
      <text>
        <r>
          <rPr>
            <sz val="10"/>
            <rFont val="Arial"/>
            <family val="2"/>
            <charset val="1"/>
          </rPr>
          <t xml:space="preserve">190507 – 2018
</t>
        </r>
      </text>
    </comment>
    <comment ref="AM24" authorId="0">
      <text>
        <r>
          <rPr>
            <sz val="10"/>
            <rFont val="Arial"/>
            <family val="2"/>
            <charset val="1"/>
          </rPr>
          <t xml:space="preserve">190516 – 2018
</t>
        </r>
      </text>
    </comment>
    <comment ref="AM25" authorId="0">
      <text>
        <r>
          <rPr>
            <sz val="10"/>
            <rFont val="Arial"/>
            <family val="2"/>
            <charset val="1"/>
          </rPr>
          <t xml:space="preserve">190531 – 2018
</t>
        </r>
      </text>
    </comment>
    <comment ref="AM26" authorId="0">
      <text>
        <r>
          <rPr>
            <sz val="10"/>
            <rFont val="Arial"/>
            <family val="2"/>
            <charset val="1"/>
          </rPr>
          <t xml:space="preserve">190417 – 2018
</t>
        </r>
      </text>
    </comment>
    <comment ref="AM27" authorId="0">
      <text>
        <r>
          <rPr>
            <sz val="10"/>
            <rFont val="Arial"/>
            <family val="2"/>
            <charset val="1"/>
          </rPr>
          <t xml:space="preserve">190415 – 2018
</t>
        </r>
      </text>
    </comment>
    <comment ref="AM28" authorId="0">
      <text>
        <r>
          <rPr>
            <sz val="10"/>
            <rFont val="Arial"/>
            <family val="2"/>
            <charset val="1"/>
          </rPr>
          <t xml:space="preserve">190410 – 2018
</t>
        </r>
      </text>
    </comment>
    <comment ref="AM29" authorId="0">
      <text>
        <r>
          <rPr>
            <sz val="10"/>
            <rFont val="Arial"/>
            <family val="2"/>
            <charset val="1"/>
          </rPr>
          <t xml:space="preserve">190530 – 2018
</t>
        </r>
      </text>
    </comment>
    <comment ref="AM30" authorId="0">
      <text>
        <r>
          <rPr>
            <sz val="10"/>
            <rFont val="Arial"/>
            <family val="2"/>
            <charset val="1"/>
          </rPr>
          <t xml:space="preserve">190404 – 2018
</t>
        </r>
      </text>
    </comment>
    <comment ref="AM33" authorId="0">
      <text>
        <r>
          <rPr>
            <sz val="10"/>
            <rFont val="Arial"/>
            <family val="2"/>
            <charset val="1"/>
          </rPr>
          <t xml:space="preserve">19.04.04 – 2018
</t>
        </r>
      </text>
    </comment>
    <comment ref="AM34" authorId="0">
      <text>
        <r>
          <rPr>
            <sz val="10"/>
            <rFont val="Arial"/>
            <family val="2"/>
            <charset val="1"/>
          </rPr>
          <t xml:space="preserve">19.05.19 – 2018
</t>
        </r>
      </text>
    </comment>
    <comment ref="AM35" authorId="0">
      <text>
        <r>
          <rPr>
            <sz val="10"/>
            <rFont val="Arial"/>
            <family val="2"/>
            <charset val="1"/>
          </rPr>
          <t xml:space="preserve">190531 - 2018</t>
        </r>
      </text>
    </comment>
    <comment ref="AM36" authorId="0">
      <text>
        <r>
          <rPr>
            <sz val="10"/>
            <rFont val="Arial"/>
            <family val="2"/>
            <charset val="1"/>
          </rPr>
          <t xml:space="preserve">190408 – 2018
</t>
        </r>
      </text>
    </comment>
    <comment ref="AM37" authorId="0">
      <text>
        <r>
          <rPr>
            <sz val="10"/>
            <rFont val="Arial"/>
            <family val="2"/>
            <charset val="1"/>
          </rPr>
          <t xml:space="preserve">190530 - 2018</t>
        </r>
      </text>
    </comment>
    <comment ref="AM38" authorId="0">
      <text>
        <r>
          <rPr>
            <sz val="10"/>
            <rFont val="Arial"/>
            <family val="2"/>
            <charset val="1"/>
          </rPr>
          <t xml:space="preserve">190528 – 2018
</t>
        </r>
      </text>
    </comment>
    <comment ref="AM39" authorId="0">
      <text>
        <r>
          <rPr>
            <sz val="10"/>
            <rFont val="Arial"/>
            <family val="2"/>
            <charset val="1"/>
          </rPr>
          <t xml:space="preserve">190610 – 2018
</t>
        </r>
      </text>
    </comment>
    <comment ref="AM40" authorId="0">
      <text>
        <r>
          <rPr>
            <sz val="10"/>
            <rFont val="Arial"/>
            <family val="2"/>
            <charset val="1"/>
          </rPr>
          <t xml:space="preserve">190516 - 2018
</t>
        </r>
      </text>
    </comment>
    <comment ref="AM41" authorId="0">
      <text>
        <r>
          <rPr>
            <sz val="10"/>
            <rFont val="Arial"/>
            <family val="2"/>
            <charset val="1"/>
          </rPr>
          <t xml:space="preserve">190611 - 2019</t>
        </r>
      </text>
    </comment>
    <comment ref="AM42" authorId="0">
      <text>
        <r>
          <rPr>
            <sz val="10"/>
            <rFont val="Arial"/>
            <family val="2"/>
            <charset val="1"/>
          </rPr>
          <t xml:space="preserve">190617 - 2018</t>
        </r>
      </text>
    </comment>
    <comment ref="AM43" authorId="0">
      <text>
        <r>
          <rPr>
            <sz val="10"/>
            <rFont val="Arial"/>
            <family val="2"/>
            <charset val="1"/>
          </rPr>
          <t xml:space="preserve">190408 – 2018</t>
        </r>
      </text>
    </comment>
    <comment ref="AM44" authorId="0">
      <text>
        <r>
          <rPr>
            <sz val="10"/>
            <rFont val="Arial"/>
            <family val="2"/>
            <charset val="1"/>
          </rPr>
          <t xml:space="preserve">190509 - 2018</t>
        </r>
      </text>
    </comment>
    <comment ref="AM48" authorId="0">
      <text>
        <r>
          <rPr>
            <sz val="10"/>
            <rFont val="Arial"/>
            <family val="2"/>
            <charset val="1"/>
          </rPr>
          <t xml:space="preserve">190530 – 2018
</t>
        </r>
      </text>
    </comment>
    <comment ref="AM49" authorId="0">
      <text>
        <r>
          <rPr>
            <sz val="10"/>
            <rFont val="Arial"/>
            <family val="2"/>
            <charset val="1"/>
          </rPr>
          <t xml:space="preserve">190529 - 2018</t>
        </r>
      </text>
    </comment>
    <comment ref="AM50" authorId="0">
      <text>
        <r>
          <rPr>
            <sz val="10"/>
            <rFont val="Arial"/>
            <family val="2"/>
            <charset val="1"/>
          </rPr>
          <t xml:space="preserve">190404 – 2018
</t>
        </r>
      </text>
    </comment>
    <comment ref="AM51" authorId="0">
      <text>
        <r>
          <rPr>
            <sz val="10"/>
            <rFont val="Arial"/>
            <family val="2"/>
            <charset val="1"/>
          </rPr>
          <t xml:space="preserve">190517 – 2018
</t>
        </r>
      </text>
    </comment>
    <comment ref="AM52" authorId="0">
      <text>
        <r>
          <rPr>
            <sz val="10"/>
            <rFont val="Arial"/>
            <family val="2"/>
            <charset val="1"/>
          </rPr>
          <t xml:space="preserve">190430 - 2018</t>
        </r>
      </text>
    </comment>
    <comment ref="AM53" authorId="0">
      <text>
        <r>
          <rPr>
            <sz val="10"/>
            <rFont val="Arial"/>
            <family val="2"/>
            <charset val="1"/>
          </rPr>
          <t xml:space="preserve">190507 – 2018
</t>
        </r>
      </text>
    </comment>
    <comment ref="AM54" authorId="0">
      <text>
        <r>
          <rPr>
            <sz val="10"/>
            <rFont val="Arial"/>
            <family val="2"/>
            <charset val="1"/>
          </rPr>
          <t xml:space="preserve">190516 – 2018
</t>
        </r>
      </text>
    </comment>
    <comment ref="AM55" authorId="0">
      <text>
        <r>
          <rPr>
            <sz val="10"/>
            <rFont val="Arial"/>
            <family val="2"/>
            <charset val="1"/>
          </rPr>
          <t xml:space="preserve">190531 – 2018
</t>
        </r>
      </text>
    </comment>
    <comment ref="AM56" authorId="0">
      <text>
        <r>
          <rPr>
            <sz val="10"/>
            <rFont val="Arial"/>
            <family val="2"/>
            <charset val="1"/>
          </rPr>
          <t xml:space="preserve">190417 – 2018
</t>
        </r>
      </text>
    </comment>
    <comment ref="AM57" authorId="0">
      <text>
        <r>
          <rPr>
            <sz val="10"/>
            <rFont val="Arial"/>
            <family val="2"/>
            <charset val="1"/>
          </rPr>
          <t xml:space="preserve">190415 – 2018
</t>
        </r>
      </text>
    </comment>
    <comment ref="AM58" authorId="0">
      <text>
        <r>
          <rPr>
            <sz val="10"/>
            <rFont val="Arial"/>
            <family val="2"/>
            <charset val="1"/>
          </rPr>
          <t xml:space="preserve">190410 – 2018
</t>
        </r>
      </text>
    </comment>
    <comment ref="AM59" authorId="0">
      <text>
        <r>
          <rPr>
            <sz val="10"/>
            <rFont val="Arial"/>
            <family val="2"/>
            <charset val="1"/>
          </rPr>
          <t xml:space="preserve">190530 – 2018
</t>
        </r>
      </text>
    </comment>
    <comment ref="AM60" authorId="0">
      <text>
        <r>
          <rPr>
            <sz val="10"/>
            <rFont val="Arial"/>
            <family val="2"/>
            <charset val="1"/>
          </rPr>
          <t xml:space="preserve">190404 – 2018
</t>
        </r>
      </text>
    </comment>
    <comment ref="AM63" authorId="0">
      <text>
        <r>
          <rPr>
            <sz val="10"/>
            <rFont val="Arial"/>
            <family val="2"/>
            <charset val="1"/>
          </rPr>
          <t xml:space="preserve">19.04.04 – 2018
</t>
        </r>
      </text>
    </comment>
    <comment ref="AM64" authorId="0">
      <text>
        <r>
          <rPr>
            <sz val="10"/>
            <rFont val="Arial"/>
            <family val="2"/>
            <charset val="1"/>
          </rPr>
          <t xml:space="preserve">19.05.19 – 2018
</t>
        </r>
      </text>
    </comment>
    <comment ref="AM65" authorId="0">
      <text>
        <r>
          <rPr>
            <sz val="10"/>
            <rFont val="Arial"/>
            <family val="2"/>
            <charset val="1"/>
          </rPr>
          <t xml:space="preserve">190531 - 2018</t>
        </r>
      </text>
    </comment>
    <comment ref="AM66" authorId="0">
      <text>
        <r>
          <rPr>
            <sz val="10"/>
            <rFont val="Arial"/>
            <family val="2"/>
            <charset val="1"/>
          </rPr>
          <t xml:space="preserve">190408 – 2018
</t>
        </r>
      </text>
    </comment>
    <comment ref="AM67" authorId="0">
      <text>
        <r>
          <rPr>
            <sz val="10"/>
            <rFont val="Arial"/>
            <family val="2"/>
            <charset val="1"/>
          </rPr>
          <t xml:space="preserve">190530 - 2018</t>
        </r>
      </text>
    </comment>
    <comment ref="AM68" authorId="0">
      <text>
        <r>
          <rPr>
            <sz val="10"/>
            <rFont val="Arial"/>
            <family val="2"/>
            <charset val="1"/>
          </rPr>
          <t xml:space="preserve">190528 – 2018
</t>
        </r>
      </text>
    </comment>
    <comment ref="AM69" authorId="0">
      <text>
        <r>
          <rPr>
            <sz val="10"/>
            <rFont val="Arial"/>
            <family val="2"/>
            <charset val="1"/>
          </rPr>
          <t xml:space="preserve">190610 – 2018
</t>
        </r>
      </text>
    </comment>
    <comment ref="AM70" authorId="0">
      <text>
        <r>
          <rPr>
            <sz val="10"/>
            <rFont val="Arial"/>
            <family val="2"/>
            <charset val="1"/>
          </rPr>
          <t xml:space="preserve">190516 - 2018
</t>
        </r>
      </text>
    </comment>
    <comment ref="AM71" authorId="0">
      <text>
        <r>
          <rPr>
            <sz val="10"/>
            <rFont val="Arial"/>
            <family val="2"/>
            <charset val="1"/>
          </rPr>
          <t xml:space="preserve">190611 - 2019</t>
        </r>
      </text>
    </comment>
    <comment ref="AM72" authorId="0">
      <text>
        <r>
          <rPr>
            <sz val="10"/>
            <rFont val="Arial"/>
            <family val="2"/>
            <charset val="1"/>
          </rPr>
          <t xml:space="preserve">190617 - 2018</t>
        </r>
      </text>
    </comment>
    <comment ref="AM73" authorId="0">
      <text>
        <r>
          <rPr>
            <sz val="10"/>
            <rFont val="Arial"/>
            <family val="2"/>
            <charset val="1"/>
          </rPr>
          <t xml:space="preserve">190408 – 2018</t>
        </r>
      </text>
    </comment>
    <comment ref="AM74" authorId="0">
      <text>
        <r>
          <rPr>
            <sz val="10"/>
            <rFont val="Arial"/>
            <family val="2"/>
            <charset val="1"/>
          </rPr>
          <t xml:space="preserve">190509 - 2018</t>
        </r>
      </text>
    </comment>
    <comment ref="AM78" authorId="0">
      <text>
        <r>
          <rPr>
            <sz val="10"/>
            <rFont val="Arial"/>
            <family val="2"/>
            <charset val="1"/>
          </rPr>
          <t xml:space="preserve">190530 – 2018
</t>
        </r>
      </text>
    </comment>
    <comment ref="AM79" authorId="0">
      <text>
        <r>
          <rPr>
            <sz val="10"/>
            <rFont val="Arial"/>
            <family val="2"/>
            <charset val="1"/>
          </rPr>
          <t xml:space="preserve">190529 - 2018</t>
        </r>
      </text>
    </comment>
    <comment ref="AM80" authorId="0">
      <text>
        <r>
          <rPr>
            <sz val="10"/>
            <rFont val="Arial"/>
            <family val="2"/>
            <charset val="1"/>
          </rPr>
          <t xml:space="preserve">190404 – 2018
</t>
        </r>
      </text>
    </comment>
    <comment ref="AM81" authorId="0">
      <text>
        <r>
          <rPr>
            <sz val="10"/>
            <rFont val="Arial"/>
            <family val="2"/>
            <charset val="1"/>
          </rPr>
          <t xml:space="preserve">190517 – 2018
</t>
        </r>
      </text>
    </comment>
    <comment ref="AM82" authorId="0">
      <text>
        <r>
          <rPr>
            <sz val="10"/>
            <rFont val="Arial"/>
            <family val="2"/>
            <charset val="1"/>
          </rPr>
          <t xml:space="preserve">190430 - 2018</t>
        </r>
      </text>
    </comment>
    <comment ref="AM83" authorId="0">
      <text>
        <r>
          <rPr>
            <sz val="10"/>
            <rFont val="Arial"/>
            <family val="2"/>
            <charset val="1"/>
          </rPr>
          <t xml:space="preserve">190507 – 2018
</t>
        </r>
      </text>
    </comment>
    <comment ref="AM84" authorId="0">
      <text>
        <r>
          <rPr>
            <sz val="10"/>
            <rFont val="Arial"/>
            <family val="2"/>
            <charset val="1"/>
          </rPr>
          <t xml:space="preserve">190516 – 2018
</t>
        </r>
      </text>
    </comment>
    <comment ref="AM85" authorId="0">
      <text>
        <r>
          <rPr>
            <sz val="10"/>
            <rFont val="Arial"/>
            <family val="2"/>
            <charset val="1"/>
          </rPr>
          <t xml:space="preserve">190531 – 2018
</t>
        </r>
      </text>
    </comment>
    <comment ref="AM86" authorId="0">
      <text>
        <r>
          <rPr>
            <sz val="10"/>
            <rFont val="Arial"/>
            <family val="2"/>
            <charset val="1"/>
          </rPr>
          <t xml:space="preserve">190417 – 2018
</t>
        </r>
      </text>
    </comment>
    <comment ref="AM87" authorId="0">
      <text>
        <r>
          <rPr>
            <sz val="10"/>
            <rFont val="Arial"/>
            <family val="2"/>
            <charset val="1"/>
          </rPr>
          <t xml:space="preserve">190415 – 2018
</t>
        </r>
      </text>
    </comment>
    <comment ref="AM88" authorId="0">
      <text>
        <r>
          <rPr>
            <sz val="10"/>
            <rFont val="Arial"/>
            <family val="2"/>
            <charset val="1"/>
          </rPr>
          <t xml:space="preserve">190410 – 2018
</t>
        </r>
      </text>
    </comment>
    <comment ref="AM89" authorId="0">
      <text>
        <r>
          <rPr>
            <sz val="10"/>
            <rFont val="Arial"/>
            <family val="2"/>
            <charset val="1"/>
          </rPr>
          <t xml:space="preserve">190530 – 2018
</t>
        </r>
      </text>
    </comment>
    <comment ref="AM90" authorId="0">
      <text>
        <r>
          <rPr>
            <sz val="10"/>
            <rFont val="Arial"/>
            <family val="2"/>
            <charset val="1"/>
          </rPr>
          <t xml:space="preserve">190404 – 2018
</t>
        </r>
      </text>
    </comment>
    <comment ref="AM93" authorId="0">
      <text>
        <r>
          <rPr>
            <sz val="10"/>
            <rFont val="Arial"/>
            <family val="2"/>
            <charset val="1"/>
          </rPr>
          <t xml:space="preserve">19.04.04 – 2018
</t>
        </r>
      </text>
    </comment>
    <comment ref="AM94" authorId="0">
      <text>
        <r>
          <rPr>
            <sz val="10"/>
            <rFont val="Arial"/>
            <family val="2"/>
            <charset val="1"/>
          </rPr>
          <t xml:space="preserve">19.05.19 – 2018
</t>
        </r>
      </text>
    </comment>
    <comment ref="AM95" authorId="0">
      <text>
        <r>
          <rPr>
            <sz val="10"/>
            <rFont val="Arial"/>
            <family val="2"/>
            <charset val="1"/>
          </rPr>
          <t xml:space="preserve">190531 - 2018</t>
        </r>
      </text>
    </comment>
    <comment ref="AM96" authorId="0">
      <text>
        <r>
          <rPr>
            <sz val="10"/>
            <rFont val="Arial"/>
            <family val="2"/>
            <charset val="1"/>
          </rPr>
          <t xml:space="preserve">190408 – 2018
</t>
        </r>
      </text>
    </comment>
    <comment ref="AM97" authorId="0">
      <text>
        <r>
          <rPr>
            <sz val="10"/>
            <rFont val="Arial"/>
            <family val="2"/>
            <charset val="1"/>
          </rPr>
          <t xml:space="preserve">190530 - 2018</t>
        </r>
      </text>
    </comment>
    <comment ref="AM98" authorId="0">
      <text>
        <r>
          <rPr>
            <sz val="10"/>
            <rFont val="Arial"/>
            <family val="2"/>
            <charset val="1"/>
          </rPr>
          <t xml:space="preserve">190528 – 2018
</t>
        </r>
      </text>
    </comment>
    <comment ref="AM99" authorId="0">
      <text>
        <r>
          <rPr>
            <sz val="10"/>
            <rFont val="Arial"/>
            <family val="2"/>
            <charset val="1"/>
          </rPr>
          <t xml:space="preserve">190610 – 2018
</t>
        </r>
      </text>
    </comment>
    <comment ref="AM100" authorId="0">
      <text>
        <r>
          <rPr>
            <sz val="10"/>
            <rFont val="Arial"/>
            <family val="2"/>
            <charset val="1"/>
          </rPr>
          <t xml:space="preserve">190516 - 2018
</t>
        </r>
      </text>
    </comment>
    <comment ref="AM101" authorId="0">
      <text>
        <r>
          <rPr>
            <sz val="10"/>
            <rFont val="Arial"/>
            <family val="2"/>
            <charset val="1"/>
          </rPr>
          <t xml:space="preserve">190611 - 2019</t>
        </r>
      </text>
    </comment>
    <comment ref="AM102" authorId="0">
      <text>
        <r>
          <rPr>
            <sz val="10"/>
            <rFont val="Arial"/>
            <family val="2"/>
            <charset val="1"/>
          </rPr>
          <t xml:space="preserve">190617 - 2018</t>
        </r>
      </text>
    </comment>
    <comment ref="AM103" authorId="0">
      <text>
        <r>
          <rPr>
            <sz val="10"/>
            <rFont val="Arial"/>
            <family val="2"/>
            <charset val="1"/>
          </rPr>
          <t xml:space="preserve">190408 – 2018</t>
        </r>
      </text>
    </comment>
    <comment ref="AM104" authorId="0">
      <text>
        <r>
          <rPr>
            <sz val="10"/>
            <rFont val="Arial"/>
            <family val="2"/>
            <charset val="1"/>
          </rPr>
          <t xml:space="preserve">190509 - 2018</t>
        </r>
      </text>
    </comment>
    <comment ref="AM108" authorId="0">
      <text>
        <r>
          <rPr>
            <sz val="10"/>
            <rFont val="Arial"/>
            <family val="2"/>
            <charset val="1"/>
          </rPr>
          <t xml:space="preserve">190530 – 2018
</t>
        </r>
      </text>
    </comment>
    <comment ref="AM109" authorId="0">
      <text>
        <r>
          <rPr>
            <sz val="10"/>
            <rFont val="Arial"/>
            <family val="2"/>
            <charset val="1"/>
          </rPr>
          <t xml:space="preserve">190529 - 2018</t>
        </r>
      </text>
    </comment>
    <comment ref="AM110" authorId="0">
      <text>
        <r>
          <rPr>
            <sz val="10"/>
            <rFont val="Arial"/>
            <family val="2"/>
            <charset val="1"/>
          </rPr>
          <t xml:space="preserve">190404 – 2018
</t>
        </r>
      </text>
    </comment>
    <comment ref="AM111" authorId="0">
      <text>
        <r>
          <rPr>
            <sz val="10"/>
            <rFont val="Arial"/>
            <family val="2"/>
            <charset val="1"/>
          </rPr>
          <t xml:space="preserve">190517 – 2018
</t>
        </r>
      </text>
    </comment>
    <comment ref="AM112" authorId="0">
      <text>
        <r>
          <rPr>
            <sz val="10"/>
            <rFont val="Arial"/>
            <family val="2"/>
            <charset val="1"/>
          </rPr>
          <t xml:space="preserve">190430 - 2018</t>
        </r>
      </text>
    </comment>
    <comment ref="AM113" authorId="0">
      <text>
        <r>
          <rPr>
            <sz val="10"/>
            <rFont val="Arial"/>
            <family val="2"/>
            <charset val="1"/>
          </rPr>
          <t xml:space="preserve">190507 – 2018
</t>
        </r>
      </text>
    </comment>
    <comment ref="AM114" authorId="0">
      <text>
        <r>
          <rPr>
            <sz val="10"/>
            <rFont val="Arial"/>
            <family val="2"/>
            <charset val="1"/>
          </rPr>
          <t xml:space="preserve">190516 – 2018
</t>
        </r>
      </text>
    </comment>
    <comment ref="AM115" authorId="0">
      <text>
        <r>
          <rPr>
            <sz val="10"/>
            <rFont val="Arial"/>
            <family val="2"/>
            <charset val="1"/>
          </rPr>
          <t xml:space="preserve">190531 – 2018
</t>
        </r>
      </text>
    </comment>
    <comment ref="AM116" authorId="0">
      <text>
        <r>
          <rPr>
            <sz val="10"/>
            <rFont val="Arial"/>
            <family val="2"/>
            <charset val="1"/>
          </rPr>
          <t xml:space="preserve">190417 – 2018
</t>
        </r>
      </text>
    </comment>
    <comment ref="AM117" authorId="0">
      <text>
        <r>
          <rPr>
            <sz val="10"/>
            <rFont val="Arial"/>
            <family val="2"/>
            <charset val="1"/>
          </rPr>
          <t xml:space="preserve">190415 – 2018
</t>
        </r>
      </text>
    </comment>
    <comment ref="AM118" authorId="0">
      <text>
        <r>
          <rPr>
            <sz val="10"/>
            <rFont val="Arial"/>
            <family val="2"/>
            <charset val="1"/>
          </rPr>
          <t xml:space="preserve">190410 – 2018
</t>
        </r>
      </text>
    </comment>
    <comment ref="AM119" authorId="0">
      <text>
        <r>
          <rPr>
            <sz val="10"/>
            <rFont val="Arial"/>
            <family val="2"/>
            <charset val="1"/>
          </rPr>
          <t xml:space="preserve">190530 – 2018
</t>
        </r>
      </text>
    </comment>
    <comment ref="AM120" authorId="0">
      <text>
        <r>
          <rPr>
            <sz val="10"/>
            <rFont val="Arial"/>
            <family val="2"/>
            <charset val="1"/>
          </rPr>
          <t xml:space="preserve">190404 – 2018
</t>
        </r>
      </text>
    </comment>
    <comment ref="AM123" authorId="0">
      <text>
        <r>
          <rPr>
            <sz val="10"/>
            <rFont val="Arial"/>
            <family val="2"/>
            <charset val="1"/>
          </rPr>
          <t xml:space="preserve">19.04.04 – 2018
</t>
        </r>
      </text>
    </comment>
    <comment ref="AM124" authorId="0">
      <text>
        <r>
          <rPr>
            <sz val="10"/>
            <rFont val="Arial"/>
            <family val="2"/>
            <charset val="1"/>
          </rPr>
          <t xml:space="preserve">19.05.19 – 2018
</t>
        </r>
      </text>
    </comment>
    <comment ref="AM125" authorId="0">
      <text>
        <r>
          <rPr>
            <sz val="10"/>
            <rFont val="Arial"/>
            <family val="2"/>
            <charset val="1"/>
          </rPr>
          <t xml:space="preserve">190531 - 2018</t>
        </r>
      </text>
    </comment>
    <comment ref="AM126" authorId="0">
      <text>
        <r>
          <rPr>
            <sz val="10"/>
            <rFont val="Arial"/>
            <family val="2"/>
            <charset val="1"/>
          </rPr>
          <t xml:space="preserve">190408 – 2018
</t>
        </r>
      </text>
    </comment>
    <comment ref="AM127" authorId="0">
      <text>
        <r>
          <rPr>
            <sz val="10"/>
            <rFont val="Arial"/>
            <family val="2"/>
            <charset val="1"/>
          </rPr>
          <t xml:space="preserve">190530 - 2018</t>
        </r>
      </text>
    </comment>
    <comment ref="AM128" authorId="0">
      <text>
        <r>
          <rPr>
            <sz val="10"/>
            <rFont val="Arial"/>
            <family val="2"/>
            <charset val="1"/>
          </rPr>
          <t xml:space="preserve">190528 – 2018
</t>
        </r>
      </text>
    </comment>
    <comment ref="AM129" authorId="0">
      <text>
        <r>
          <rPr>
            <sz val="10"/>
            <rFont val="Arial"/>
            <family val="2"/>
            <charset val="1"/>
          </rPr>
          <t xml:space="preserve">190610 – 2018
</t>
        </r>
      </text>
    </comment>
    <comment ref="AM130" authorId="0">
      <text>
        <r>
          <rPr>
            <sz val="10"/>
            <rFont val="Arial"/>
            <family val="2"/>
            <charset val="1"/>
          </rPr>
          <t xml:space="preserve">190516 - 2018
</t>
        </r>
      </text>
    </comment>
    <comment ref="AM131" authorId="0">
      <text>
        <r>
          <rPr>
            <sz val="10"/>
            <rFont val="Arial"/>
            <family val="2"/>
            <charset val="1"/>
          </rPr>
          <t xml:space="preserve">190611 - 2019</t>
        </r>
      </text>
    </comment>
    <comment ref="AM132" authorId="0">
      <text>
        <r>
          <rPr>
            <sz val="10"/>
            <rFont val="Arial"/>
            <family val="2"/>
            <charset val="1"/>
          </rPr>
          <t xml:space="preserve">190617 - 2018</t>
        </r>
      </text>
    </comment>
    <comment ref="AM133" authorId="0">
      <text>
        <r>
          <rPr>
            <sz val="10"/>
            <rFont val="Arial"/>
            <family val="2"/>
            <charset val="1"/>
          </rPr>
          <t xml:space="preserve">190408 – 2018</t>
        </r>
      </text>
    </comment>
    <comment ref="AM134" authorId="0">
      <text>
        <r>
          <rPr>
            <sz val="10"/>
            <rFont val="Arial"/>
            <family val="2"/>
            <charset val="1"/>
          </rPr>
          <t xml:space="preserve">190509 - 2018</t>
        </r>
      </text>
    </comment>
    <comment ref="AM138" authorId="0">
      <text>
        <r>
          <rPr>
            <sz val="10"/>
            <rFont val="Arial"/>
            <family val="2"/>
            <charset val="1"/>
          </rPr>
          <t xml:space="preserve">190530 – 2018
</t>
        </r>
      </text>
    </comment>
    <comment ref="AM139" authorId="0">
      <text>
        <r>
          <rPr>
            <sz val="10"/>
            <rFont val="Arial"/>
            <family val="2"/>
            <charset val="1"/>
          </rPr>
          <t xml:space="preserve">190529 - 2018</t>
        </r>
      </text>
    </comment>
    <comment ref="AM140" authorId="0">
      <text>
        <r>
          <rPr>
            <sz val="10"/>
            <rFont val="Arial"/>
            <family val="2"/>
            <charset val="1"/>
          </rPr>
          <t xml:space="preserve">190404 – 2018
</t>
        </r>
      </text>
    </comment>
    <comment ref="AM141" authorId="0">
      <text>
        <r>
          <rPr>
            <sz val="10"/>
            <rFont val="Arial"/>
            <family val="2"/>
            <charset val="1"/>
          </rPr>
          <t xml:space="preserve">190517 – 2018
</t>
        </r>
      </text>
    </comment>
    <comment ref="AM142" authorId="0">
      <text>
        <r>
          <rPr>
            <sz val="10"/>
            <rFont val="Arial"/>
            <family val="2"/>
            <charset val="1"/>
          </rPr>
          <t xml:space="preserve">190430 - 2018</t>
        </r>
      </text>
    </comment>
    <comment ref="AM143" authorId="0">
      <text>
        <r>
          <rPr>
            <sz val="10"/>
            <rFont val="Arial"/>
            <family val="2"/>
            <charset val="1"/>
          </rPr>
          <t xml:space="preserve">190507 – 2018
</t>
        </r>
      </text>
    </comment>
    <comment ref="AM144" authorId="0">
      <text>
        <r>
          <rPr>
            <sz val="10"/>
            <rFont val="Arial"/>
            <family val="2"/>
            <charset val="1"/>
          </rPr>
          <t xml:space="preserve">190516 – 2018
</t>
        </r>
      </text>
    </comment>
    <comment ref="AM145" authorId="0">
      <text>
        <r>
          <rPr>
            <sz val="10"/>
            <rFont val="Arial"/>
            <family val="2"/>
            <charset val="1"/>
          </rPr>
          <t xml:space="preserve">190531 – 2018
</t>
        </r>
      </text>
    </comment>
    <comment ref="AM146" authorId="0">
      <text>
        <r>
          <rPr>
            <sz val="10"/>
            <rFont val="Arial"/>
            <family val="2"/>
            <charset val="1"/>
          </rPr>
          <t xml:space="preserve">190417 – 2018
</t>
        </r>
      </text>
    </comment>
    <comment ref="AM147" authorId="0">
      <text>
        <r>
          <rPr>
            <sz val="10"/>
            <rFont val="Arial"/>
            <family val="2"/>
            <charset val="1"/>
          </rPr>
          <t xml:space="preserve">190415 – 2018
</t>
        </r>
      </text>
    </comment>
    <comment ref="AM148" authorId="0">
      <text>
        <r>
          <rPr>
            <sz val="10"/>
            <rFont val="Arial"/>
            <family val="2"/>
            <charset val="1"/>
          </rPr>
          <t xml:space="preserve">190410 – 2018
</t>
        </r>
      </text>
    </comment>
    <comment ref="AM149" authorId="0">
      <text>
        <r>
          <rPr>
            <sz val="10"/>
            <rFont val="Arial"/>
            <family val="2"/>
            <charset val="1"/>
          </rPr>
          <t xml:space="preserve">190530 – 2018
</t>
        </r>
      </text>
    </comment>
    <comment ref="AM150" authorId="0">
      <text>
        <r>
          <rPr>
            <sz val="10"/>
            <rFont val="Arial"/>
            <family val="2"/>
            <charset val="1"/>
          </rPr>
          <t xml:space="preserve">190404 – 2018
</t>
        </r>
      </text>
    </comment>
    <comment ref="AN17" authorId="0">
      <text>
        <r>
          <rPr>
            <sz val="10"/>
            <rFont val="Arial"/>
            <family val="2"/>
            <charset val="1"/>
          </rPr>
          <t xml:space="preserve">190301 - 2018</t>
        </r>
      </text>
    </comment>
    <comment ref="AN47" authorId="0">
      <text>
        <r>
          <rPr>
            <sz val="10"/>
            <rFont val="Arial"/>
            <family val="2"/>
            <charset val="1"/>
          </rPr>
          <t xml:space="preserve">190301 - 2018</t>
        </r>
      </text>
    </comment>
    <comment ref="AN77" authorId="0">
      <text>
        <r>
          <rPr>
            <sz val="10"/>
            <rFont val="Arial"/>
            <family val="2"/>
            <charset val="1"/>
          </rPr>
          <t xml:space="preserve">190301 - 2018</t>
        </r>
      </text>
    </comment>
    <comment ref="AN107" authorId="0">
      <text>
        <r>
          <rPr>
            <sz val="10"/>
            <rFont val="Arial"/>
            <family val="2"/>
            <charset val="1"/>
          </rPr>
          <t xml:space="preserve">190301 - 2018</t>
        </r>
      </text>
    </comment>
    <comment ref="AN137" authorId="0">
      <text>
        <r>
          <rPr>
            <sz val="10"/>
            <rFont val="Arial"/>
            <family val="2"/>
            <charset val="1"/>
          </rPr>
          <t xml:space="preserve">190301 - 2018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L1" authorId="0">
      <text>
        <r>
          <rPr>
            <sz val="10"/>
            <rFont val="Arial"/>
            <family val="2"/>
            <charset val="1"/>
          </rPr>
          <t xml:space="preserve">07 Ocb. Not trading day
Controlling power of the acknowledge territory of Israel is in Conflict/ War with the East Bank/Gaza.
Had to clarify as there are disputes in the naming of the whole action. There is an naming dispute at the Wikipedia page. That’s why had to include it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56" authorId="0">
      <text>
        <r>
          <rPr>
            <sz val="10"/>
            <rFont val="Arial"/>
            <family val="2"/>
            <charset val="1"/>
          </rPr>
          <t xml:space="preserve">For simplicity we have put the price of REPL by the old price range before the stock split</t>
        </r>
      </text>
    </comment>
    <comment ref="F1" authorId="0">
      <text>
        <r>
          <rPr>
            <sz val="10"/>
            <rFont val="Arial"/>
            <family val="2"/>
            <charset val="1"/>
          </rPr>
          <t xml:space="preserve">REPL stock split 1 to 10</t>
        </r>
      </text>
    </comment>
    <comment ref="G1" authorId="0">
      <text>
        <r>
          <rPr>
            <sz val="10"/>
            <rFont val="Arial"/>
            <family val="2"/>
            <charset val="1"/>
          </rPr>
          <t xml:space="preserve">28.06 is a trading day instead of 30.06
</t>
        </r>
      </text>
    </comment>
    <comment ref="H1" authorId="0">
      <text>
        <r>
          <rPr>
            <sz val="10"/>
            <rFont val="Arial"/>
            <family val="2"/>
            <charset val="1"/>
          </rPr>
          <t xml:space="preserve">OKTA annonuces a buy back offer to consilidated the ownership from the minority stake holders</t>
        </r>
      </text>
    </comment>
    <comment ref="I1" authorId="0">
      <text>
        <r>
          <rPr>
            <sz val="10"/>
            <rFont val="Arial"/>
            <family val="2"/>
            <charset val="1"/>
          </rPr>
          <t xml:space="preserve">29.03 is the closest traiding day</t>
        </r>
      </text>
    </comment>
    <comment ref="J1" authorId="0">
      <text>
        <r>
          <rPr>
            <sz val="10"/>
            <rFont val="Arial"/>
            <family val="2"/>
            <charset val="1"/>
          </rPr>
          <t xml:space="preserve">MPT annonuces that OILK is planing to acquire it.</t>
        </r>
      </text>
    </comment>
    <comment ref="K1" authorId="0">
      <text>
        <r>
          <rPr>
            <sz val="10"/>
            <rFont val="Arial"/>
            <family val="2"/>
            <charset val="1"/>
          </rPr>
          <t xml:space="preserve">28.12 – Closest trading day
</t>
        </r>
      </text>
    </comment>
    <comment ref="L1" authorId="0">
      <text>
        <r>
          <rPr>
            <sz val="10"/>
            <rFont val="Arial"/>
            <family val="2"/>
            <charset val="1"/>
          </rPr>
          <t xml:space="preserve">07 Ocb. Not trading day
Controlling power of the acknowledge territory of Israel is in Conflict/ War with the East Bank/Gaza.
Had to clarify as there are disputes in the naming of the whole action. There is an naming dispute at the Wikipedia page. That’s why had to include it</t>
        </r>
      </text>
    </comment>
    <comment ref="M1" authorId="0">
      <text>
        <r>
          <rPr>
            <sz val="10"/>
            <rFont val="Arial"/>
            <family val="2"/>
            <charset val="1"/>
          </rPr>
          <t xml:space="preserve">29.09 – Closest Trading day
</t>
        </r>
      </text>
    </comment>
    <comment ref="N1" authorId="0">
      <text>
        <r>
          <rPr>
            <sz val="10"/>
            <rFont val="Arial"/>
            <family val="2"/>
            <charset val="1"/>
          </rPr>
          <t xml:space="preserve">KMB publicly stated that it will look into the M&amp;A possibility with SBT</t>
        </r>
      </text>
    </comment>
    <comment ref="R1" authorId="0">
      <text>
        <r>
          <rPr>
            <sz val="10"/>
            <rFont val="Arial"/>
            <family val="2"/>
            <charset val="1"/>
          </rPr>
          <t xml:space="preserve">29.12 – Closest Trading Day</t>
        </r>
      </text>
    </comment>
    <comment ref="Z1" authorId="0">
      <text>
        <r>
          <rPr>
            <sz val="10"/>
            <rFont val="Arial"/>
            <family val="2"/>
            <charset val="1"/>
          </rPr>
          <t xml:space="preserve">Closest trading day 30.12
</t>
        </r>
      </text>
    </comment>
    <comment ref="AE1" authorId="0">
      <text>
        <r>
          <rPr>
            <sz val="10"/>
            <rFont val="Arial"/>
            <family val="2"/>
            <charset val="1"/>
          </rPr>
          <t xml:space="preserve">Closest trading day 30.12</t>
        </r>
      </text>
    </comment>
    <comment ref="AK1" authorId="0">
      <text>
        <r>
          <rPr>
            <sz val="10"/>
            <rFont val="Arial"/>
            <family val="2"/>
            <charset val="1"/>
          </rPr>
          <t xml:space="preserve">30.09 closest traiding day</t>
        </r>
      </text>
    </comment>
    <comment ref="AN1" authorId="0">
      <text>
        <r>
          <rPr>
            <sz val="10"/>
            <rFont val="Arial"/>
            <family val="2"/>
            <charset val="1"/>
          </rPr>
          <t xml:space="preserve">Closest trading day – 28.06</t>
        </r>
      </text>
    </comment>
    <comment ref="AO1" authorId="0">
      <text>
        <r>
          <rPr>
            <sz val="10"/>
            <rFont val="Arial"/>
            <family val="2"/>
            <charset val="1"/>
          </rPr>
          <t xml:space="preserve">Closest traiding day – 29.03</t>
        </r>
      </text>
    </comment>
    <comment ref="AP1" authorId="0">
      <text>
        <r>
          <rPr>
            <sz val="10"/>
            <rFont val="Arial"/>
            <family val="2"/>
            <charset val="1"/>
          </rPr>
          <t xml:space="preserve">28.12 – Closest traiding day</t>
        </r>
      </text>
    </comment>
    <comment ref="AQ1" authorId="0">
      <text>
        <r>
          <rPr>
            <sz val="10"/>
            <rFont val="Arial"/>
            <family val="2"/>
            <charset val="1"/>
          </rPr>
          <t xml:space="preserve">Closest traiding day – 28.06</t>
        </r>
      </text>
    </comment>
  </commentList>
</comments>
</file>

<file path=xl/sharedStrings.xml><?xml version="1.0" encoding="utf-8"?>
<sst xmlns="http://schemas.openxmlformats.org/spreadsheetml/2006/main" count="4548" uniqueCount="467">
  <si>
    <t xml:space="preserve">Contents (this sheet) - Explanation of the workbook structure</t>
  </si>
  <si>
    <t xml:space="preserve">МSE Events - Analysis regarding the events</t>
  </si>
  <si>
    <t xml:space="preserve">Index comparison – Comparison of the stock exchange indencies</t>
  </si>
  <si>
    <t xml:space="preserve">Index Sensitivity - Beta calculation between World/Regional Indencies and MBI10 indencies</t>
  </si>
  <si>
    <t xml:space="preserve">Seasonality Charts - Data for conclusions and charts</t>
  </si>
  <si>
    <t xml:space="preserve">Seasonality Q - Quarterly analysis of the Indencies and also of World/Regional ones</t>
  </si>
  <si>
    <t xml:space="preserve">Seasonality TRD – Seasonality analysis of the indencies regarding the period when Investor/Trading Day as it was also present in 2019/18</t>
  </si>
  <si>
    <t xml:space="preserve">Seasonality TRD 5 – Seasonality analysis of the indencies regarding the period when Investor/Trading Day is present</t>
  </si>
  <si>
    <t xml:space="preserve">Data for seasonality - self explanatory</t>
  </si>
  <si>
    <t xml:space="preserve">MI – Macedonian Index – capitalization weighted index formed from the stocks included into the research</t>
  </si>
  <si>
    <t xml:space="preserve">60th PRECENTILE - capitalization weigthed index formed by including the stocks in the 60th precentile (upper 40%)</t>
  </si>
  <si>
    <t xml:space="preserve">MI wo. MBI10 - Macedonian Market index excluding the stocks which are or were in the MBI10 during the period</t>
  </si>
  <si>
    <t xml:space="preserve">Finance – Sector index capitalization weighted index</t>
  </si>
  <si>
    <t xml:space="preserve">Heavy Industry - Sector index capitalization weighted index</t>
  </si>
  <si>
    <t xml:space="preserve">Light Industry - Sector index capitalization weighted index</t>
  </si>
  <si>
    <t xml:space="preserve">Services – Sector index capitalization weighted index</t>
  </si>
  <si>
    <t xml:space="preserve">MBI10 – index calculations</t>
  </si>
  <si>
    <t xml:space="preserve">MBI10 ratio – MBI(cap) calculation &amp; and ratio calculations</t>
  </si>
  <si>
    <t xml:space="preserve">Ratio - calculation of the ratios based on the data</t>
  </si>
  <si>
    <t xml:space="preserve">Ratio (data) – the data taken from the Audited Financial Reports</t>
  </si>
  <si>
    <t xml:space="preserve">Capitalization - of the included stocks</t>
  </si>
  <si>
    <t xml:space="preserve">Liquid Stocks (Included) – prices of the stocks included into the research</t>
  </si>
  <si>
    <t xml:space="preserve">Liquidity check (check for price changes trough the observed period)</t>
  </si>
  <si>
    <t xml:space="preserve">Historical Prices Outview - ALL (all base data - main database)</t>
  </si>
  <si>
    <t xml:space="preserve">KMB</t>
  </si>
  <si>
    <t xml:space="preserve">NUM</t>
  </si>
  <si>
    <t xml:space="preserve">SBT</t>
  </si>
  <si>
    <t xml:space="preserve">MPT</t>
  </si>
  <si>
    <t xml:space="preserve">MPOL</t>
  </si>
  <si>
    <t xml:space="preserve">REPL</t>
  </si>
  <si>
    <t xml:space="preserve">ALK</t>
  </si>
  <si>
    <t xml:space="preserve">OKTA</t>
  </si>
  <si>
    <r>
      <rPr>
        <b val="true"/>
        <sz val="9"/>
        <rFont val="Arial"/>
        <family val="2"/>
        <charset val="1"/>
      </rPr>
      <t xml:space="preserve">26.09.23 </t>
    </r>
    <r>
      <rPr>
        <b val="true"/>
        <vertAlign val="superscript"/>
        <sz val="9"/>
        <rFont val="Arial"/>
        <family val="2"/>
        <charset val="1"/>
      </rPr>
      <t xml:space="preserve">KMB/SBT</t>
    </r>
  </si>
  <si>
    <t xml:space="preserve">23Q3 (30.09)</t>
  </si>
  <si>
    <r>
      <rPr>
        <b val="true"/>
        <sz val="9"/>
        <rFont val="Arial"/>
        <family val="2"/>
        <charset val="1"/>
      </rPr>
      <t xml:space="preserve">09.10.23 </t>
    </r>
    <r>
      <rPr>
        <b val="true"/>
        <vertAlign val="superscript"/>
        <sz val="9"/>
        <rFont val="Arial"/>
        <family val="2"/>
        <charset val="1"/>
      </rPr>
      <t xml:space="preserve">ISR/GAZA</t>
    </r>
  </si>
  <si>
    <t xml:space="preserve">23Q4 (31.12)</t>
  </si>
  <si>
    <r>
      <rPr>
        <b val="true"/>
        <sz val="10"/>
        <rFont val="Arial"/>
        <family val="2"/>
        <charset val="1"/>
      </rPr>
      <t xml:space="preserve">22.02.24 </t>
    </r>
    <r>
      <rPr>
        <b val="true"/>
        <vertAlign val="superscript"/>
        <sz val="10"/>
        <rFont val="Arial"/>
        <family val="2"/>
        <charset val="1"/>
      </rPr>
      <t xml:space="preserve">MPT</t>
    </r>
  </si>
  <si>
    <t xml:space="preserve">24Q1 (31.03)</t>
  </si>
  <si>
    <r>
      <rPr>
        <b val="true"/>
        <sz val="10"/>
        <rFont val="Arial"/>
        <family val="2"/>
        <charset val="1"/>
      </rPr>
      <t xml:space="preserve">23.04.24 </t>
    </r>
    <r>
      <rPr>
        <b val="true"/>
        <vertAlign val="superscript"/>
        <sz val="10"/>
        <rFont val="Arial"/>
        <family val="2"/>
        <charset val="1"/>
      </rPr>
      <t xml:space="preserve">OKTA</t>
    </r>
  </si>
  <si>
    <t xml:space="preserve">GRWTH Rate</t>
  </si>
  <si>
    <t xml:space="preserve">24Q2 (30.06)</t>
  </si>
  <si>
    <r>
      <rPr>
        <b val="true"/>
        <sz val="10"/>
        <rFont val="Arial"/>
        <family val="2"/>
        <charset val="1"/>
      </rPr>
      <t xml:space="preserve">17.07.24</t>
    </r>
    <r>
      <rPr>
        <b val="true"/>
        <vertAlign val="superscript"/>
        <sz val="10"/>
        <rFont val="Arial"/>
        <family val="2"/>
        <charset val="1"/>
      </rPr>
      <t xml:space="preserve"> </t>
    </r>
    <r>
      <rPr>
        <b val="true"/>
        <vertAlign val="superscript"/>
        <sz val="9"/>
        <rFont val="Arial"/>
        <family val="2"/>
        <charset val="1"/>
      </rPr>
      <t xml:space="preserve">REPL</t>
    </r>
  </si>
  <si>
    <t xml:space="preserve">31.07.24</t>
  </si>
  <si>
    <r>
      <rPr>
        <sz val="10"/>
        <rFont val="Arial"/>
        <family val="2"/>
        <charset val="1"/>
      </rPr>
      <t xml:space="preserve">05.08.24 </t>
    </r>
    <r>
      <rPr>
        <vertAlign val="superscript"/>
        <sz val="10"/>
        <rFont val="Arial"/>
        <family val="2"/>
        <charset val="1"/>
      </rPr>
      <t xml:space="preserve">JPY</t>
    </r>
  </si>
  <si>
    <r>
      <rPr>
        <b val="true"/>
        <sz val="9"/>
        <rFont val="Arial"/>
        <family val="2"/>
        <charset val="1"/>
      </rPr>
      <t xml:space="preserve">13.09.24 </t>
    </r>
    <r>
      <rPr>
        <b val="true"/>
        <vertAlign val="superscript"/>
        <sz val="9"/>
        <rFont val="Arial"/>
        <family val="2"/>
        <charset val="1"/>
      </rPr>
      <t xml:space="preserve">TRD</t>
    </r>
  </si>
  <si>
    <t xml:space="preserve">Correlations</t>
  </si>
  <si>
    <t xml:space="preserve">Time &amp; KMB</t>
  </si>
  <si>
    <t xml:space="preserve">KMB&amp;SBT</t>
  </si>
  <si>
    <t xml:space="preserve">Time &amp; SBT</t>
  </si>
  <si>
    <r>
      <rPr>
        <b val="true"/>
        <sz val="10"/>
        <rFont val="Arial"/>
        <family val="2"/>
        <charset val="1"/>
      </rPr>
      <t xml:space="preserve">05.08.24 </t>
    </r>
    <r>
      <rPr>
        <b val="true"/>
        <vertAlign val="superscript"/>
        <sz val="10"/>
        <rFont val="Arial"/>
        <family val="2"/>
        <charset val="1"/>
      </rPr>
      <t xml:space="preserve">JPY</t>
    </r>
  </si>
  <si>
    <r>
      <rPr>
        <b val="true"/>
        <sz val="9"/>
        <rFont val="Arial"/>
        <family val="2"/>
        <charset val="1"/>
      </rPr>
      <t xml:space="preserve">13.09.23 </t>
    </r>
    <r>
      <rPr>
        <b val="true"/>
        <vertAlign val="superscript"/>
        <sz val="9"/>
        <rFont val="Arial"/>
        <family val="2"/>
        <charset val="1"/>
      </rPr>
      <t xml:space="preserve">TRD</t>
    </r>
  </si>
  <si>
    <t xml:space="preserve">23Q2 (30.06)</t>
  </si>
  <si>
    <t xml:space="preserve">23Q1 (31.03)</t>
  </si>
  <si>
    <t xml:space="preserve">22Q4 (31.12)</t>
  </si>
  <si>
    <t xml:space="preserve">22Q3 (30.09)</t>
  </si>
  <si>
    <r>
      <rPr>
        <b val="true"/>
        <sz val="9"/>
        <rFont val="Arial"/>
        <family val="2"/>
        <charset val="1"/>
      </rPr>
      <t xml:space="preserve">13.09.22 </t>
    </r>
    <r>
      <rPr>
        <b val="true"/>
        <vertAlign val="superscript"/>
        <sz val="9"/>
        <rFont val="Arial"/>
        <family val="2"/>
        <charset val="1"/>
      </rPr>
      <t xml:space="preserve">TRD</t>
    </r>
  </si>
  <si>
    <t xml:space="preserve">22Q2 (30.06)</t>
  </si>
  <si>
    <t xml:space="preserve">22Q1 (31.03)</t>
  </si>
  <si>
    <r>
      <rPr>
        <b val="true"/>
        <sz val="10"/>
        <rFont val="Arial"/>
        <family val="2"/>
        <charset val="1"/>
      </rPr>
      <t xml:space="preserve">25.02.22 </t>
    </r>
    <r>
      <rPr>
        <b val="true"/>
        <vertAlign val="superscript"/>
        <sz val="10"/>
        <rFont val="Arial"/>
        <family val="2"/>
        <charset val="1"/>
      </rPr>
      <t xml:space="preserve">UKR</t>
    </r>
  </si>
  <si>
    <r>
      <rPr>
        <b val="true"/>
        <sz val="10"/>
        <rFont val="Arial"/>
        <family val="2"/>
        <charset val="1"/>
      </rPr>
      <t xml:space="preserve">24.02.22 </t>
    </r>
    <r>
      <rPr>
        <b val="true"/>
        <vertAlign val="superscript"/>
        <sz val="10"/>
        <rFont val="Arial"/>
        <family val="2"/>
        <charset val="1"/>
      </rPr>
      <t xml:space="preserve">UKR</t>
    </r>
  </si>
  <si>
    <r>
      <rPr>
        <b val="true"/>
        <sz val="10"/>
        <rFont val="Arial"/>
        <family val="2"/>
        <charset val="1"/>
      </rPr>
      <t xml:space="preserve">23.02.22 </t>
    </r>
    <r>
      <rPr>
        <b val="true"/>
        <vertAlign val="superscript"/>
        <sz val="10"/>
        <rFont val="Arial"/>
        <family val="2"/>
        <charset val="1"/>
      </rPr>
      <t xml:space="preserve">UKR</t>
    </r>
  </si>
  <si>
    <t xml:space="preserve">21Q4 (31.12)</t>
  </si>
  <si>
    <t xml:space="preserve">21Q3 (30.09)</t>
  </si>
  <si>
    <r>
      <rPr>
        <b val="true"/>
        <sz val="9"/>
        <rFont val="Arial"/>
        <family val="2"/>
        <charset val="1"/>
      </rPr>
      <t xml:space="preserve">13.09.21 </t>
    </r>
    <r>
      <rPr>
        <b val="true"/>
        <vertAlign val="superscript"/>
        <sz val="9"/>
        <rFont val="Arial"/>
        <family val="2"/>
        <charset val="1"/>
      </rPr>
      <t xml:space="preserve">TRD</t>
    </r>
  </si>
  <si>
    <t xml:space="preserve">21Q2 (30.06)</t>
  </si>
  <si>
    <t xml:space="preserve">21Q1 (31.03)</t>
  </si>
  <si>
    <t xml:space="preserve">20Q4 (31.12)</t>
  </si>
  <si>
    <t xml:space="preserve">20Q3 (30.09)</t>
  </si>
  <si>
    <r>
      <rPr>
        <b val="true"/>
        <sz val="9"/>
        <rFont val="Arial"/>
        <family val="2"/>
        <charset val="1"/>
      </rPr>
      <t xml:space="preserve">18.09.20 </t>
    </r>
    <r>
      <rPr>
        <b val="true"/>
        <vertAlign val="superscript"/>
        <sz val="9"/>
        <rFont val="Arial"/>
        <family val="2"/>
        <charset val="1"/>
      </rPr>
      <t xml:space="preserve">TRD</t>
    </r>
  </si>
  <si>
    <t xml:space="preserve">20Q2 (30.06)</t>
  </si>
  <si>
    <t xml:space="preserve">20Q1 (31.03)</t>
  </si>
  <si>
    <r>
      <rPr>
        <b val="true"/>
        <sz val="10"/>
        <rFont val="Arial"/>
        <family val="2"/>
        <charset val="1"/>
      </rPr>
      <t xml:space="preserve">05.03.20 </t>
    </r>
    <r>
      <rPr>
        <b val="true"/>
        <vertAlign val="superscript"/>
        <sz val="10"/>
        <rFont val="Arial"/>
        <family val="2"/>
        <charset val="1"/>
      </rPr>
      <t xml:space="preserve">COVID</t>
    </r>
  </si>
  <si>
    <t xml:space="preserve">19Q4 (30.12)</t>
  </si>
  <si>
    <t xml:space="preserve">19Q3 (30.09)</t>
  </si>
  <si>
    <r>
      <rPr>
        <b val="true"/>
        <sz val="9"/>
        <rFont val="Arial"/>
        <family val="2"/>
        <charset val="1"/>
      </rPr>
      <t xml:space="preserve">13.09.19 </t>
    </r>
    <r>
      <rPr>
        <b val="true"/>
        <vertAlign val="superscript"/>
        <sz val="9"/>
        <rFont val="Arial"/>
        <family val="2"/>
        <charset val="1"/>
      </rPr>
      <t xml:space="preserve">TRD</t>
    </r>
  </si>
  <si>
    <t xml:space="preserve">19Q2 (30.06)</t>
  </si>
  <si>
    <t xml:space="preserve">19Q1 (31.03)</t>
  </si>
  <si>
    <t xml:space="preserve">18Q4 (31.12)</t>
  </si>
  <si>
    <t xml:space="preserve">18Q3 (30.09)</t>
  </si>
  <si>
    <r>
      <rPr>
        <b val="true"/>
        <sz val="9"/>
        <rFont val="Arial"/>
        <family val="2"/>
        <charset val="1"/>
      </rPr>
      <t xml:space="preserve">13.09.18 </t>
    </r>
    <r>
      <rPr>
        <b val="true"/>
        <vertAlign val="superscript"/>
        <sz val="9"/>
        <rFont val="Arial"/>
        <family val="2"/>
        <charset val="1"/>
      </rPr>
      <t xml:space="preserve">TRD</t>
    </r>
  </si>
  <si>
    <t xml:space="preserve">`</t>
  </si>
  <si>
    <t xml:space="preserve">MI</t>
  </si>
  <si>
    <r>
      <rPr>
        <sz val="10"/>
        <rFont val="Arial"/>
        <family val="2"/>
        <charset val="1"/>
      </rPr>
      <t xml:space="preserve">60</t>
    </r>
    <r>
      <rPr>
        <vertAlign val="superscript"/>
        <sz val="10"/>
        <rFont val="Arial"/>
        <family val="2"/>
        <charset val="1"/>
      </rPr>
      <t xml:space="preserve">th</t>
    </r>
  </si>
  <si>
    <t xml:space="preserve">Finance</t>
  </si>
  <si>
    <t xml:space="preserve">Heavy Ind</t>
  </si>
  <si>
    <t xml:space="preserve">Light Ind</t>
  </si>
  <si>
    <t xml:space="preserve">Services</t>
  </si>
  <si>
    <t xml:space="preserve">MBI10 (reg)</t>
  </si>
  <si>
    <t xml:space="preserve">MBI10 (cap)</t>
  </si>
  <si>
    <t xml:space="preserve">MI wo. MBI10</t>
  </si>
  <si>
    <t xml:space="preserve">MBI10 difference</t>
  </si>
  <si>
    <t xml:space="preserve">MBI10 (reg) vs MI w. MBI10</t>
  </si>
  <si>
    <t xml:space="preserve">Points</t>
  </si>
  <si>
    <t xml:space="preserve">MAX</t>
  </si>
  <si>
    <t xml:space="preserve">MIN</t>
  </si>
  <si>
    <t xml:space="preserve">Median QTRLY GRWT</t>
  </si>
  <si>
    <t xml:space="preserve">Better than MEDIAN GRWT</t>
  </si>
  <si>
    <t xml:space="preserve">- N / A -</t>
  </si>
  <si>
    <t xml:space="preserve">MBI10 vs MI w. MBI10</t>
  </si>
  <si>
    <t xml:space="preserve">P/S</t>
  </si>
  <si>
    <t xml:space="preserve">MEDIAN</t>
  </si>
  <si>
    <t xml:space="preserve">P/E</t>
  </si>
  <si>
    <t xml:space="preserve">P/B</t>
  </si>
  <si>
    <t xml:space="preserve">EV/EBIDA</t>
  </si>
  <si>
    <t xml:space="preserve">INDEX dependency on MBI 10 (reg)</t>
  </si>
  <si>
    <t xml:space="preserve">5y BETA</t>
  </si>
  <si>
    <t xml:space="preserve">COVID BETA</t>
  </si>
  <si>
    <t xml:space="preserve">3y BETA</t>
  </si>
  <si>
    <t xml:space="preserve"> UKR BETA</t>
  </si>
  <si>
    <t xml:space="preserve">1y BETA</t>
  </si>
  <si>
    <t xml:space="preserve">ISR/GAZA BETA</t>
  </si>
  <si>
    <t xml:space="preserve">Chronological AVERAGE</t>
  </si>
  <si>
    <t xml:space="preserve">MBI 10 (reg) dependency on </t>
  </si>
  <si>
    <t xml:space="preserve">60th</t>
  </si>
  <si>
    <t xml:space="preserve">y in %</t>
  </si>
  <si>
    <t xml:space="preserve">Index at 2018 TRD</t>
  </si>
  <si>
    <t xml:space="preserve">Light Industry</t>
  </si>
  <si>
    <t xml:space="preserve">S&amp;P 500</t>
  </si>
  <si>
    <t xml:space="preserve">DOW</t>
  </si>
  <si>
    <t xml:space="preserve">Russel 2000</t>
  </si>
  <si>
    <t xml:space="preserve">FTSE</t>
  </si>
  <si>
    <t xml:space="preserve">DAX 40</t>
  </si>
  <si>
    <t xml:space="preserve">CAC 40</t>
  </si>
  <si>
    <t xml:space="preserve">Eurostoxx 50</t>
  </si>
  <si>
    <t xml:space="preserve">Nikkei</t>
  </si>
  <si>
    <t xml:space="preserve">MOEKS</t>
  </si>
  <si>
    <t xml:space="preserve">CSI 300</t>
  </si>
  <si>
    <t xml:space="preserve">TWSE 50</t>
  </si>
  <si>
    <t xml:space="preserve">SOFIX</t>
  </si>
  <si>
    <t xml:space="preserve">BELEX</t>
  </si>
  <si>
    <t xml:space="preserve">ATHEX</t>
  </si>
  <si>
    <t xml:space="preserve">CROBEX</t>
  </si>
  <si>
    <t xml:space="preserve">MBI10 (reg) compared to</t>
  </si>
  <si>
    <t xml:space="preserve">Light Industry compared to</t>
  </si>
  <si>
    <r>
      <rPr>
        <sz val="10"/>
        <rFont val="Arial"/>
        <family val="2"/>
        <charset val="1"/>
      </rPr>
      <t xml:space="preserve">60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compared to</t>
    </r>
  </si>
  <si>
    <t xml:space="preserve">MI wo. MBI compared to</t>
  </si>
  <si>
    <t xml:space="preserve">Finance compared to</t>
  </si>
  <si>
    <t xml:space="preserve">Indenies compared to MBI10(reg)</t>
  </si>
  <si>
    <t xml:space="preserve">Global Event Correlations with MBI10 (reg)</t>
  </si>
  <si>
    <t xml:space="preserve">Yen Trade</t>
  </si>
  <si>
    <t xml:space="preserve">Israel Gaza </t>
  </si>
  <si>
    <t xml:space="preserve">Ukraine Russia</t>
  </si>
  <si>
    <t xml:space="preserve">COVID</t>
  </si>
  <si>
    <t xml:space="preserve">Overall</t>
  </si>
  <si>
    <t xml:space="preserve">Region Median</t>
  </si>
  <si>
    <t xml:space="preserve">Global Event Correlations with MBI10 (cap)</t>
  </si>
  <si>
    <t xml:space="preserve">Global Event Correlations with Finance</t>
  </si>
  <si>
    <t xml:space="preserve">Global Event Correlations with MI wo. MBI</t>
  </si>
  <si>
    <t xml:space="preserve">Heavy Iind.</t>
  </si>
  <si>
    <t xml:space="preserve">Light Iind.</t>
  </si>
  <si>
    <t xml:space="preserve">MI wo. MBI</t>
  </si>
  <si>
    <t xml:space="preserve">Q1</t>
  </si>
  <si>
    <t xml:space="preserve">Q2</t>
  </si>
  <si>
    <t xml:space="preserve">Q3</t>
  </si>
  <si>
    <t xml:space="preserve">Q4</t>
  </si>
  <si>
    <t xml:space="preserve">RUT</t>
  </si>
  <si>
    <t xml:space="preserve">EuroStxx 50</t>
  </si>
  <si>
    <t xml:space="preserve">Nikkei 225</t>
  </si>
  <si>
    <t xml:space="preserve">MOEX</t>
  </si>
  <si>
    <t xml:space="preserve">CSI 30</t>
  </si>
  <si>
    <t xml:space="preserve">BELEX 15</t>
  </si>
  <si>
    <t xml:space="preserve">With Period Before</t>
  </si>
  <si>
    <t xml:space="preserve">Heavy Industry</t>
  </si>
  <si>
    <t xml:space="preserve">MBI (reg)</t>
  </si>
  <si>
    <t xml:space="preserve">MBI (cap)</t>
  </si>
  <si>
    <t xml:space="preserve">TRD</t>
  </si>
  <si>
    <t xml:space="preserve">Since implementation / COVID</t>
  </si>
  <si>
    <t xml:space="preserve">Difference </t>
  </si>
  <si>
    <t xml:space="preserve">TRD Before</t>
  </si>
  <si>
    <t xml:space="preserve">TRD After</t>
  </si>
  <si>
    <t xml:space="preserve">Effect</t>
  </si>
  <si>
    <t xml:space="preserve">Nominal</t>
  </si>
  <si>
    <t xml:space="preserve">Moving AVG</t>
  </si>
  <si>
    <t xml:space="preserve">S</t>
  </si>
  <si>
    <t xml:space="preserve">Adjusted </t>
  </si>
  <si>
    <t xml:space="preserve">ACTUAL</t>
  </si>
  <si>
    <r>
      <rPr>
        <sz val="10"/>
        <rFont val="Arial"/>
        <family val="2"/>
        <charset val="1"/>
      </rPr>
      <t xml:space="preserve">13.09.18 </t>
    </r>
    <r>
      <rPr>
        <vertAlign val="superscript"/>
        <sz val="10"/>
        <rFont val="Arial"/>
        <family val="2"/>
        <charset val="1"/>
      </rPr>
      <t xml:space="preserve">TRD</t>
    </r>
  </si>
  <si>
    <r>
      <rPr>
        <sz val="9"/>
        <rFont val="Arial"/>
        <family val="2"/>
        <charset val="1"/>
      </rPr>
      <t xml:space="preserve">13.09.19 </t>
    </r>
    <r>
      <rPr>
        <vertAlign val="superscript"/>
        <sz val="9"/>
        <rFont val="Arial"/>
        <family val="2"/>
        <charset val="1"/>
      </rPr>
      <t xml:space="preserve">TRD</t>
    </r>
  </si>
  <si>
    <t xml:space="preserve">DATE</t>
  </si>
  <si>
    <t xml:space="preserve">Eurostoxx</t>
  </si>
  <si>
    <t xml:space="preserve">TEL</t>
  </si>
  <si>
    <t xml:space="preserve">NLB</t>
  </si>
  <si>
    <t xml:space="preserve">STB(P)</t>
  </si>
  <si>
    <t xml:space="preserve">USJE</t>
  </si>
  <si>
    <t xml:space="preserve">GRNT</t>
  </si>
  <si>
    <t xml:space="preserve">UNI</t>
  </si>
  <si>
    <t xml:space="preserve">MTUR</t>
  </si>
  <si>
    <t xml:space="preserve">STIL</t>
  </si>
  <si>
    <t xml:space="preserve">TKVS</t>
  </si>
  <si>
    <t xml:space="preserve">TTK</t>
  </si>
  <si>
    <t xml:space="preserve">PPIV</t>
  </si>
  <si>
    <t xml:space="preserve">TETE</t>
  </si>
  <si>
    <t xml:space="preserve">FERS</t>
  </si>
  <si>
    <t xml:space="preserve">KJUBI</t>
  </si>
  <si>
    <t xml:space="preserve">EVRO</t>
  </si>
  <si>
    <t xml:space="preserve">VITA</t>
  </si>
  <si>
    <t xml:space="preserve">ZPKO</t>
  </si>
  <si>
    <t xml:space="preserve">ADIN</t>
  </si>
  <si>
    <t xml:space="preserve">RADE</t>
  </si>
  <si>
    <t xml:space="preserve">BIM</t>
  </si>
  <si>
    <t xml:space="preserve">MKSD</t>
  </si>
  <si>
    <t xml:space="preserve">Capitalization</t>
  </si>
  <si>
    <t xml:space="preserve">Index Cap</t>
  </si>
  <si>
    <t xml:space="preserve">MI INDEX</t>
  </si>
  <si>
    <t xml:space="preserve">P/P GRWT</t>
  </si>
  <si>
    <t xml:space="preserve">P/S weights</t>
  </si>
  <si>
    <t xml:space="preserve">P/E weights</t>
  </si>
  <si>
    <t xml:space="preserve">P/B weights</t>
  </si>
  <si>
    <t xml:space="preserve">EV/EBIDA </t>
  </si>
  <si>
    <r>
      <rPr>
        <vertAlign val="superscript"/>
        <sz val="10"/>
        <rFont val="Arial"/>
        <family val="2"/>
        <charset val="1"/>
      </rPr>
      <t xml:space="preserve">TICK</t>
    </r>
    <r>
      <rPr>
        <sz val="10"/>
        <rFont val="Arial"/>
        <family val="2"/>
        <charset val="1"/>
      </rPr>
      <t xml:space="preserve"> / </t>
    </r>
    <r>
      <rPr>
        <vertAlign val="subscript"/>
        <sz val="10"/>
        <rFont val="Arial"/>
        <family val="2"/>
        <charset val="1"/>
      </rPr>
      <t xml:space="preserve">TIMESTAMP</t>
    </r>
  </si>
  <si>
    <t xml:space="preserve">COUNT</t>
  </si>
  <si>
    <t xml:space="preserve">SUM</t>
  </si>
  <si>
    <r>
      <rPr>
        <sz val="10"/>
        <rFont val="Arial"/>
        <family val="2"/>
        <charset val="1"/>
      </rPr>
      <t xml:space="preserve">INDEX 60</t>
    </r>
    <r>
      <rPr>
        <vertAlign val="superscript"/>
        <sz val="10"/>
        <rFont val="Arial"/>
        <family val="2"/>
        <charset val="1"/>
      </rPr>
      <t xml:space="preserve">th</t>
    </r>
  </si>
  <si>
    <r>
      <rPr>
        <sz val="10"/>
        <rFont val="Arial"/>
        <family val="2"/>
        <charset val="1"/>
      </rPr>
      <t xml:space="preserve">60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PRE</t>
    </r>
  </si>
  <si>
    <t xml:space="preserve">GRTW rate</t>
  </si>
  <si>
    <t xml:space="preserve">MI wo MBI</t>
  </si>
  <si>
    <t xml:space="preserve">Market Cap</t>
  </si>
  <si>
    <t xml:space="preserve">MK FINANCE</t>
  </si>
  <si>
    <t xml:space="preserve">GRWT rate</t>
  </si>
  <si>
    <t xml:space="preserve">&lt;</t>
  </si>
  <si>
    <t xml:space="preserve">Heavy Ind.</t>
  </si>
  <si>
    <t xml:space="preserve">Light Ind.</t>
  </si>
  <si>
    <t xml:space="preserve">BETA CALUCLATION</t>
  </si>
  <si>
    <t xml:space="preserve">MBI dependency of stock</t>
  </si>
  <si>
    <t xml:space="preserve">GAZA BETA</t>
  </si>
  <si>
    <t xml:space="preserve">UNI (23Q1 – NOW)</t>
  </si>
  <si>
    <t xml:space="preserve">SBT (18Q3 – 22Q4)</t>
  </si>
  <si>
    <t xml:space="preserve">Stock dependcy of MBI</t>
  </si>
  <si>
    <t xml:space="preserve">MBI10</t>
  </si>
  <si>
    <t xml:space="preserve">UNI/SBT</t>
  </si>
  <si>
    <t xml:space="preserve">Grow rates</t>
  </si>
  <si>
    <t xml:space="preserve">05.08.24 JPY</t>
  </si>
  <si>
    <t xml:space="preserve">timestamp/timestamp grwth rate</t>
  </si>
  <si>
    <t xml:space="preserve">UNI / SBT</t>
  </si>
  <si>
    <t xml:space="preserve">YEARLY</t>
  </si>
  <si>
    <t xml:space="preserve">Yearly grwth rate</t>
  </si>
  <si>
    <t xml:space="preserve">Times beating INDEX 5y</t>
  </si>
  <si>
    <t xml:space="preserve">5y PRCNT %</t>
  </si>
  <si>
    <t xml:space="preserve">Times beating INDEX COVID</t>
  </si>
  <si>
    <t xml:space="preserve">COVID PRCNT %</t>
  </si>
  <si>
    <t xml:space="preserve">Times beating INDEX UKR</t>
  </si>
  <si>
    <t xml:space="preserve">UKR PRCNT %</t>
  </si>
  <si>
    <t xml:space="preserve">Times beating INDEX GAZA</t>
  </si>
  <si>
    <t xml:space="preserve">GAZA PRCNT %</t>
  </si>
  <si>
    <t xml:space="preserve">Since beating MBI10</t>
  </si>
  <si>
    <t xml:space="preserve">5y in %</t>
  </si>
  <si>
    <t xml:space="preserve">Chronological 5y</t>
  </si>
  <si>
    <t xml:space="preserve">GRWTH 24/23</t>
  </si>
  <si>
    <t xml:space="preserve">GRWTH 23/22</t>
  </si>
  <si>
    <t xml:space="preserve">GRWTH 22/21</t>
  </si>
  <si>
    <t xml:space="preserve">GRWTH 21/20</t>
  </si>
  <si>
    <t xml:space="preserve">GRWTH 20/19</t>
  </si>
  <si>
    <t xml:space="preserve">GRWTH 19/18</t>
  </si>
  <si>
    <t xml:space="preserve">beating the MEDIAN</t>
  </si>
  <si>
    <t xml:space="preserve">COVID in %</t>
  </si>
  <si>
    <t xml:space="preserve">UKR in %</t>
  </si>
  <si>
    <t xml:space="preserve">AVERAGE 5y</t>
  </si>
  <si>
    <t xml:space="preserve">MBI10 CAP</t>
  </si>
  <si>
    <t xml:space="preserve">MBI10 REG</t>
  </si>
  <si>
    <t xml:space="preserve">CAP</t>
  </si>
  <si>
    <t xml:space="preserve">REG</t>
  </si>
  <si>
    <t xml:space="preserve">TIK / DATE</t>
  </si>
  <si>
    <t xml:space="preserve">Sales</t>
  </si>
  <si>
    <t xml:space="preserve">Earnings</t>
  </si>
  <si>
    <t xml:space="preserve"> </t>
  </si>
  <si>
    <t xml:space="preserve">Book Value</t>
  </si>
  <si>
    <t xml:space="preserve">EBIDA</t>
  </si>
  <si>
    <t xml:space="preserve">EBIDA = Net Income + Interest Expense + Taxes + Depreciation + Amortization</t>
  </si>
  <si>
    <t xml:space="preserve">EV</t>
  </si>
  <si>
    <t xml:space="preserve">Enterprise Value = Market Capitalization + Total Debt + Preffered Shares Accounting Value - Cash &amp; Equivalents</t>
  </si>
  <si>
    <t xml:space="preserve">Акции</t>
  </si>
  <si>
    <t xml:space="preserve">MARKET Capitalization</t>
  </si>
  <si>
    <r>
      <rPr>
        <sz val="10"/>
        <rFont val="Arial"/>
        <family val="2"/>
        <charset val="1"/>
      </rPr>
      <t xml:space="preserve">80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Percentl</t>
    </r>
  </si>
  <si>
    <r>
      <rPr>
        <sz val="10"/>
        <rFont val="Arial"/>
        <family val="2"/>
        <charset val="1"/>
      </rPr>
      <t xml:space="preserve">NUM of 80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Precentl</t>
    </r>
  </si>
  <si>
    <r>
      <rPr>
        <sz val="10"/>
        <rFont val="Arial"/>
        <family val="2"/>
        <charset val="1"/>
      </rPr>
      <t xml:space="preserve">60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Percentl</t>
    </r>
  </si>
  <si>
    <r>
      <rPr>
        <sz val="10"/>
        <rFont val="Arial"/>
        <family val="2"/>
        <charset val="1"/>
      </rPr>
      <t xml:space="preserve">NUM of 60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Precentl</t>
    </r>
  </si>
  <si>
    <t xml:space="preserve">NUM above the Median</t>
  </si>
  <si>
    <r>
      <rPr>
        <sz val="10"/>
        <rFont val="Arial"/>
        <family val="2"/>
        <charset val="1"/>
      </rPr>
      <t xml:space="preserve">60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Precentile calc</t>
    </r>
  </si>
  <si>
    <t xml:space="preserve">ΑΜΕΗ</t>
  </si>
  <si>
    <t xml:space="preserve">APTK</t>
  </si>
  <si>
    <t xml:space="preserve">AUMK</t>
  </si>
  <si>
    <t xml:space="preserve">MZHE</t>
  </si>
  <si>
    <t xml:space="preserve">VTKS</t>
  </si>
  <si>
    <t xml:space="preserve">TIKV</t>
  </si>
  <si>
    <t xml:space="preserve">GECK</t>
  </si>
  <si>
    <t xml:space="preserve">GECT</t>
  </si>
  <si>
    <t xml:space="preserve">GTC</t>
  </si>
  <si>
    <t xml:space="preserve">GRZD</t>
  </si>
  <si>
    <t xml:space="preserve">DEBA</t>
  </si>
  <si>
    <t xml:space="preserve">DIMI</t>
  </si>
  <si>
    <t xml:space="preserve">KOMU</t>
  </si>
  <si>
    <t xml:space="preserve">ZAS</t>
  </si>
  <si>
    <t xml:space="preserve">ZKAR</t>
  </si>
  <si>
    <t xml:space="preserve">ZILU</t>
  </si>
  <si>
    <t xml:space="preserve">ZPOG</t>
  </si>
  <si>
    <t xml:space="preserve">INHO</t>
  </si>
  <si>
    <t xml:space="preserve">INPR</t>
  </si>
  <si>
    <t xml:space="preserve">KPSS</t>
  </si>
  <si>
    <t xml:space="preserve">KLST</t>
  </si>
  <si>
    <t xml:space="preserve">BGOR</t>
  </si>
  <si>
    <t xml:space="preserve">RZLV</t>
  </si>
  <si>
    <t xml:space="preserve">LOTO</t>
  </si>
  <si>
    <t xml:space="preserve">MAKS(P)</t>
  </si>
  <si>
    <t xml:space="preserve">MAKP</t>
  </si>
  <si>
    <t xml:space="preserve">MERM</t>
  </si>
  <si>
    <t xml:space="preserve">MZPU</t>
  </si>
  <si>
    <t xml:space="preserve">MODA</t>
  </si>
  <si>
    <t xml:space="preserve">NOSK</t>
  </si>
  <si>
    <t xml:space="preserve">NEME</t>
  </si>
  <si>
    <t xml:space="preserve">OILK</t>
  </si>
  <si>
    <t xml:space="preserve">ORAN</t>
  </si>
  <si>
    <t xml:space="preserve">PKB</t>
  </si>
  <si>
    <t xml:space="preserve">LOZP</t>
  </si>
  <si>
    <t xml:space="preserve">RZEK</t>
  </si>
  <si>
    <t xml:space="preserve">RZIT</t>
  </si>
  <si>
    <t xml:space="preserve">RZTK</t>
  </si>
  <si>
    <t xml:space="preserve">RZUG</t>
  </si>
  <si>
    <t xml:space="preserve">RZUS</t>
  </si>
  <si>
    <t xml:space="preserve">BANA</t>
  </si>
  <si>
    <t xml:space="preserve">SSPR</t>
  </si>
  <si>
    <t xml:space="preserve">SIL</t>
  </si>
  <si>
    <t xml:space="preserve">SPAZ(P)</t>
  </si>
  <si>
    <t xml:space="preserve">SLAV</t>
  </si>
  <si>
    <t xml:space="preserve">SDOM</t>
  </si>
  <si>
    <t xml:space="preserve">STOK</t>
  </si>
  <si>
    <t xml:space="preserve">TEAL</t>
  </si>
  <si>
    <t xml:space="preserve">TEHN</t>
  </si>
  <si>
    <t xml:space="preserve">TRPS</t>
  </si>
  <si>
    <t xml:space="preserve">TSMP</t>
  </si>
  <si>
    <t xml:space="preserve">VROS</t>
  </si>
  <si>
    <t xml:space="preserve">TKPR</t>
  </si>
  <si>
    <t xml:space="preserve">CEVI</t>
  </si>
  <si>
    <t xml:space="preserve">KONZ</t>
  </si>
  <si>
    <t xml:space="preserve">FUBT</t>
  </si>
  <si>
    <t xml:space="preserve">CKB</t>
  </si>
  <si>
    <t xml:space="preserve">INB</t>
  </si>
  <si>
    <t xml:space="preserve">TOTAL</t>
  </si>
  <si>
    <t xml:space="preserve">% LIQUDITY</t>
  </si>
  <si>
    <t xml:space="preserve">2024 illiquidit</t>
  </si>
  <si>
    <t xml:space="preserve">2023 illiquidit</t>
  </si>
  <si>
    <r>
      <rPr>
        <sz val="10"/>
        <rFont val="Arial"/>
        <family val="2"/>
        <charset val="1"/>
      </rPr>
      <t xml:space="preserve">25.02.22 </t>
    </r>
    <r>
      <rPr>
        <vertAlign val="superscript"/>
        <sz val="10"/>
        <rFont val="Arial"/>
        <family val="2"/>
        <charset val="1"/>
      </rPr>
      <t xml:space="preserve">UKR</t>
    </r>
  </si>
  <si>
    <r>
      <rPr>
        <sz val="10"/>
        <rFont val="Arial"/>
        <family val="2"/>
        <charset val="1"/>
      </rPr>
      <t xml:space="preserve">24.02.22 </t>
    </r>
    <r>
      <rPr>
        <vertAlign val="superscript"/>
        <sz val="10"/>
        <rFont val="Arial"/>
        <family val="2"/>
        <charset val="1"/>
      </rPr>
      <t xml:space="preserve">UKR</t>
    </r>
  </si>
  <si>
    <r>
      <rPr>
        <sz val="10"/>
        <rFont val="Arial"/>
        <family val="2"/>
        <charset val="1"/>
      </rPr>
      <t xml:space="preserve">23.02.22 </t>
    </r>
    <r>
      <rPr>
        <vertAlign val="superscript"/>
        <sz val="10"/>
        <rFont val="Arial"/>
        <family val="2"/>
        <charset val="1"/>
      </rPr>
      <t xml:space="preserve">UKR</t>
    </r>
  </si>
  <si>
    <t xml:space="preserve">2022 illiquidit</t>
  </si>
  <si>
    <t xml:space="preserve">2021 illiquidit</t>
  </si>
  <si>
    <t xml:space="preserve">2020 illiquidit</t>
  </si>
  <si>
    <t xml:space="preserve">2019 illiquidit</t>
  </si>
  <si>
    <t xml:space="preserve">2018 illiquidit</t>
  </si>
  <si>
    <t xml:space="preserve">TICK</t>
  </si>
  <si>
    <t xml:space="preserve">Original name on the trading lists</t>
  </si>
  <si>
    <t xml:space="preserve">Агромеханика Скопје</t>
  </si>
  <si>
    <t xml:space="preserve">Адинг Скопје</t>
  </si>
  <si>
    <t xml:space="preserve">Алкалоид Скопје</t>
  </si>
  <si>
    <t xml:space="preserve">Ангропромет-Тиквешанка Кавадарци</t>
  </si>
  <si>
    <t xml:space="preserve">Аутомакедонија Скопје</t>
  </si>
  <si>
    <t xml:space="preserve">БИМ Свети Николе</t>
  </si>
  <si>
    <t xml:space="preserve">Вабтек МЗТ Скопје</t>
  </si>
  <si>
    <t xml:space="preserve">ВВ Тиквеш АД Кавадарци</t>
  </si>
  <si>
    <t xml:space="preserve">Ветекс Велес</t>
  </si>
  <si>
    <t xml:space="preserve">Витаминка Прилеп</t>
  </si>
  <si>
    <t xml:space="preserve">ГД-Тиквеш Кавадарци</t>
  </si>
  <si>
    <t xml:space="preserve">Герас Цунев конфекција Струмица</t>
  </si>
  <si>
    <t xml:space="preserve">Герас Цунев трговија Струмица</t>
  </si>
  <si>
    <t xml:space="preserve">Градски Трговски Центар Скопје</t>
  </si>
  <si>
    <t xml:space="preserve">Гранит Скопје</t>
  </si>
  <si>
    <t xml:space="preserve">Грозд Струмица</t>
  </si>
  <si>
    <t xml:space="preserve">Дебарски бањи Дебар</t>
  </si>
  <si>
    <t xml:space="preserve">Димко Митрев Велес</t>
  </si>
  <si>
    <t xml:space="preserve">ДС Смитх АД Скопје</t>
  </si>
  <si>
    <t xml:space="preserve">Европа Скопје</t>
  </si>
  <si>
    <t xml:space="preserve">ЖАС Скопје</t>
  </si>
  <si>
    <t xml:space="preserve">Жито Караорман Кичево</t>
  </si>
  <si>
    <t xml:space="preserve">Жито Лукс Скопје</t>
  </si>
  <si>
    <t xml:space="preserve">Жито Полог Тетово</t>
  </si>
  <si>
    <t xml:space="preserve">ЗК Пелагонија Битола</t>
  </si>
  <si>
    <t xml:space="preserve">Интернешнел Хотелс АД Скопје</t>
  </si>
  <si>
    <t xml:space="preserve">Интерпромет Тетово</t>
  </si>
  <si>
    <t xml:space="preserve">Карпош Скопје</t>
  </si>
  <si>
    <t xml:space="preserve">Кланица со ладилник Струмица</t>
  </si>
  <si>
    <t xml:space="preserve">Комерцијална банка Скопје</t>
  </si>
  <si>
    <t xml:space="preserve">Кристал 1923 АД Велес</t>
  </si>
  <si>
    <t xml:space="preserve">Либерти АД Скопје</t>
  </si>
  <si>
    <t xml:space="preserve">Лотарија на Македонија Скопје</t>
  </si>
  <si>
    <t xml:space="preserve">Македонија осигурување АД Скопје - Виена Иншуренс Груп</t>
  </si>
  <si>
    <t xml:space="preserve">Македонијатурист Скопје</t>
  </si>
  <si>
    <t xml:space="preserve">Македонски Телеком Скопје</t>
  </si>
  <si>
    <t xml:space="preserve">Макотекс Скопје</t>
  </si>
  <si>
    <t xml:space="preserve">Макошпед Скопје</t>
  </si>
  <si>
    <t xml:space="preserve">Макпетрол Скопје</t>
  </si>
  <si>
    <t xml:space="preserve">Макпромет Штип</t>
  </si>
  <si>
    <t xml:space="preserve">Макстил Скопје</t>
  </si>
  <si>
    <t xml:space="preserve">Мермерен комбинат Прилеп</t>
  </si>
  <si>
    <t xml:space="preserve">МЗТ Пумпи Скопје</t>
  </si>
  <si>
    <t xml:space="preserve">Мода Свети Николе</t>
  </si>
  <si>
    <t xml:space="preserve">НЛБ Банка АД Скопје</t>
  </si>
  <si>
    <t xml:space="preserve">Нова стоковна куќа Струмица</t>
  </si>
  <si>
    <t xml:space="preserve">Огражден Струмица</t>
  </si>
  <si>
    <t xml:space="preserve">Оилко КДА Скопје</t>
  </si>
  <si>
    <t xml:space="preserve">ОКТА Скопје</t>
  </si>
  <si>
    <t xml:space="preserve">Оранжерии Хамзали Струмица</t>
  </si>
  <si>
    <t xml:space="preserve">Пекабеско Скопје</t>
  </si>
  <si>
    <t xml:space="preserve">Пелистерка АД Скопје</t>
  </si>
  <si>
    <t xml:space="preserve">Прилепска Пиварница Прилеп</t>
  </si>
  <si>
    <t xml:space="preserve">Раде Кончар Скопје</t>
  </si>
  <si>
    <t xml:space="preserve">Реплек Скопје</t>
  </si>
  <si>
    <t xml:space="preserve">РЖ Економика Скопје</t>
  </si>
  <si>
    <t xml:space="preserve">РЖ Интер-Трансшпед Скопје</t>
  </si>
  <si>
    <t xml:space="preserve">РЖ Техничка контрола Скопје</t>
  </si>
  <si>
    <t xml:space="preserve">РЖ Уготур Скопје</t>
  </si>
  <si>
    <t xml:space="preserve">РЖ Услуги Скопје</t>
  </si>
  <si>
    <t xml:space="preserve">Рудници Бањани Скопје</t>
  </si>
  <si>
    <t xml:space="preserve">Сигурносно стакло Прилеп</t>
  </si>
  <si>
    <t xml:space="preserve">Силекс Кратово</t>
  </si>
  <si>
    <t xml:space="preserve">Скопски Пазар Скопје</t>
  </si>
  <si>
    <t xml:space="preserve">Славеј Скопје</t>
  </si>
  <si>
    <t xml:space="preserve">Современ дом Прилеп</t>
  </si>
  <si>
    <t xml:space="preserve">Стокопромет Скопје</t>
  </si>
  <si>
    <t xml:space="preserve">Стопанска банка Битола</t>
  </si>
  <si>
    <t xml:space="preserve">Стопанска банка Скопје</t>
  </si>
  <si>
    <t xml:space="preserve">ТЕАЛ-Алумина Тетово</t>
  </si>
  <si>
    <t xml:space="preserve">Тетекс Тетово</t>
  </si>
  <si>
    <t xml:space="preserve">Технокомерц Скопје</t>
  </si>
  <si>
    <t xml:space="preserve">Транскоп-Патнички сооб. Битола</t>
  </si>
  <si>
    <t xml:space="preserve">Трготекстил малопродажба Скопје</t>
  </si>
  <si>
    <t xml:space="preserve">Триглав осигурување Скопје</t>
  </si>
  <si>
    <t xml:space="preserve">ТТК Банка АД Скопје</t>
  </si>
  <si>
    <t xml:space="preserve">Тутунски комбинат Прилеп</t>
  </si>
  <si>
    <t xml:space="preserve">Универзална Инвестициона Банка Скопје</t>
  </si>
  <si>
    <t xml:space="preserve">Фершпед Скопје</t>
  </si>
  <si>
    <t xml:space="preserve">ФЗЦ 11 Октомври Куманово</t>
  </si>
  <si>
    <t xml:space="preserve">Фруктал МАК Скопје</t>
  </si>
  <si>
    <t xml:space="preserve">Фустеларко Борец Битола</t>
  </si>
  <si>
    <t xml:space="preserve">Хотели Метропол Охрид</t>
  </si>
  <si>
    <t xml:space="preserve">Цементарница УСЈЕ Скопје</t>
  </si>
  <si>
    <t xml:space="preserve">Централна кооперативна банка Скопје</t>
  </si>
  <si>
    <t xml:space="preserve">Шпаркасе банка Македонија АД Скопје</t>
  </si>
  <si>
    <t xml:space="preserve">Индекси</t>
  </si>
  <si>
    <t xml:space="preserve">МБИ10</t>
  </si>
  <si>
    <t xml:space="preserve">OMB</t>
  </si>
  <si>
    <t xml:space="preserve">ОМБ</t>
  </si>
  <si>
    <t xml:space="preserve">Standard &amp; Poor’s 500 ( WC )</t>
  </si>
  <si>
    <t xml:space="preserve">Dow Jones Industrial Average ( P )</t>
  </si>
  <si>
    <t xml:space="preserve">Russell 2000 (small cap)</t>
  </si>
  <si>
    <t xml:space="preserve">Financial Times Stock Exchange 100 (WC)</t>
  </si>
  <si>
    <t xml:space="preserve">Deutscher Aktienindex (WC)</t>
  </si>
  <si>
    <t xml:space="preserve">Cotation Assistée en Continu (FC)</t>
  </si>
  <si>
    <t xml:space="preserve">EURO STOXX 50 (FC)</t>
  </si>
  <si>
    <r>
      <rPr>
        <b val="true"/>
        <sz val="16"/>
        <color rgb="FF000000"/>
        <rFont val="Noto Sans CJK SC"/>
        <family val="2"/>
        <charset val="1"/>
      </rPr>
      <t xml:space="preserve">日経平均株価 </t>
    </r>
    <r>
      <rPr>
        <b val="true"/>
        <sz val="16"/>
        <color rgb="FF000000"/>
        <rFont val="Arial"/>
        <family val="2"/>
        <charset val="1"/>
      </rPr>
      <t xml:space="preserve">(P)</t>
    </r>
  </si>
  <si>
    <t xml:space="preserve">Индекс МосБиржи (FC)</t>
  </si>
  <si>
    <r>
      <rPr>
        <b val="true"/>
        <sz val="16"/>
        <color rgb="FF000000"/>
        <rFont val="Noto Sans CJK SC"/>
        <family val="2"/>
        <charset val="1"/>
      </rPr>
      <t xml:space="preserve">沪深</t>
    </r>
    <r>
      <rPr>
        <b val="true"/>
        <sz val="16"/>
        <color rgb="FF000000"/>
        <rFont val="Arial"/>
        <family val="2"/>
        <charset val="1"/>
      </rPr>
      <t xml:space="preserve">300 (FC)</t>
    </r>
  </si>
  <si>
    <r>
      <rPr>
        <b val="true"/>
        <sz val="16"/>
        <color rgb="FF000000"/>
        <rFont val="Noto Sans CJK SC"/>
        <family val="2"/>
        <charset val="1"/>
      </rPr>
      <t xml:space="preserve">台灣證券交易所</t>
    </r>
    <r>
      <rPr>
        <b val="true"/>
        <sz val="16"/>
        <color rgb="FF000000"/>
        <rFont val="Arial"/>
        <family val="2"/>
        <charset val="1"/>
      </rPr>
      <t xml:space="preserve">50</t>
    </r>
    <r>
      <rPr>
        <b val="true"/>
        <sz val="16"/>
        <color rgb="FF000000"/>
        <rFont val="Noto Sans CJK SC"/>
        <family val="2"/>
        <charset val="1"/>
      </rPr>
      <t xml:space="preserve">指數 </t>
    </r>
    <r>
      <rPr>
        <b val="true"/>
        <sz val="16"/>
        <color rgb="FF000000"/>
        <rFont val="Arial"/>
        <family val="2"/>
        <charset val="1"/>
      </rPr>
      <t xml:space="preserve">(FC)</t>
    </r>
  </si>
  <si>
    <t xml:space="preserve">SOFIA INDEX (L,FC)</t>
  </si>
  <si>
    <t xml:space="preserve">Belgrade Stock Exchange (L,FC)</t>
  </si>
  <si>
    <t xml:space="preserve">ρηματιστήριο Αθηνών (L, FC)</t>
  </si>
  <si>
    <t xml:space="preserve">Hrvatski indeks (L,FC)</t>
  </si>
  <si>
    <t xml:space="preserve">Сектори</t>
  </si>
  <si>
    <t xml:space="preserve">Macedonian Index (Whole market)</t>
  </si>
  <si>
    <t xml:space="preserve">FIN</t>
  </si>
  <si>
    <r>
      <rPr>
        <b val="true"/>
        <sz val="16"/>
        <color rgb="FF000000"/>
        <rFont val="Arial"/>
        <family val="2"/>
        <charset val="1"/>
      </rPr>
      <t xml:space="preserve">60</t>
    </r>
    <r>
      <rPr>
        <b val="true"/>
        <vertAlign val="superscript"/>
        <sz val="16"/>
        <color rgb="FF000000"/>
        <rFont val="Arial"/>
        <family val="2"/>
        <charset val="1"/>
      </rPr>
      <t xml:space="preserve">th</t>
    </r>
    <r>
      <rPr>
        <b val="true"/>
        <sz val="16"/>
        <color rgb="FF000000"/>
        <rFont val="Arial"/>
        <family val="2"/>
        <charset val="1"/>
      </rPr>
      <t xml:space="preserve"> Precentile</t>
    </r>
  </si>
  <si>
    <t xml:space="preserve">HEAVY</t>
  </si>
  <si>
    <t xml:space="preserve">LIGHT</t>
  </si>
  <si>
    <t xml:space="preserve">SERVICES</t>
  </si>
  <si>
    <t xml:space="preserve">Macedonian Index without MBI10</t>
  </si>
  <si>
    <t xml:space="preserve">MBI 10 (WC)</t>
  </si>
  <si>
    <t xml:space="preserve">Legend</t>
  </si>
  <si>
    <t xml:space="preserve">МБИ10 element</t>
  </si>
  <si>
    <t xml:space="preserve">List connected to МБИ10 element or specific event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</si>
</sst>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#,##0\ [$€-407];[RED]\-#,##0\ [$€-407]"/>
    <numFmt numFmtId="166" formatCode="#,##0.00"/>
    <numFmt numFmtId="167" formatCode="0.00%"/>
    <numFmt numFmtId="168" formatCode="0.00"/>
    <numFmt numFmtId="169" formatCode="&quot;TRUE&quot;;&quot;TRUE&quot;;&quot;FALSE&quot;"/>
    <numFmt numFmtId="170" formatCode="General"/>
    <numFmt numFmtId="171" formatCode="[$$-409]#,##0;[RED]\-[$$-409]#,##0"/>
    <numFmt numFmtId="172" formatCode="#,##0"/>
    <numFmt numFmtId="173" formatCode="#,##0.00\ [$MKD];[RED]\-#,##0.00\ [$MKD]"/>
    <numFmt numFmtId="174" formatCode="[$$-409]#,##0.00;[RED]\-[$$-409]#,##0.00"/>
  </numFmts>
  <fonts count="2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9"/>
      <name val="Arial"/>
      <family val="2"/>
      <charset val="1"/>
    </font>
    <font>
      <b val="true"/>
      <vertAlign val="superscript"/>
      <sz val="9"/>
      <name val="Arial"/>
      <family val="2"/>
      <charset val="1"/>
    </font>
    <font>
      <b val="true"/>
      <sz val="10"/>
      <name val="Arial"/>
      <family val="2"/>
      <charset val="1"/>
    </font>
    <font>
      <b val="true"/>
      <vertAlign val="superscript"/>
      <sz val="10"/>
      <name val="Arial"/>
      <family val="2"/>
      <charset val="1"/>
    </font>
    <font>
      <vertAlign val="superscript"/>
      <sz val="10"/>
      <name val="Arial"/>
      <family val="2"/>
      <charset val="1"/>
    </font>
    <font>
      <sz val="10"/>
      <name val="Arial"/>
      <family val="2"/>
    </font>
    <font>
      <sz val="13"/>
      <name val="Arial"/>
      <family val="2"/>
    </font>
    <font>
      <i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sz val="5.5"/>
      <color rgb="FFEEEEEC"/>
      <name val="Sofia Sans"/>
      <family val="0"/>
    </font>
    <font>
      <sz val="12"/>
      <name val="Arial"/>
      <family val="2"/>
      <charset val="1"/>
    </font>
    <font>
      <sz val="9"/>
      <name val="Arial"/>
      <family val="2"/>
      <charset val="1"/>
    </font>
    <font>
      <vertAlign val="superscript"/>
      <sz val="9"/>
      <name val="Arial"/>
      <family val="2"/>
      <charset val="1"/>
    </font>
    <font>
      <vertAlign val="subscript"/>
      <sz val="10"/>
      <name val="Arial"/>
      <family val="2"/>
      <charset val="1"/>
    </font>
    <font>
      <u val="single"/>
      <sz val="10"/>
      <name val="Arial"/>
      <family val="2"/>
      <charset val="1"/>
    </font>
    <font>
      <sz val="8"/>
      <color rgb="FF000080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16"/>
      <color rgb="FF000000"/>
      <name val="Noto Sans CJK SC"/>
      <family val="2"/>
      <charset val="1"/>
    </font>
    <font>
      <b val="true"/>
      <vertAlign val="superscript"/>
      <sz val="16"/>
      <color rgb="FF000000"/>
      <name val="Arial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CC0000"/>
      </patternFill>
    </fill>
    <fill>
      <patternFill patternType="solid">
        <fgColor rgb="FF00A933"/>
        <bgColor rgb="FF158466"/>
      </patternFill>
    </fill>
    <fill>
      <patternFill patternType="solid">
        <fgColor rgb="FF000000"/>
        <bgColor rgb="FF003300"/>
      </patternFill>
    </fill>
    <fill>
      <patternFill patternType="solid">
        <fgColor rgb="FFFFFF00"/>
        <bgColor rgb="FFFFFF00"/>
      </patternFill>
    </fill>
    <fill>
      <patternFill patternType="solid">
        <fgColor rgb="FF2A6099"/>
        <bgColor rgb="FF004586"/>
      </patternFill>
    </fill>
    <fill>
      <patternFill patternType="solid">
        <fgColor rgb="FFFF4000"/>
        <bgColor rgb="FFFF420E"/>
      </patternFill>
    </fill>
    <fill>
      <patternFill patternType="solid">
        <fgColor rgb="FFBF0041"/>
        <bgColor rgb="FFC5000B"/>
      </patternFill>
    </fill>
    <fill>
      <patternFill patternType="solid">
        <fgColor rgb="FF800080"/>
        <bgColor rgb="FF7E0021"/>
      </patternFill>
    </fill>
    <fill>
      <patternFill patternType="solid">
        <fgColor rgb="FF55308D"/>
        <bgColor rgb="FF4B1F6F"/>
      </patternFill>
    </fill>
    <fill>
      <patternFill patternType="solid">
        <fgColor rgb="FF158466"/>
        <bgColor rgb="FF008080"/>
      </patternFill>
    </fill>
    <fill>
      <patternFill patternType="solid">
        <fgColor rgb="FFFF8000"/>
        <bgColor rgb="FFFF950E"/>
      </patternFill>
    </fill>
  </fills>
  <borders count="16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8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5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4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8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9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1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11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1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13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9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0" borderId="3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7" fontId="9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9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9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9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8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7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right" vertical="center" textRotation="0" wrapText="false" indent="0" shrinkToFit="false"/>
      <protection locked="true" hidden="false"/>
    </xf>
    <xf numFmtId="168" fontId="9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9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9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8" fontId="0" fillId="0" borderId="2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4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4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4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4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8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8" fontId="6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6" fillId="0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6" fillId="0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6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9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4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9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5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6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5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0" fillId="0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6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0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7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0" borderId="1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1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1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1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7" fontId="9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7" fontId="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1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0" borderId="0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0" borderId="2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7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7" fontId="0" fillId="0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4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0" borderId="4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0" borderId="6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0" borderId="5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0" borderId="6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71" fontId="9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7" borderId="1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7" borderId="1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7" fontId="9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0" fillId="7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7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72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2" fontId="0" fillId="0" borderId="8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73" fontId="0" fillId="0" borderId="12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73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13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1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73" fontId="0" fillId="0" borderId="0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73" fontId="0" fillId="0" borderId="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2" fillId="5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2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2" fillId="14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0" borderId="2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23" fillId="0" borderId="8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4" fillId="0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6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6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6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ont>
        <name val="Arial"/>
        <charset val="1"/>
        <family val="2"/>
        <color rgb="FF333333"/>
      </font>
      <fill>
        <patternFill>
          <bgColor rgb="FFFFFFCC"/>
        </patternFill>
      </fill>
      <border diagonalUp="false" diagonalDown="false">
        <left style="thin"/>
        <right style="thin"/>
        <top style="thin"/>
        <bottom style="thin"/>
        <diagonal/>
      </border>
    </dxf>
    <dxf>
      <fill>
        <patternFill patternType="solid">
          <fgColor rgb="00FFFFFF"/>
        </patternFill>
      </fill>
    </dxf>
    <dxf>
      <font>
        <name val="Arial"/>
        <charset val="1"/>
        <family val="2"/>
        <b val="1"/>
        <color rgb="FFFFFFFF"/>
      </font>
      <fill>
        <patternFill>
          <bgColor rgb="FFCC0000"/>
        </patternFill>
      </fill>
    </dxf>
    <dxf>
      <font>
        <name val="Arial"/>
        <charset val="1"/>
        <family val="2"/>
        <b val="1"/>
        <color rgb="FFFFFFFF"/>
      </font>
      <fill>
        <patternFill>
          <bgColor rgb="FFCC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A933"/>
      <rgbColor rgb="FF000080"/>
      <rgbColor rgb="FF808000"/>
      <rgbColor rgb="FF800080"/>
      <rgbColor rgb="FF158466"/>
      <rgbColor rgb="FFCCCCCC"/>
      <rgbColor rgb="FF808080"/>
      <rgbColor rgb="FF9999FF"/>
      <rgbColor rgb="FFFF4000"/>
      <rgbColor rgb="FFFFFFCC"/>
      <rgbColor rgb="FFEEEEEC"/>
      <rgbColor rgb="FF4B1F6F"/>
      <rgbColor rgb="FFFF420E"/>
      <rgbColor rgb="FF0084D1"/>
      <rgbColor rgb="FFCCCCFF"/>
      <rgbColor rgb="FF000080"/>
      <rgbColor rgb="FFFF00FF"/>
      <rgbColor rgb="FFFFFF00"/>
      <rgbColor rgb="FF00FFFF"/>
      <rgbColor rgb="FFBF0041"/>
      <rgbColor rgb="FFC5000B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AECF00"/>
      <rgbColor rgb="FFFFD320"/>
      <rgbColor rgb="FFFF950E"/>
      <rgbColor rgb="FFFF8000"/>
      <rgbColor rgb="FF2A6099"/>
      <rgbColor rgb="FFB3B3B3"/>
      <rgbColor rgb="FF004586"/>
      <rgbColor rgb="FF579D1C"/>
      <rgbColor rgb="FF003300"/>
      <rgbColor rgb="FF314004"/>
      <rgbColor rgb="FFCC0000"/>
      <rgbColor rgb="FF993366"/>
      <rgbColor rgb="FF55308D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externalLink" Target="externalLinks/externalLink1.xml"/><Relationship Id="rId27" Type="http://schemas.openxmlformats.org/officeDocument/2006/relationships/externalLink" Target="externalLinks/externalLink2.xml"/><Relationship Id="rId28" Type="http://schemas.openxmlformats.org/officeDocument/2006/relationships/externalLink" Target="externalLinks/externalLink3.xml"/><Relationship Id="rId29" Type="http://schemas.openxmlformats.org/officeDocument/2006/relationships/externalLink" Target="externalLinks/externalLink4.xml"/><Relationship Id="rId3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7.xml"/><Relationship Id="rId33" Type="http://schemas.openxmlformats.org/officeDocument/2006/relationships/externalLink" Target="externalLinks/externalLink8.xml"/><Relationship Id="rId34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0.xml"/><Relationship Id="rId36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2.xml"/><Relationship Id="rId3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14.xml"/><Relationship Id="rId4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17.xml"/><Relationship Id="rId43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19.xml"/><Relationship Id="rId45" Type="http://schemas.openxmlformats.org/officeDocument/2006/relationships/externalLink" Target="externalLinks/externalLink20.xml"/><Relationship Id="rId46" Type="http://schemas.openxmlformats.org/officeDocument/2006/relationships/externalLink" Target="externalLinks/externalLink21.xml"/><Relationship Id="rId47" Type="http://schemas.openxmlformats.org/officeDocument/2006/relationships/externalLink" Target="externalLinks/externalLink22.xml"/><Relationship Id="rId48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24.xml"/><Relationship Id="rId50" Type="http://schemas.openxmlformats.org/officeDocument/2006/relationships/externalLink" Target="externalLinks/externalLink25.xml"/><Relationship Id="rId51" Type="http://schemas.openxmlformats.org/officeDocument/2006/relationships/externalLink" Target="externalLinks/externalLink26.xml"/><Relationship Id="rId52" Type="http://schemas.openxmlformats.org/officeDocument/2006/relationships/externalLink" Target="externalLinks/externalLink27.xml"/><Relationship Id="rId53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29.xml"/><Relationship Id="rId55" Type="http://schemas.openxmlformats.org/officeDocument/2006/relationships/externalLink" Target="externalLinks/externalLink30.xml"/><Relationship Id="rId56" Type="http://schemas.openxmlformats.org/officeDocument/2006/relationships/externalLink" Target="externalLinks/externalLink31.xml"/><Relationship Id="rId57" Type="http://schemas.openxmlformats.org/officeDocument/2006/relationships/externalLink" Target="externalLinks/externalLink32.xml"/><Relationship Id="rId58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34.xml"/><Relationship Id="rId60" Type="http://schemas.openxmlformats.org/officeDocument/2006/relationships/externalLink" Target="externalLinks/externalLink35.xml"/><Relationship Id="rId61" Type="http://schemas.openxmlformats.org/officeDocument/2006/relationships/externalLink" Target="externalLinks/externalLink36.xml"/><Relationship Id="rId62" Type="http://schemas.openxmlformats.org/officeDocument/2006/relationships/externalLink" Target="externalLinks/externalLink37.xml"/><Relationship Id="rId63" Type="http://schemas.openxmlformats.org/officeDocument/2006/relationships/externalLink" Target="externalLinks/externalLink38.xml"/><Relationship Id="rId64" Type="http://schemas.openxmlformats.org/officeDocument/2006/relationships/externalLink" Target="externalLinks/externalLink39.xml"/><Relationship Id="rId6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41.xml"/><Relationship Id="rId67" Type="http://schemas.openxmlformats.org/officeDocument/2006/relationships/externalLink" Target="externalLinks/externalLink42.xml"/><Relationship Id="rId68" Type="http://schemas.openxmlformats.org/officeDocument/2006/relationships/sharedStrings" Target="sharedStrings.xml"/>
</Relationships>
</file>

<file path=xl/charts/_rels/chart17.xml.rels><?xml version="1.0" encoding="UTF-8"?>
<Relationships xmlns="http://schemas.openxmlformats.org/package/2006/relationships"><Relationship Id="rId1" Type="http://schemas.openxmlformats.org/officeDocument/2006/relationships/chartUserShapes" Target="../drawings/drawing5.xml"/>
</Relationships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904657705532979"/>
          <c:y val="0.0420093354078684"/>
          <c:w val="0.788558924663958"/>
          <c:h val="0.691486997110469"/>
        </c:manualLayout>
      </c:layout>
      <c:lineChart>
        <c:grouping val="standard"/>
        <c:varyColors val="0"/>
        <c:ser>
          <c:idx val="0"/>
          <c:order val="0"/>
          <c:tx>
            <c:strRef>
              <c:f>Ratio!$A$36</c:f>
              <c:strCache>
                <c:ptCount val="1"/>
                <c:pt idx="0">
                  <c:v>ALK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Ratio!$B$1:$G$1</c:f>
              <c:strCache>
                <c:ptCount val="6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</c:strCache>
            </c:strRef>
          </c:cat>
          <c:val>
            <c:numRef>
              <c:f>Ratio!$B$36:$G$36</c:f>
              <c:numCache>
                <c:formatCode>General</c:formatCode>
                <c:ptCount val="6"/>
                <c:pt idx="0">
                  <c:v>18.9883959342101</c:v>
                </c:pt>
                <c:pt idx="1">
                  <c:v>17.2418884250242</c:v>
                </c:pt>
                <c:pt idx="2">
                  <c:v>17.2418884250242</c:v>
                </c:pt>
                <c:pt idx="3">
                  <c:v>15.0300415049006</c:v>
                </c:pt>
                <c:pt idx="4">
                  <c:v>14.9429699683543</c:v>
                </c:pt>
                <c:pt idx="5">
                  <c:v>15.2517913477003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Ratio!$A$43</c:f>
              <c:strCache>
                <c:ptCount val="1"/>
                <c:pt idx="0">
                  <c:v>REPL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Ratio!$B$1:$G$1</c:f>
              <c:strCache>
                <c:ptCount val="6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</c:strCache>
            </c:strRef>
          </c:cat>
          <c:val>
            <c:numRef>
              <c:f>Ratio!$B$43:$G$43</c:f>
              <c:numCache>
                <c:formatCode>General</c:formatCode>
                <c:ptCount val="6"/>
                <c:pt idx="0">
                  <c:v>13.1774522794427</c:v>
                </c:pt>
                <c:pt idx="1">
                  <c:v>12.5733774658088</c:v>
                </c:pt>
                <c:pt idx="2">
                  <c:v>12.5733774658088</c:v>
                </c:pt>
                <c:pt idx="3">
                  <c:v>13.0802641596409</c:v>
                </c:pt>
                <c:pt idx="4">
                  <c:v>10.2090210060814</c:v>
                </c:pt>
                <c:pt idx="5">
                  <c:v>34.4811501508074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"ALK EV/EBIDA"</c:f>
              <c:strCache>
                <c:ptCount val="1"/>
                <c:pt idx="0">
                  <c:v>ALK EV/EBIDA</c:v>
                </c:pt>
              </c:strCache>
            </c:strRef>
          </c:tx>
          <c:spPr>
            <a:solidFill>
              <a:srgbClr val="2a6099"/>
            </a:solidFill>
            <a:ln w="28800">
              <a:solidFill>
                <a:srgbClr val="2a6099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Ratio!$B$1:$G$1</c:f>
              <c:strCache>
                <c:ptCount val="6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</c:strCache>
            </c:strRef>
          </c:cat>
          <c:val>
            <c:numRef>
              <c:f>Ratio!$B$96:$G$96</c:f>
              <c:numCache>
                <c:formatCode>General</c:formatCode>
                <c:ptCount val="6"/>
                <c:pt idx="0">
                  <c:v>13.6618319654351</c:v>
                </c:pt>
                <c:pt idx="1">
                  <c:v>13.5274763854855</c:v>
                </c:pt>
                <c:pt idx="2">
                  <c:v>13.6774051996663</c:v>
                </c:pt>
                <c:pt idx="3">
                  <c:v>13.5887127159433</c:v>
                </c:pt>
                <c:pt idx="4">
                  <c:v>12.7873834124473</c:v>
                </c:pt>
                <c:pt idx="5">
                  <c:v>12.5212955513625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"REPL EV/EBIDA"</c:f>
              <c:strCache>
                <c:ptCount val="1"/>
                <c:pt idx="0">
                  <c:v>REPL EV/EBIDA</c:v>
                </c:pt>
              </c:strCache>
            </c:strRef>
          </c:tx>
          <c:spPr>
            <a:solidFill>
              <a:srgbClr val="ff4000"/>
            </a:solidFill>
            <a:ln w="28800">
              <a:solidFill>
                <a:srgbClr val="ff4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Ratio!$B$1:$G$1</c:f>
              <c:strCache>
                <c:ptCount val="6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</c:strCache>
            </c:strRef>
          </c:cat>
          <c:val>
            <c:numRef>
              <c:f>Ratio!$B$103:$G$103</c:f>
              <c:numCache>
                <c:formatCode>General</c:formatCode>
                <c:ptCount val="6"/>
                <c:pt idx="0">
                  <c:v>11.5450467583322</c:v>
                </c:pt>
                <c:pt idx="1">
                  <c:v>11.0718826625293</c:v>
                </c:pt>
                <c:pt idx="2">
                  <c:v>11.0718826625293</c:v>
                </c:pt>
                <c:pt idx="3">
                  <c:v>11.4689205438453</c:v>
                </c:pt>
                <c:pt idx="4">
                  <c:v>9.21991240789696</c:v>
                </c:pt>
                <c:pt idx="5">
                  <c:v>19.2702929075117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1015939"/>
        <c:axId val="21651716"/>
      </c:lineChart>
      <c:catAx>
        <c:axId val="91015939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1651716"/>
        <c:crosses val="autoZero"/>
        <c:auto val="1"/>
        <c:lblAlgn val="ctr"/>
        <c:lblOffset val="100"/>
        <c:noMultiLvlLbl val="0"/>
      </c:catAx>
      <c:valAx>
        <c:axId val="2165171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#,##0.0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1015939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0684375"/>
          <c:y val="0.842"/>
          <c:w val="0.910369398087381"/>
          <c:h val="0.12168018668741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Growth Rate Comparison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344482650828"/>
          <c:y val="0.157034896643699"/>
          <c:w val="0.863269771803689"/>
          <c:h val="0.749277617248277"/>
        </c:manualLayout>
      </c:layout>
      <c:lineChart>
        <c:grouping val="standard"/>
        <c:varyColors val="0"/>
        <c:ser>
          <c:idx val="0"/>
          <c:order val="0"/>
          <c:tx>
            <c:strRef>
              <c:f>'MSE Events'!$H$1</c:f>
              <c:strCache>
                <c:ptCount val="1"/>
                <c:pt idx="0">
                  <c:v>REPL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'MSE Events'!$A$10:$A$13</c:f>
              <c:strCache>
                <c:ptCount val="4"/>
                <c:pt idx="0">
                  <c:v>17.07.24 REPL</c:v>
                </c:pt>
                <c:pt idx="1">
                  <c:v>31.07.24</c:v>
                </c:pt>
                <c:pt idx="2">
                  <c:v>05.08.24 JPY</c:v>
                </c:pt>
                <c:pt idx="3">
                  <c:v>13.09.24 TRD</c:v>
                </c:pt>
              </c:strCache>
            </c:strRef>
          </c:cat>
          <c:val>
            <c:numRef>
              <c:f>'MSE Events'!$I$10:$I$13</c:f>
              <c:numCache>
                <c:formatCode>General</c:formatCode>
                <c:ptCount val="4"/>
                <c:pt idx="0">
                  <c:v>0.281245689655173</c:v>
                </c:pt>
                <c:pt idx="1">
                  <c:v>-0.0387520227149628</c:v>
                </c:pt>
                <c:pt idx="2">
                  <c:v>0</c:v>
                </c:pt>
                <c:pt idx="3">
                  <c:v>0.0480439575823328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'MSE Events'!$L$1</c:f>
              <c:strCache>
                <c:ptCount val="1"/>
                <c:pt idx="0">
                  <c:v>ALK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'MSE Events'!$A$10:$A$13</c:f>
              <c:strCache>
                <c:ptCount val="4"/>
                <c:pt idx="0">
                  <c:v>17.07.24 REPL</c:v>
                </c:pt>
                <c:pt idx="1">
                  <c:v>31.07.24</c:v>
                </c:pt>
                <c:pt idx="2">
                  <c:v>05.08.24 JPY</c:v>
                </c:pt>
                <c:pt idx="3">
                  <c:v>13.09.24 TRD</c:v>
                </c:pt>
              </c:strCache>
            </c:strRef>
          </c:cat>
          <c:val>
            <c:numRef>
              <c:f>'MSE Events'!$K$10:$K$13</c:f>
              <c:numCache>
                <c:formatCode>General</c:formatCode>
                <c:ptCount val="4"/>
                <c:pt idx="0">
                  <c:v>0.0747753654864247</c:v>
                </c:pt>
                <c:pt idx="1">
                  <c:v>0.0077004593613228</c:v>
                </c:pt>
                <c:pt idx="2">
                  <c:v>-0.0129176485888349</c:v>
                </c:pt>
                <c:pt idx="3">
                  <c:v>0.0117273714386963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1059440"/>
        <c:axId val="35643562"/>
      </c:lineChart>
      <c:catAx>
        <c:axId val="61059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5643562"/>
        <c:crossesAt val="0"/>
        <c:auto val="1"/>
        <c:lblAlgn val="ctr"/>
        <c:lblOffset val="100"/>
        <c:noMultiLvlLbl val="0"/>
      </c:catAx>
      <c:valAx>
        <c:axId val="35643562"/>
        <c:scaling>
          <c:orientation val="minMax"/>
          <c:max val="0.3"/>
          <c:min val="-0.05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1059440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686167885492843"/>
          <c:y val="0.0131125680631181"/>
          <c:w val="0.280017501093818"/>
          <c:h val="0.12168018668741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196286803775708"/>
          <c:y val="0.0195620762476381"/>
          <c:w val="0.68775395386635"/>
          <c:h val="0.659108591752806"/>
        </c:manualLayout>
      </c:layout>
      <c:lineChart>
        <c:grouping val="standard"/>
        <c:varyColors val="0"/>
        <c:ser>
          <c:idx val="0"/>
          <c:order val="0"/>
          <c:tx>
            <c:strRef>
              <c:f>'Index comparison'!$A$3:$A$3</c:f>
              <c:strCache>
                <c:ptCount val="1"/>
                <c:pt idx="0">
                  <c:v>MI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comparison'!$B$3:$AQ$3</c:f>
              <c:numCache>
                <c:formatCode>General</c:formatCode>
                <c:ptCount val="42"/>
                <c:pt idx="0">
                  <c:v>2314.06418594999</c:v>
                </c:pt>
                <c:pt idx="1">
                  <c:v>2250.01403515989</c:v>
                </c:pt>
                <c:pt idx="2">
                  <c:v>2308.87009429186</c:v>
                </c:pt>
                <c:pt idx="3">
                  <c:v>2221.03245277769</c:v>
                </c:pt>
                <c:pt idx="4">
                  <c:v>2116.32344991411</c:v>
                </c:pt>
                <c:pt idx="5">
                  <c:v>1952.67751507467</c:v>
                </c:pt>
                <c:pt idx="6">
                  <c:v>1969.35736658864</c:v>
                </c:pt>
                <c:pt idx="7">
                  <c:v>1853.48281534903</c:v>
                </c:pt>
                <c:pt idx="8">
                  <c:v>1642.13923034423</c:v>
                </c:pt>
                <c:pt idx="9">
                  <c:v>1638.23305230433</c:v>
                </c:pt>
                <c:pt idx="10">
                  <c:v>1594.73098952601</c:v>
                </c:pt>
                <c:pt idx="11">
                  <c:v>1594.17394108074</c:v>
                </c:pt>
                <c:pt idx="12">
                  <c:v>1588.26575558469</c:v>
                </c:pt>
                <c:pt idx="13">
                  <c:v>1571.72255465698</c:v>
                </c:pt>
                <c:pt idx="14">
                  <c:v>1572.64250422039</c:v>
                </c:pt>
                <c:pt idx="15">
                  <c:v>1489.65824689988</c:v>
                </c:pt>
                <c:pt idx="16">
                  <c:v>1425.47429888632</c:v>
                </c:pt>
                <c:pt idx="17">
                  <c:v>1502.74253104396</c:v>
                </c:pt>
                <c:pt idx="18">
                  <c:v>1527.0059265432</c:v>
                </c:pt>
                <c:pt idx="19">
                  <c:v>1622.06970865643</c:v>
                </c:pt>
                <c:pt idx="20">
                  <c:v>1577.32031210834</c:v>
                </c:pt>
                <c:pt idx="21">
                  <c:v>1505.87585302734</c:v>
                </c:pt>
                <c:pt idx="22">
                  <c:v>1622.10899099261</c:v>
                </c:pt>
                <c:pt idx="23">
                  <c:v>1537.72825488232</c:v>
                </c:pt>
                <c:pt idx="24">
                  <c:v>1429.74716735523</c:v>
                </c:pt>
                <c:pt idx="25">
                  <c:v>1489.40185088379</c:v>
                </c:pt>
                <c:pt idx="26">
                  <c:v>1321.09879600648</c:v>
                </c:pt>
                <c:pt idx="27">
                  <c:v>1240.79435920704</c:v>
                </c:pt>
                <c:pt idx="28">
                  <c:v>1172.76677330007</c:v>
                </c:pt>
                <c:pt idx="29">
                  <c:v>1157.48825490115</c:v>
                </c:pt>
                <c:pt idx="30">
                  <c:v>1177.56827191917</c:v>
                </c:pt>
                <c:pt idx="31">
                  <c:v>1103.49461040936</c:v>
                </c:pt>
                <c:pt idx="32">
                  <c:v>944.657850094641</c:v>
                </c:pt>
                <c:pt idx="33">
                  <c:v>1191.57504625014</c:v>
                </c:pt>
                <c:pt idx="34">
                  <c:v>1144.25447635615</c:v>
                </c:pt>
                <c:pt idx="35">
                  <c:v>1096.5901077552</c:v>
                </c:pt>
                <c:pt idx="36">
                  <c:v>1068.43234745447</c:v>
                </c:pt>
                <c:pt idx="37">
                  <c:v>1001.9714396309</c:v>
                </c:pt>
                <c:pt idx="38">
                  <c:v>1031.37167369587</c:v>
                </c:pt>
                <c:pt idx="39">
                  <c:v>1023.46907751266</c:v>
                </c:pt>
                <c:pt idx="40">
                  <c:v>1007.49769856477</c:v>
                </c:pt>
                <c:pt idx="41">
                  <c:v>1000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'Index comparison'!$A$5:$A$5</c:f>
              <c:strCache>
                <c:ptCount val="1"/>
                <c:pt idx="0">
                  <c:v>60th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comparison'!$B$5:$AQ$5</c:f>
              <c:numCache>
                <c:formatCode>General</c:formatCode>
                <c:ptCount val="42"/>
                <c:pt idx="0">
                  <c:v>2216.23792496176</c:v>
                </c:pt>
                <c:pt idx="1">
                  <c:v>2158.74343574608</c:v>
                </c:pt>
                <c:pt idx="2">
                  <c:v>2211.74420443663</c:v>
                </c:pt>
                <c:pt idx="3">
                  <c:v>2132.12556367939</c:v>
                </c:pt>
                <c:pt idx="4">
                  <c:v>2033.66179080457</c:v>
                </c:pt>
                <c:pt idx="5">
                  <c:v>1878.1380748435</c:v>
                </c:pt>
                <c:pt idx="6">
                  <c:v>1891.44356916948</c:v>
                </c:pt>
                <c:pt idx="7">
                  <c:v>1786.21791768807</c:v>
                </c:pt>
                <c:pt idx="8">
                  <c:v>1588.47620755325</c:v>
                </c:pt>
                <c:pt idx="9">
                  <c:v>1584.8539228282</c:v>
                </c:pt>
                <c:pt idx="10">
                  <c:v>1544.32390293204</c:v>
                </c:pt>
                <c:pt idx="11">
                  <c:v>1542.97401297869</c:v>
                </c:pt>
                <c:pt idx="12">
                  <c:v>1537.04718235714</c:v>
                </c:pt>
                <c:pt idx="13">
                  <c:v>1524.39204149411</c:v>
                </c:pt>
                <c:pt idx="14">
                  <c:v>1526.01162900482</c:v>
                </c:pt>
                <c:pt idx="15">
                  <c:v>1448.60245707112</c:v>
                </c:pt>
                <c:pt idx="16">
                  <c:v>1386.70086748513</c:v>
                </c:pt>
                <c:pt idx="17">
                  <c:v>1456.55058843393</c:v>
                </c:pt>
                <c:pt idx="18">
                  <c:v>1479.81565977561</c:v>
                </c:pt>
                <c:pt idx="19">
                  <c:v>1562.72607290149</c:v>
                </c:pt>
                <c:pt idx="20">
                  <c:v>1523.05543404351</c:v>
                </c:pt>
                <c:pt idx="21">
                  <c:v>1456.68323299085</c:v>
                </c:pt>
                <c:pt idx="22">
                  <c:v>1562.65497412156</c:v>
                </c:pt>
                <c:pt idx="23">
                  <c:v>1485.27350460214</c:v>
                </c:pt>
                <c:pt idx="24">
                  <c:v>1387.5089758925</c:v>
                </c:pt>
                <c:pt idx="25">
                  <c:v>1442.5659041325</c:v>
                </c:pt>
                <c:pt idx="26">
                  <c:v>1291.75009395494</c:v>
                </c:pt>
                <c:pt idx="27">
                  <c:v>1214.98292863787</c:v>
                </c:pt>
                <c:pt idx="28">
                  <c:v>1147.91445477433</c:v>
                </c:pt>
                <c:pt idx="29">
                  <c:v>1137.09762565566</c:v>
                </c:pt>
                <c:pt idx="30">
                  <c:v>1156.02576880072</c:v>
                </c:pt>
                <c:pt idx="31">
                  <c:v>1086.07970695682</c:v>
                </c:pt>
                <c:pt idx="32">
                  <c:v>942.308767803262</c:v>
                </c:pt>
                <c:pt idx="33">
                  <c:v>1174.77816910207</c:v>
                </c:pt>
                <c:pt idx="34">
                  <c:v>1130.45830835129</c:v>
                </c:pt>
                <c:pt idx="35">
                  <c:v>1086.53707918444</c:v>
                </c:pt>
                <c:pt idx="36">
                  <c:v>1060.30138968193</c:v>
                </c:pt>
                <c:pt idx="37">
                  <c:v>1001.13234218746</c:v>
                </c:pt>
                <c:pt idx="38">
                  <c:v>1032.72512704403</c:v>
                </c:pt>
                <c:pt idx="39">
                  <c:v>1023.37286583693</c:v>
                </c:pt>
                <c:pt idx="40">
                  <c:v>1007.5505004377</c:v>
                </c:pt>
                <c:pt idx="41">
                  <c:v>1000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'Index comparison'!$A$7:$A$7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comparison'!$B$7:$AQ$7</c:f>
              <c:numCache>
                <c:formatCode>General</c:formatCode>
                <c:ptCount val="42"/>
                <c:pt idx="0">
                  <c:v>2967.16438808461</c:v>
                </c:pt>
                <c:pt idx="1">
                  <c:v>2849.184743394</c:v>
                </c:pt>
                <c:pt idx="2">
                  <c:v>2934.13606352296</c:v>
                </c:pt>
                <c:pt idx="3">
                  <c:v>2786.422056701</c:v>
                </c:pt>
                <c:pt idx="4">
                  <c:v>2599.17112228757</c:v>
                </c:pt>
                <c:pt idx="5">
                  <c:v>2295.74397368338</c:v>
                </c:pt>
                <c:pt idx="6">
                  <c:v>2307.01336719354</c:v>
                </c:pt>
                <c:pt idx="7">
                  <c:v>2075.13800450789</c:v>
                </c:pt>
                <c:pt idx="8">
                  <c:v>1810.70093415713</c:v>
                </c:pt>
                <c:pt idx="9">
                  <c:v>1774.60490134432</c:v>
                </c:pt>
                <c:pt idx="10">
                  <c:v>1667.04031009066</c:v>
                </c:pt>
                <c:pt idx="11">
                  <c:v>1668.32494628544</c:v>
                </c:pt>
                <c:pt idx="12">
                  <c:v>1649.44676758636</c:v>
                </c:pt>
                <c:pt idx="13">
                  <c:v>1557.88154275155</c:v>
                </c:pt>
                <c:pt idx="14">
                  <c:v>1638.62094795298</c:v>
                </c:pt>
                <c:pt idx="15">
                  <c:v>1566.58723276744</c:v>
                </c:pt>
                <c:pt idx="16">
                  <c:v>1521.00706485767</c:v>
                </c:pt>
                <c:pt idx="17">
                  <c:v>1602.32224251837</c:v>
                </c:pt>
                <c:pt idx="18">
                  <c:v>1594.19653665369</c:v>
                </c:pt>
                <c:pt idx="19">
                  <c:v>1766.51992600362</c:v>
                </c:pt>
                <c:pt idx="20">
                  <c:v>1691.21528138643</c:v>
                </c:pt>
                <c:pt idx="21">
                  <c:v>1589.66528825362</c:v>
                </c:pt>
                <c:pt idx="22">
                  <c:v>1758.21433547699</c:v>
                </c:pt>
                <c:pt idx="23">
                  <c:v>1681.37343506626</c:v>
                </c:pt>
                <c:pt idx="24">
                  <c:v>1507.31959673565</c:v>
                </c:pt>
                <c:pt idx="25">
                  <c:v>1562.74740298156</c:v>
                </c:pt>
                <c:pt idx="26">
                  <c:v>1308.00740431248</c:v>
                </c:pt>
                <c:pt idx="27">
                  <c:v>1208.11163120715</c:v>
                </c:pt>
                <c:pt idx="28">
                  <c:v>1151.37942220665</c:v>
                </c:pt>
                <c:pt idx="29">
                  <c:v>1112.65389212724</c:v>
                </c:pt>
                <c:pt idx="30">
                  <c:v>1141.13414569332</c:v>
                </c:pt>
                <c:pt idx="31">
                  <c:v>999.074804279807</c:v>
                </c:pt>
                <c:pt idx="32">
                  <c:v>893.588508237692</c:v>
                </c:pt>
                <c:pt idx="33">
                  <c:v>1228.45764007316</c:v>
                </c:pt>
                <c:pt idx="34">
                  <c:v>1125.95373914014</c:v>
                </c:pt>
                <c:pt idx="35">
                  <c:v>1090.78682444493</c:v>
                </c:pt>
                <c:pt idx="36">
                  <c:v>1088.53608504996</c:v>
                </c:pt>
                <c:pt idx="37">
                  <c:v>967.355085415258</c:v>
                </c:pt>
                <c:pt idx="38">
                  <c:v>1055.31509503673</c:v>
                </c:pt>
                <c:pt idx="39">
                  <c:v>1043.44597520819</c:v>
                </c:pt>
                <c:pt idx="40">
                  <c:v>1018.39909504945</c:v>
                </c:pt>
                <c:pt idx="41">
                  <c:v>1000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'Index comparison'!$A$9:$A$9</c:f>
              <c:strCache>
                <c:ptCount val="1"/>
                <c:pt idx="0">
                  <c:v>Heavy Ind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comparison'!$B$9:$AQ$9</c:f>
              <c:numCache>
                <c:formatCode>General</c:formatCode>
                <c:ptCount val="42"/>
                <c:pt idx="0">
                  <c:v>1541.50383701283</c:v>
                </c:pt>
                <c:pt idx="1">
                  <c:v>1590.23985586307</c:v>
                </c:pt>
                <c:pt idx="2">
                  <c:v>1590.25852269658</c:v>
                </c:pt>
                <c:pt idx="3">
                  <c:v>1604.0945877875</c:v>
                </c:pt>
                <c:pt idx="4">
                  <c:v>1613.55935228735</c:v>
                </c:pt>
                <c:pt idx="5">
                  <c:v>1315.6761014154</c:v>
                </c:pt>
                <c:pt idx="6">
                  <c:v>1322.71395576813</c:v>
                </c:pt>
                <c:pt idx="7">
                  <c:v>1285.17576991368</c:v>
                </c:pt>
                <c:pt idx="8">
                  <c:v>1291.33189068898</c:v>
                </c:pt>
                <c:pt idx="9">
                  <c:v>1207.14193033547</c:v>
                </c:pt>
                <c:pt idx="10">
                  <c:v>1210.87878571249</c:v>
                </c:pt>
                <c:pt idx="11">
                  <c:v>1211.10271061625</c:v>
                </c:pt>
                <c:pt idx="12">
                  <c:v>1213.14122036019</c:v>
                </c:pt>
                <c:pt idx="13">
                  <c:v>1253.03948374645</c:v>
                </c:pt>
                <c:pt idx="14">
                  <c:v>1288.34592956504</c:v>
                </c:pt>
                <c:pt idx="15">
                  <c:v>1238.52749779118</c:v>
                </c:pt>
                <c:pt idx="16">
                  <c:v>1220.14588539237</c:v>
                </c:pt>
                <c:pt idx="17">
                  <c:v>1201.25690599736</c:v>
                </c:pt>
                <c:pt idx="18">
                  <c:v>1568.06374434358</c:v>
                </c:pt>
                <c:pt idx="19">
                  <c:v>1895.53188445621</c:v>
                </c:pt>
                <c:pt idx="20">
                  <c:v>1854.97914589338</c:v>
                </c:pt>
                <c:pt idx="21">
                  <c:v>1860.65556872531</c:v>
                </c:pt>
                <c:pt idx="22">
                  <c:v>1846.69162091404</c:v>
                </c:pt>
                <c:pt idx="23">
                  <c:v>1575.39779170744</c:v>
                </c:pt>
                <c:pt idx="24">
                  <c:v>1590.09321478376</c:v>
                </c:pt>
                <c:pt idx="25">
                  <c:v>1498.02053658996</c:v>
                </c:pt>
                <c:pt idx="26">
                  <c:v>1275.99826797498</c:v>
                </c:pt>
                <c:pt idx="27">
                  <c:v>1304.1922827886</c:v>
                </c:pt>
                <c:pt idx="28">
                  <c:v>1140.61180981782</c:v>
                </c:pt>
                <c:pt idx="29">
                  <c:v>1087.64308452214</c:v>
                </c:pt>
                <c:pt idx="30">
                  <c:v>1094.71399173852</c:v>
                </c:pt>
                <c:pt idx="31">
                  <c:v>1078.72071442258</c:v>
                </c:pt>
                <c:pt idx="32">
                  <c:v>1012.68992213886</c:v>
                </c:pt>
                <c:pt idx="33">
                  <c:v>1018.1650665603</c:v>
                </c:pt>
                <c:pt idx="34">
                  <c:v>1061.50549576553</c:v>
                </c:pt>
                <c:pt idx="35">
                  <c:v>958.504722226702</c:v>
                </c:pt>
                <c:pt idx="36">
                  <c:v>965.867422312371</c:v>
                </c:pt>
                <c:pt idx="37">
                  <c:v>964.450747154384</c:v>
                </c:pt>
                <c:pt idx="38">
                  <c:v>992.882484477134</c:v>
                </c:pt>
                <c:pt idx="39">
                  <c:v>968.504172137741</c:v>
                </c:pt>
                <c:pt idx="40">
                  <c:v>991.97300854958</c:v>
                </c:pt>
                <c:pt idx="41">
                  <c:v>1000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'Index comparison'!$A$11:$A$11</c:f>
              <c:strCache>
                <c:ptCount val="1"/>
                <c:pt idx="0">
                  <c:v>Light Ind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comparison'!$B$11:$AQ$11</c:f>
              <c:numCache>
                <c:formatCode>General</c:formatCode>
                <c:ptCount val="42"/>
                <c:pt idx="0">
                  <c:v>3261.83408666006</c:v>
                </c:pt>
                <c:pt idx="1">
                  <c:v>3227.14660670358</c:v>
                </c:pt>
                <c:pt idx="2">
                  <c:v>3277.23791944296</c:v>
                </c:pt>
                <c:pt idx="3">
                  <c:v>3239.40730755991</c:v>
                </c:pt>
                <c:pt idx="4">
                  <c:v>3014.03999044197</c:v>
                </c:pt>
                <c:pt idx="5">
                  <c:v>2945.52526915718</c:v>
                </c:pt>
                <c:pt idx="6">
                  <c:v>3012.59946858045</c:v>
                </c:pt>
                <c:pt idx="7">
                  <c:v>3005.85816628537</c:v>
                </c:pt>
                <c:pt idx="8">
                  <c:v>2653.99511190498</c:v>
                </c:pt>
                <c:pt idx="9">
                  <c:v>2621.16082050988</c:v>
                </c:pt>
                <c:pt idx="10">
                  <c:v>2574.74613588176</c:v>
                </c:pt>
                <c:pt idx="11">
                  <c:v>2561.95181969685</c:v>
                </c:pt>
                <c:pt idx="12">
                  <c:v>2567.71841734088</c:v>
                </c:pt>
                <c:pt idx="13">
                  <c:v>2629.06342919543</c:v>
                </c:pt>
                <c:pt idx="14">
                  <c:v>2631.11374483153</c:v>
                </c:pt>
                <c:pt idx="15">
                  <c:v>2490.53645596309</c:v>
                </c:pt>
                <c:pt idx="16">
                  <c:v>2299.1265792002</c:v>
                </c:pt>
                <c:pt idx="17">
                  <c:v>2437.14372586559</c:v>
                </c:pt>
                <c:pt idx="18">
                  <c:v>2426.15524098804</c:v>
                </c:pt>
                <c:pt idx="19">
                  <c:v>2639.45350020853</c:v>
                </c:pt>
                <c:pt idx="20">
                  <c:v>2533.78107191533</c:v>
                </c:pt>
                <c:pt idx="21">
                  <c:v>2350.58875847638</c:v>
                </c:pt>
                <c:pt idx="22">
                  <c:v>2649.93929530379</c:v>
                </c:pt>
                <c:pt idx="23">
                  <c:v>2675.76581050053</c:v>
                </c:pt>
                <c:pt idx="24">
                  <c:v>2432.90857851927</c:v>
                </c:pt>
                <c:pt idx="25">
                  <c:v>2587.82091929685</c:v>
                </c:pt>
                <c:pt idx="26">
                  <c:v>2159.83665969291</c:v>
                </c:pt>
                <c:pt idx="27">
                  <c:v>1966.13801286875</c:v>
                </c:pt>
                <c:pt idx="28">
                  <c:v>1803.54363574996</c:v>
                </c:pt>
                <c:pt idx="29">
                  <c:v>1708.07720253894</c:v>
                </c:pt>
                <c:pt idx="30">
                  <c:v>1771.13595226588</c:v>
                </c:pt>
                <c:pt idx="31">
                  <c:v>1617.30052070201</c:v>
                </c:pt>
                <c:pt idx="32">
                  <c:v>1238.06632726865</c:v>
                </c:pt>
                <c:pt idx="33">
                  <c:v>1775.09311725671</c:v>
                </c:pt>
                <c:pt idx="34">
                  <c:v>1606.7889235658</c:v>
                </c:pt>
                <c:pt idx="35">
                  <c:v>1498.83587723517</c:v>
                </c:pt>
                <c:pt idx="36">
                  <c:v>1307.94718552635</c:v>
                </c:pt>
                <c:pt idx="37">
                  <c:v>1148.45507637991</c:v>
                </c:pt>
                <c:pt idx="38">
                  <c:v>1057.13951054373</c:v>
                </c:pt>
                <c:pt idx="39">
                  <c:v>1021.7719939654</c:v>
                </c:pt>
                <c:pt idx="40">
                  <c:v>1043.08020190526</c:v>
                </c:pt>
                <c:pt idx="41">
                  <c:v>1000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'Index comparison'!$A$13:$A$13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comparison'!$B$13:$AQ$13</c:f>
              <c:numCache>
                <c:formatCode>General</c:formatCode>
                <c:ptCount val="42"/>
                <c:pt idx="0">
                  <c:v>1416.77812908266</c:v>
                </c:pt>
                <c:pt idx="1">
                  <c:v>1423.43975672933</c:v>
                </c:pt>
                <c:pt idx="2">
                  <c:v>1447.82349858753</c:v>
                </c:pt>
                <c:pt idx="3">
                  <c:v>1454.33769537092</c:v>
                </c:pt>
                <c:pt idx="4">
                  <c:v>1476.51319471387</c:v>
                </c:pt>
                <c:pt idx="5">
                  <c:v>1496.75471760638</c:v>
                </c:pt>
                <c:pt idx="6">
                  <c:v>1509.05164075589</c:v>
                </c:pt>
                <c:pt idx="7">
                  <c:v>1515.32402501759</c:v>
                </c:pt>
                <c:pt idx="8">
                  <c:v>1371.09995242497</c:v>
                </c:pt>
                <c:pt idx="9">
                  <c:v>1479.71443068263</c:v>
                </c:pt>
                <c:pt idx="10">
                  <c:v>1440.61538307566</c:v>
                </c:pt>
                <c:pt idx="11">
                  <c:v>1440.52810883151</c:v>
                </c:pt>
                <c:pt idx="12">
                  <c:v>1440.14010975847</c:v>
                </c:pt>
                <c:pt idx="13">
                  <c:v>1450.54356296467</c:v>
                </c:pt>
                <c:pt idx="14">
                  <c:v>1374.44602131255</c:v>
                </c:pt>
                <c:pt idx="15">
                  <c:v>1293.46867246783</c:v>
                </c:pt>
                <c:pt idx="16">
                  <c:v>1234.3753490151</c:v>
                </c:pt>
                <c:pt idx="17">
                  <c:v>1303.27280949414</c:v>
                </c:pt>
                <c:pt idx="18">
                  <c:v>1312.96454949235</c:v>
                </c:pt>
                <c:pt idx="19">
                  <c:v>1261.59184698293</c:v>
                </c:pt>
                <c:pt idx="20">
                  <c:v>1261.12472335478</c:v>
                </c:pt>
                <c:pt idx="21">
                  <c:v>1226.47603845926</c:v>
                </c:pt>
                <c:pt idx="22">
                  <c:v>1275.88445075253</c:v>
                </c:pt>
                <c:pt idx="23">
                  <c:v>1193.78975802594</c:v>
                </c:pt>
                <c:pt idx="24">
                  <c:v>1160.68257446748</c:v>
                </c:pt>
                <c:pt idx="25">
                  <c:v>1228.9721608087</c:v>
                </c:pt>
                <c:pt idx="26">
                  <c:v>1192.44587674258</c:v>
                </c:pt>
                <c:pt idx="27">
                  <c:v>1129.27794632521</c:v>
                </c:pt>
                <c:pt idx="28">
                  <c:v>1083.94492976813</c:v>
                </c:pt>
                <c:pt idx="29">
                  <c:v>1103.64221079996</c:v>
                </c:pt>
                <c:pt idx="30">
                  <c:v>1110.4076570153</c:v>
                </c:pt>
                <c:pt idx="31">
                  <c:v>1083.62135316918</c:v>
                </c:pt>
                <c:pt idx="32">
                  <c:v>929.293103874896</c:v>
                </c:pt>
                <c:pt idx="33">
                  <c:v>1082.87806444741</c:v>
                </c:pt>
                <c:pt idx="34">
                  <c:v>1083.16780667706</c:v>
                </c:pt>
                <c:pt idx="35">
                  <c:v>1047.06289775526</c:v>
                </c:pt>
                <c:pt idx="36">
                  <c:v>1017.81199720388</c:v>
                </c:pt>
                <c:pt idx="37">
                  <c:v>995.553513927524</c:v>
                </c:pt>
                <c:pt idx="38">
                  <c:v>1006.21862527815</c:v>
                </c:pt>
                <c:pt idx="39">
                  <c:v>1009.15699410474</c:v>
                </c:pt>
                <c:pt idx="40">
                  <c:v>1001.33283078723</c:v>
                </c:pt>
                <c:pt idx="41">
                  <c:v>1000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'Index comparison'!$A$15:$A$15</c:f>
              <c:strCache>
                <c:ptCount val="1"/>
                <c:pt idx="0">
                  <c:v>MBI10 (reg)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comparison'!$B$15:$AQ$15</c:f>
              <c:numCache>
                <c:formatCode>General</c:formatCode>
                <c:ptCount val="42"/>
                <c:pt idx="0">
                  <c:v>2529.4925034898</c:v>
                </c:pt>
                <c:pt idx="1">
                  <c:v>2442.93365573876</c:v>
                </c:pt>
                <c:pt idx="2">
                  <c:v>2476.62560670043</c:v>
                </c:pt>
                <c:pt idx="3">
                  <c:v>2398.72556406348</c:v>
                </c:pt>
                <c:pt idx="4">
                  <c:v>2249.99269915252</c:v>
                </c:pt>
                <c:pt idx="5">
                  <c:v>2098.88851897928</c:v>
                </c:pt>
                <c:pt idx="6">
                  <c:v>2063.84153072489</c:v>
                </c:pt>
                <c:pt idx="7">
                  <c:v>1955.97004900329</c:v>
                </c:pt>
                <c:pt idx="8">
                  <c:v>1786.14649588524</c:v>
                </c:pt>
                <c:pt idx="9">
                  <c:v>1740.93088725739</c:v>
                </c:pt>
                <c:pt idx="10">
                  <c:v>1694.69023964302</c:v>
                </c:pt>
                <c:pt idx="11">
                  <c:v>1692.09113793929</c:v>
                </c:pt>
                <c:pt idx="12">
                  <c:v>1683.80905655528</c:v>
                </c:pt>
                <c:pt idx="13">
                  <c:v>1668.48895819827</c:v>
                </c:pt>
                <c:pt idx="14">
                  <c:v>1706.45628544561</c:v>
                </c:pt>
                <c:pt idx="15">
                  <c:v>1650.67197000228</c:v>
                </c:pt>
                <c:pt idx="16">
                  <c:v>1631.4006529878</c:v>
                </c:pt>
                <c:pt idx="17">
                  <c:v>1681.26252095343</c:v>
                </c:pt>
                <c:pt idx="18">
                  <c:v>1690.06734301718</c:v>
                </c:pt>
                <c:pt idx="19">
                  <c:v>1780.62997552756</c:v>
                </c:pt>
                <c:pt idx="20">
                  <c:v>1713.98199903045</c:v>
                </c:pt>
                <c:pt idx="21">
                  <c:v>1643.32147675702</c:v>
                </c:pt>
                <c:pt idx="22">
                  <c:v>1798.98138575926</c:v>
                </c:pt>
                <c:pt idx="23">
                  <c:v>1797.02475863398</c:v>
                </c:pt>
                <c:pt idx="24">
                  <c:v>1663.79013275861</c:v>
                </c:pt>
                <c:pt idx="25">
                  <c:v>1718.73339057198</c:v>
                </c:pt>
                <c:pt idx="26">
                  <c:v>1542.27190692296</c:v>
                </c:pt>
                <c:pt idx="27">
                  <c:v>1414.91884377939</c:v>
                </c:pt>
                <c:pt idx="28">
                  <c:v>1373.97569109822</c:v>
                </c:pt>
                <c:pt idx="29">
                  <c:v>1309.82460444008</c:v>
                </c:pt>
                <c:pt idx="30">
                  <c:v>1312.76830614498</c:v>
                </c:pt>
                <c:pt idx="31">
                  <c:v>1202.20427187188</c:v>
                </c:pt>
                <c:pt idx="32">
                  <c:v>1058.10598494273</c:v>
                </c:pt>
                <c:pt idx="33">
                  <c:v>1459.53286257469</c:v>
                </c:pt>
                <c:pt idx="34">
                  <c:v>1357.63347409367</c:v>
                </c:pt>
                <c:pt idx="35">
                  <c:v>1263.94899919983</c:v>
                </c:pt>
                <c:pt idx="36">
                  <c:v>1192.85626675545</c:v>
                </c:pt>
                <c:pt idx="37">
                  <c:v>1116.03966988488</c:v>
                </c:pt>
                <c:pt idx="38">
                  <c:v>1070.20494939053</c:v>
                </c:pt>
                <c:pt idx="39">
                  <c:v>1013.07435767144</c:v>
                </c:pt>
                <c:pt idx="40">
                  <c:v>1030.9030272234</c:v>
                </c:pt>
                <c:pt idx="41">
                  <c:v>1000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'Index comparison'!$A$17:$A$17</c:f>
              <c:strCache>
                <c:ptCount val="1"/>
                <c:pt idx="0">
                  <c:v>MBI10 (cap)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comparison'!$B$17:$AQ$17</c:f>
              <c:numCache>
                <c:formatCode>General</c:formatCode>
                <c:ptCount val="42"/>
                <c:pt idx="0">
                  <c:v>2214.42983885283</c:v>
                </c:pt>
                <c:pt idx="1">
                  <c:v>2156.37161809879</c:v>
                </c:pt>
                <c:pt idx="2">
                  <c:v>2210.97030487505</c:v>
                </c:pt>
                <c:pt idx="3">
                  <c:v>2128.96623925787</c:v>
                </c:pt>
                <c:pt idx="4">
                  <c:v>2026.11739337336</c:v>
                </c:pt>
                <c:pt idx="5">
                  <c:v>1876.60777095871</c:v>
                </c:pt>
                <c:pt idx="6">
                  <c:v>1891.95422409844</c:v>
                </c:pt>
                <c:pt idx="7">
                  <c:v>1785.10839455523</c:v>
                </c:pt>
                <c:pt idx="8">
                  <c:v>1584.1713452613</c:v>
                </c:pt>
                <c:pt idx="9">
                  <c:v>1590.61257940341</c:v>
                </c:pt>
                <c:pt idx="10">
                  <c:v>1548.88334963042</c:v>
                </c:pt>
                <c:pt idx="11">
                  <c:v>1547.62460160966</c:v>
                </c:pt>
                <c:pt idx="12">
                  <c:v>1538.34889527357</c:v>
                </c:pt>
                <c:pt idx="13">
                  <c:v>1512.66186009343</c:v>
                </c:pt>
                <c:pt idx="14">
                  <c:v>1511.7682319447</c:v>
                </c:pt>
                <c:pt idx="15">
                  <c:v>1446.98670559127</c:v>
                </c:pt>
                <c:pt idx="16">
                  <c:v>1380.45750697927</c:v>
                </c:pt>
                <c:pt idx="17">
                  <c:v>1454.99671254743</c:v>
                </c:pt>
                <c:pt idx="18">
                  <c:v>1457.22441107701</c:v>
                </c:pt>
                <c:pt idx="19">
                  <c:v>1523.59519925498</c:v>
                </c:pt>
                <c:pt idx="20">
                  <c:v>1487.84295257145</c:v>
                </c:pt>
                <c:pt idx="21">
                  <c:v>1416.3439540968</c:v>
                </c:pt>
                <c:pt idx="22">
                  <c:v>1529.679945864</c:v>
                </c:pt>
                <c:pt idx="23">
                  <c:v>1465.62780445024</c:v>
                </c:pt>
                <c:pt idx="24">
                  <c:v>1363.34540926402</c:v>
                </c:pt>
                <c:pt idx="25">
                  <c:v>1427.65315560343</c:v>
                </c:pt>
                <c:pt idx="26">
                  <c:v>1282.0268233471</c:v>
                </c:pt>
                <c:pt idx="27">
                  <c:v>1201.518748361</c:v>
                </c:pt>
                <c:pt idx="28">
                  <c:v>1141.3176727959</c:v>
                </c:pt>
                <c:pt idx="29">
                  <c:v>1132.56355189635</c:v>
                </c:pt>
                <c:pt idx="30">
                  <c:v>1149.67316794031</c:v>
                </c:pt>
                <c:pt idx="31">
                  <c:v>1080.96058493448</c:v>
                </c:pt>
                <c:pt idx="32">
                  <c:v>932.761442173415</c:v>
                </c:pt>
                <c:pt idx="33">
                  <c:v>1171.3846495668</c:v>
                </c:pt>
                <c:pt idx="34">
                  <c:v>1125.35223713314</c:v>
                </c:pt>
                <c:pt idx="35">
                  <c:v>1088.23164608957</c:v>
                </c:pt>
                <c:pt idx="36">
                  <c:v>1054.6551341765</c:v>
                </c:pt>
                <c:pt idx="37">
                  <c:v>999.647773779699</c:v>
                </c:pt>
                <c:pt idx="38">
                  <c:v>1030.59024208396</c:v>
                </c:pt>
                <c:pt idx="39">
                  <c:v>1024.21623283919</c:v>
                </c:pt>
                <c:pt idx="40">
                  <c:v>1009.53421052523</c:v>
                </c:pt>
                <c:pt idx="41">
                  <c:v>1000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'Index comparison'!$A$19:$A$19</c:f>
              <c:strCache>
                <c:ptCount val="1"/>
                <c:pt idx="0">
                  <c:v>MI wo. MBI10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comparison'!$B$19:$AQ$19</c:f>
              <c:numCache>
                <c:formatCode>General</c:formatCode>
                <c:ptCount val="42"/>
                <c:pt idx="0">
                  <c:v>1371.98093037707</c:v>
                </c:pt>
                <c:pt idx="1">
                  <c:v>1384.33442273707</c:v>
                </c:pt>
                <c:pt idx="2">
                  <c:v>1384.33442273707</c:v>
                </c:pt>
                <c:pt idx="3">
                  <c:v>1370.66701915795</c:v>
                </c:pt>
                <c:pt idx="4">
                  <c:v>1335.61696621548</c:v>
                </c:pt>
                <c:pt idx="5">
                  <c:v>1211.18941330441</c:v>
                </c:pt>
                <c:pt idx="6">
                  <c:v>1203.41172922645</c:v>
                </c:pt>
                <c:pt idx="7">
                  <c:v>1178.92947081228</c:v>
                </c:pt>
                <c:pt idx="8">
                  <c:v>1159.38749387483</c:v>
                </c:pt>
                <c:pt idx="9">
                  <c:v>1151.25823812532</c:v>
                </c:pt>
                <c:pt idx="10">
                  <c:v>1154.72394934038</c:v>
                </c:pt>
                <c:pt idx="11">
                  <c:v>1155.49251675739</c:v>
                </c:pt>
                <c:pt idx="12">
                  <c:v>1131.52537032191</c:v>
                </c:pt>
                <c:pt idx="13">
                  <c:v>1074.56276120768</c:v>
                </c:pt>
                <c:pt idx="14">
                  <c:v>1093.27520018645</c:v>
                </c:pt>
                <c:pt idx="15">
                  <c:v>1084.71678336241</c:v>
                </c:pt>
                <c:pt idx="16">
                  <c:v>1062.29082808812</c:v>
                </c:pt>
                <c:pt idx="17">
                  <c:v>1068.15005105525</c:v>
                </c:pt>
                <c:pt idx="18">
                  <c:v>1178.9377476732</c:v>
                </c:pt>
                <c:pt idx="19">
                  <c:v>1297.14889118046</c:v>
                </c:pt>
                <c:pt idx="20">
                  <c:v>1284.01720041364</c:v>
                </c:pt>
                <c:pt idx="21">
                  <c:v>1280.11164585522</c:v>
                </c:pt>
                <c:pt idx="22">
                  <c:v>1282.0009554006</c:v>
                </c:pt>
                <c:pt idx="23">
                  <c:v>1201.7430381435</c:v>
                </c:pt>
                <c:pt idx="24">
                  <c:v>1205.53413298421</c:v>
                </c:pt>
                <c:pt idx="25">
                  <c:v>1178.94185564387</c:v>
                </c:pt>
                <c:pt idx="26">
                  <c:v>1087.67942286592</c:v>
                </c:pt>
                <c:pt idx="27">
                  <c:v>1066.07001993893</c:v>
                </c:pt>
                <c:pt idx="28">
                  <c:v>994.939266319325</c:v>
                </c:pt>
                <c:pt idx="29">
                  <c:v>978.621277361791</c:v>
                </c:pt>
                <c:pt idx="30">
                  <c:v>962.880491332894</c:v>
                </c:pt>
                <c:pt idx="31">
                  <c:v>949.811539391652</c:v>
                </c:pt>
                <c:pt idx="32">
                  <c:v>933.956092668926</c:v>
                </c:pt>
                <c:pt idx="33">
                  <c:v>1024.50059378135</c:v>
                </c:pt>
                <c:pt idx="34">
                  <c:v>1036.32546784094</c:v>
                </c:pt>
                <c:pt idx="35">
                  <c:v>1001.86958665258</c:v>
                </c:pt>
                <c:pt idx="36">
                  <c:v>985.813239720211</c:v>
                </c:pt>
                <c:pt idx="37">
                  <c:v>992.253811546543</c:v>
                </c:pt>
                <c:pt idx="38">
                  <c:v>1003.15926106259</c:v>
                </c:pt>
                <c:pt idx="39">
                  <c:v>973.983459501735</c:v>
                </c:pt>
                <c:pt idx="40">
                  <c:v>1026.8993497</c:v>
                </c:pt>
                <c:pt idx="41">
                  <c:v>1000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1871371"/>
        <c:axId val="36541391"/>
      </c:lineChart>
      <c:catAx>
        <c:axId val="81871371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6541391"/>
        <c:crossesAt val="0"/>
        <c:auto val="1"/>
        <c:lblAlgn val="ctr"/>
        <c:lblOffset val="100"/>
        <c:noMultiLvlLbl val="0"/>
      </c:catAx>
      <c:valAx>
        <c:axId val="36541391"/>
        <c:scaling>
          <c:orientation val="minMax"/>
          <c:max val="3300"/>
          <c:min val="930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1871371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801237577348584"/>
          <c:y val="0.0313368152016891"/>
          <c:w val="0.182948934308394"/>
          <c:h val="0.930325591732415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599799279768581"/>
          <c:y val="0.174050822122571"/>
          <c:w val="0.871539051892083"/>
          <c:h val="0.707503736920777"/>
        </c:manualLayout>
      </c:layout>
      <c:lineChart>
        <c:grouping val="standard"/>
        <c:varyColors val="0"/>
        <c:ser>
          <c:idx val="0"/>
          <c:order val="0"/>
          <c:tx>
            <c:strRef>
              <c:f>'Index comparison'!$A$37:$A$37</c:f>
              <c:strCache>
                <c:ptCount val="1"/>
                <c:pt idx="0">
                  <c:v>MI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comparison'!$B$37:$AQ$37</c:f>
              <c:numCache>
                <c:formatCode>General</c:formatCode>
                <c:ptCount val="42"/>
                <c:pt idx="0">
                  <c:v>3.44240764815165</c:v>
                </c:pt>
                <c:pt idx="1">
                  <c:v>3.38770942337743</c:v>
                </c:pt>
                <c:pt idx="2">
                  <c:v>3.46211836337898</c:v>
                </c:pt>
                <c:pt idx="3">
                  <c:v>3.39624052055714</c:v>
                </c:pt>
                <c:pt idx="4">
                  <c:v>3.18113360929358</c:v>
                </c:pt>
                <c:pt idx="5">
                  <c:v>3.02420467872458</c:v>
                </c:pt>
                <c:pt idx="6">
                  <c:v>3.06994706876197</c:v>
                </c:pt>
                <c:pt idx="7">
                  <c:v>3.16688758945262</c:v>
                </c:pt>
                <c:pt idx="8">
                  <c:v>2.96429250635468</c:v>
                </c:pt>
                <c:pt idx="9">
                  <c:v>2.90670422409506</c:v>
                </c:pt>
                <c:pt idx="10">
                  <c:v>2.84414839760556</c:v>
                </c:pt>
                <c:pt idx="11">
                  <c:v>2.83997944249815</c:v>
                </c:pt>
                <c:pt idx="12">
                  <c:v>2.82819827888072</c:v>
                </c:pt>
                <c:pt idx="13">
                  <c:v>2.81397147213368</c:v>
                </c:pt>
                <c:pt idx="14">
                  <c:v>3.00067384271635</c:v>
                </c:pt>
                <c:pt idx="15">
                  <c:v>2.92269024444587</c:v>
                </c:pt>
                <c:pt idx="16">
                  <c:v>2.78855684333838</c:v>
                </c:pt>
                <c:pt idx="17">
                  <c:v>2.8752472499258</c:v>
                </c:pt>
                <c:pt idx="18">
                  <c:v>2.9609750639902</c:v>
                </c:pt>
                <c:pt idx="19">
                  <c:v>3.44620381460587</c:v>
                </c:pt>
                <c:pt idx="20">
                  <c:v>3.40009255225479</c:v>
                </c:pt>
                <c:pt idx="21">
                  <c:v>3.20355400216624</c:v>
                </c:pt>
                <c:pt idx="22">
                  <c:v>3.39014712257116</c:v>
                </c:pt>
                <c:pt idx="23">
                  <c:v>3.28098575721173</c:v>
                </c:pt>
                <c:pt idx="24">
                  <c:v>3.08112598063057</c:v>
                </c:pt>
                <c:pt idx="25">
                  <c:v>3.19961834272372</c:v>
                </c:pt>
                <c:pt idx="26">
                  <c:v>2.86121643740934</c:v>
                </c:pt>
                <c:pt idx="27">
                  <c:v>2.4133425460671</c:v>
                </c:pt>
                <c:pt idx="28">
                  <c:v>2.28247617220535</c:v>
                </c:pt>
                <c:pt idx="29">
                  <c:v>2.22051182802898</c:v>
                </c:pt>
                <c:pt idx="30">
                  <c:v>2.24485482263973</c:v>
                </c:pt>
                <c:pt idx="31">
                  <c:v>2.12206063385717</c:v>
                </c:pt>
                <c:pt idx="32">
                  <c:v>1.91524673049745</c:v>
                </c:pt>
                <c:pt idx="33">
                  <c:v>2.36088154812602</c:v>
                </c:pt>
                <c:pt idx="34">
                  <c:v>2.26538464432096</c:v>
                </c:pt>
                <c:pt idx="35">
                  <c:v>2.14005682180003</c:v>
                </c:pt>
                <c:pt idx="36">
                  <c:v>2.08468900881091</c:v>
                </c:pt>
                <c:pt idx="37">
                  <c:v>2.00163951143058</c:v>
                </c:pt>
                <c:pt idx="38">
                  <c:v>2.03357186053359</c:v>
                </c:pt>
                <c:pt idx="39">
                  <c:v>1.98863978866178</c:v>
                </c:pt>
                <c:pt idx="40">
                  <c:v>1.97307351879586</c:v>
                </c:pt>
                <c:pt idx="41">
                  <c:v>1.94885046652114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'Index comparison'!$A$38:$A$38</c:f>
              <c:strCache>
                <c:ptCount val="1"/>
                <c:pt idx="0">
                  <c:v>60th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comparison'!$B$38:$AQ$38</c:f>
              <c:numCache>
                <c:formatCode>General</c:formatCode>
                <c:ptCount val="42"/>
                <c:pt idx="0">
                  <c:v>3.41100483419477</c:v>
                </c:pt>
                <c:pt idx="1">
                  <c:v>3.35316946170683</c:v>
                </c:pt>
                <c:pt idx="2">
                  <c:v>3.43985839554956</c:v>
                </c:pt>
                <c:pt idx="3">
                  <c:v>3.35193712520104</c:v>
                </c:pt>
                <c:pt idx="4">
                  <c:v>3.16357367465541</c:v>
                </c:pt>
                <c:pt idx="5">
                  <c:v>3.0145368390872</c:v>
                </c:pt>
                <c:pt idx="6">
                  <c:v>3.05414061381464</c:v>
                </c:pt>
                <c:pt idx="7">
                  <c:v>3.16196485984215</c:v>
                </c:pt>
                <c:pt idx="8">
                  <c:v>2.79170602153971</c:v>
                </c:pt>
                <c:pt idx="9">
                  <c:v>2.71176772377107</c:v>
                </c:pt>
                <c:pt idx="10">
                  <c:v>2.63774039133992</c:v>
                </c:pt>
                <c:pt idx="11">
                  <c:v>2.63304578507309</c:v>
                </c:pt>
                <c:pt idx="12">
                  <c:v>2.62128027374532</c:v>
                </c:pt>
                <c:pt idx="13">
                  <c:v>2.59620287783163</c:v>
                </c:pt>
                <c:pt idx="14">
                  <c:v>2.78071146609172</c:v>
                </c:pt>
                <c:pt idx="15">
                  <c:v>2.66973758783242</c:v>
                </c:pt>
                <c:pt idx="16">
                  <c:v>2.56125160794909</c:v>
                </c:pt>
                <c:pt idx="17">
                  <c:v>2.66330266471894</c:v>
                </c:pt>
                <c:pt idx="18">
                  <c:v>2.74841298567009</c:v>
                </c:pt>
                <c:pt idx="19">
                  <c:v>3.07782885357504</c:v>
                </c:pt>
                <c:pt idx="20">
                  <c:v>3.00931228108881</c:v>
                </c:pt>
                <c:pt idx="21">
                  <c:v>2.86993304885018</c:v>
                </c:pt>
                <c:pt idx="22">
                  <c:v>3.09461989851306</c:v>
                </c:pt>
                <c:pt idx="23">
                  <c:v>2.94274881148463</c:v>
                </c:pt>
                <c:pt idx="24">
                  <c:v>2.74533634280511</c:v>
                </c:pt>
                <c:pt idx="25">
                  <c:v>2.830565141196</c:v>
                </c:pt>
                <c:pt idx="26">
                  <c:v>2.52651251325011</c:v>
                </c:pt>
                <c:pt idx="27">
                  <c:v>2.38771619202042</c:v>
                </c:pt>
                <c:pt idx="28">
                  <c:v>2.30685099248585</c:v>
                </c:pt>
                <c:pt idx="29">
                  <c:v>2.2412986719542</c:v>
                </c:pt>
                <c:pt idx="30">
                  <c:v>2.27079854678323</c:v>
                </c:pt>
                <c:pt idx="31">
                  <c:v>2.13102977334045</c:v>
                </c:pt>
                <c:pt idx="32">
                  <c:v>1.89272982753458</c:v>
                </c:pt>
                <c:pt idx="33">
                  <c:v>2.33150698823734</c:v>
                </c:pt>
                <c:pt idx="34">
                  <c:v>2.22196813123121</c:v>
                </c:pt>
                <c:pt idx="35">
                  <c:v>2.09763142029828</c:v>
                </c:pt>
                <c:pt idx="36">
                  <c:v>2.03221051208973</c:v>
                </c:pt>
                <c:pt idx="37">
                  <c:v>1.93649143748497</c:v>
                </c:pt>
                <c:pt idx="38">
                  <c:v>2.02394287725816</c:v>
                </c:pt>
                <c:pt idx="39">
                  <c:v>1.95743806703996</c:v>
                </c:pt>
                <c:pt idx="40">
                  <c:v>1.93704062694473</c:v>
                </c:pt>
                <c:pt idx="41">
                  <c:v>1.91871479851325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'Index comparison'!$A$39:$A$39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comparison'!$B$39:$AQ$39</c:f>
              <c:numCache>
                <c:formatCode>General</c:formatCode>
                <c:ptCount val="42"/>
                <c:pt idx="0">
                  <c:v>4.45981371474482</c:v>
                </c:pt>
                <c:pt idx="1">
                  <c:v>4.43538172118803</c:v>
                </c:pt>
                <c:pt idx="2">
                  <c:v>4.56286293621648</c:v>
                </c:pt>
                <c:pt idx="3">
                  <c:v>4.5164748937889</c:v>
                </c:pt>
                <c:pt idx="4">
                  <c:v>4.17927052829072</c:v>
                </c:pt>
                <c:pt idx="5">
                  <c:v>3.87655587969925</c:v>
                </c:pt>
                <c:pt idx="6">
                  <c:v>3.91819079070499</c:v>
                </c:pt>
                <c:pt idx="7">
                  <c:v>4.24532679067351</c:v>
                </c:pt>
                <c:pt idx="8">
                  <c:v>3.74577992102054</c:v>
                </c:pt>
                <c:pt idx="9">
                  <c:v>3.57009159000274</c:v>
                </c:pt>
                <c:pt idx="10">
                  <c:v>3.4181718802276</c:v>
                </c:pt>
                <c:pt idx="11">
                  <c:v>3.40696569899155</c:v>
                </c:pt>
                <c:pt idx="12">
                  <c:v>3.38625946433476</c:v>
                </c:pt>
                <c:pt idx="13">
                  <c:v>3.32718189616775</c:v>
                </c:pt>
                <c:pt idx="14">
                  <c:v>3.54732290665533</c:v>
                </c:pt>
                <c:pt idx="15">
                  <c:v>3.41909505923756</c:v>
                </c:pt>
                <c:pt idx="16">
                  <c:v>3.26230421999744</c:v>
                </c:pt>
                <c:pt idx="17">
                  <c:v>3.35272630593366</c:v>
                </c:pt>
                <c:pt idx="18">
                  <c:v>3.57679280963428</c:v>
                </c:pt>
                <c:pt idx="19">
                  <c:v>4.20106353523324</c:v>
                </c:pt>
                <c:pt idx="20">
                  <c:v>4.12170021835133</c:v>
                </c:pt>
                <c:pt idx="21">
                  <c:v>3.9113840683196</c:v>
                </c:pt>
                <c:pt idx="22">
                  <c:v>4.20517069580374</c:v>
                </c:pt>
                <c:pt idx="23">
                  <c:v>4.01545808555433</c:v>
                </c:pt>
                <c:pt idx="24">
                  <c:v>3.7052324146747</c:v>
                </c:pt>
                <c:pt idx="25">
                  <c:v>3.77691780534488</c:v>
                </c:pt>
                <c:pt idx="26">
                  <c:v>3.20380119938582</c:v>
                </c:pt>
                <c:pt idx="27">
                  <c:v>2.9416294009196</c:v>
                </c:pt>
                <c:pt idx="28">
                  <c:v>2.82834682756711</c:v>
                </c:pt>
                <c:pt idx="29">
                  <c:v>2.67958007807215</c:v>
                </c:pt>
                <c:pt idx="30">
                  <c:v>2.71532909382856</c:v>
                </c:pt>
                <c:pt idx="31">
                  <c:v>2.47557425327902</c:v>
                </c:pt>
                <c:pt idx="32">
                  <c:v>2.16956739015346</c:v>
                </c:pt>
                <c:pt idx="33">
                  <c:v>2.65974955233438</c:v>
                </c:pt>
                <c:pt idx="34">
                  <c:v>2.45061723111481</c:v>
                </c:pt>
                <c:pt idx="35">
                  <c:v>2.22739333971381</c:v>
                </c:pt>
                <c:pt idx="36">
                  <c:v>2.13656966857287</c:v>
                </c:pt>
                <c:pt idx="37">
                  <c:v>2.04059720301181</c:v>
                </c:pt>
                <c:pt idx="38">
                  <c:v>2.14089162745239</c:v>
                </c:pt>
                <c:pt idx="39">
                  <c:v>2.0415463752973</c:v>
                </c:pt>
                <c:pt idx="40">
                  <c:v>2.09475429099075</c:v>
                </c:pt>
                <c:pt idx="41">
                  <c:v>2.06035775540608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'Index comparison'!$A$40:$A$40</c:f>
              <c:strCache>
                <c:ptCount val="1"/>
                <c:pt idx="0">
                  <c:v>Heavy Ind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comparison'!$B$40:$AQ$40</c:f>
              <c:numCache>
                <c:formatCode>General</c:formatCode>
                <c:ptCount val="42"/>
                <c:pt idx="0">
                  <c:v>1.72909902371124</c:v>
                </c:pt>
                <c:pt idx="1">
                  <c:v>1.80285553491884</c:v>
                </c:pt>
                <c:pt idx="2">
                  <c:v>1.80688432337517</c:v>
                </c:pt>
                <c:pt idx="3">
                  <c:v>1.76054811795291</c:v>
                </c:pt>
                <c:pt idx="4">
                  <c:v>1.76532263918059</c:v>
                </c:pt>
                <c:pt idx="5">
                  <c:v>1.66733522216213</c:v>
                </c:pt>
                <c:pt idx="6">
                  <c:v>1.6025253245656</c:v>
                </c:pt>
                <c:pt idx="7">
                  <c:v>1.59083865922557</c:v>
                </c:pt>
                <c:pt idx="8">
                  <c:v>2.5316539894848</c:v>
                </c:pt>
                <c:pt idx="9">
                  <c:v>2.7357543608812</c:v>
                </c:pt>
                <c:pt idx="10">
                  <c:v>2.70006951110813</c:v>
                </c:pt>
                <c:pt idx="11">
                  <c:v>2.69965839943611</c:v>
                </c:pt>
                <c:pt idx="12">
                  <c:v>2.73188012122431</c:v>
                </c:pt>
                <c:pt idx="13">
                  <c:v>2.92171462686167</c:v>
                </c:pt>
                <c:pt idx="14">
                  <c:v>2.52115713997289</c:v>
                </c:pt>
                <c:pt idx="15">
                  <c:v>2.68986317256294</c:v>
                </c:pt>
                <c:pt idx="16">
                  <c:v>2.38793122524645</c:v>
                </c:pt>
                <c:pt idx="17">
                  <c:v>2.45073674496723</c:v>
                </c:pt>
                <c:pt idx="18">
                  <c:v>2.39047017476554</c:v>
                </c:pt>
                <c:pt idx="19">
                  <c:v>2.57759336448704</c:v>
                </c:pt>
                <c:pt idx="20">
                  <c:v>2.51044467650394</c:v>
                </c:pt>
                <c:pt idx="21">
                  <c:v>2.02781076958294</c:v>
                </c:pt>
                <c:pt idx="22">
                  <c:v>2.13660398131584</c:v>
                </c:pt>
                <c:pt idx="23">
                  <c:v>2.17776137169881</c:v>
                </c:pt>
                <c:pt idx="24">
                  <c:v>2.09376332982333</c:v>
                </c:pt>
                <c:pt idx="25">
                  <c:v>2.12676693050008</c:v>
                </c:pt>
                <c:pt idx="26">
                  <c:v>2.0637457556721</c:v>
                </c:pt>
                <c:pt idx="27">
                  <c:v>1.98517456376086</c:v>
                </c:pt>
                <c:pt idx="28">
                  <c:v>1.63589164512655</c:v>
                </c:pt>
                <c:pt idx="29">
                  <c:v>1.56300556633466</c:v>
                </c:pt>
                <c:pt idx="30">
                  <c:v>1.51994863262038</c:v>
                </c:pt>
                <c:pt idx="31">
                  <c:v>1.40844973615306</c:v>
                </c:pt>
                <c:pt idx="32">
                  <c:v>1.38680790390983</c:v>
                </c:pt>
                <c:pt idx="33">
                  <c:v>1.70770289325556</c:v>
                </c:pt>
                <c:pt idx="34">
                  <c:v>1.7346626769525</c:v>
                </c:pt>
                <c:pt idx="35">
                  <c:v>1.6642640565792</c:v>
                </c:pt>
                <c:pt idx="36">
                  <c:v>1.59088645733245</c:v>
                </c:pt>
                <c:pt idx="37">
                  <c:v>1.54351407451656</c:v>
                </c:pt>
                <c:pt idx="38">
                  <c:v>1.12545264212785</c:v>
                </c:pt>
                <c:pt idx="39">
                  <c:v>1.07537971236563</c:v>
                </c:pt>
                <c:pt idx="40">
                  <c:v>1.04855408181323</c:v>
                </c:pt>
                <c:pt idx="41">
                  <c:v>1.03743635387467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'Index comparison'!$A$41:$A$41</c:f>
              <c:strCache>
                <c:ptCount val="1"/>
                <c:pt idx="0">
                  <c:v>Light Ind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comparison'!$B$41:$AQ$41</c:f>
              <c:numCache>
                <c:formatCode>General</c:formatCode>
                <c:ptCount val="42"/>
                <c:pt idx="0">
                  <c:v>1.95925887184893</c:v>
                </c:pt>
                <c:pt idx="1">
                  <c:v>1.79660443213723</c:v>
                </c:pt>
                <c:pt idx="2">
                  <c:v>1.7976737092504</c:v>
                </c:pt>
                <c:pt idx="3">
                  <c:v>1.61934211031278</c:v>
                </c:pt>
                <c:pt idx="4">
                  <c:v>1.5483117688875</c:v>
                </c:pt>
                <c:pt idx="5">
                  <c:v>1.60093778320364</c:v>
                </c:pt>
                <c:pt idx="6">
                  <c:v>1.727031688696</c:v>
                </c:pt>
                <c:pt idx="7">
                  <c:v>1.62058218021329</c:v>
                </c:pt>
                <c:pt idx="8">
                  <c:v>1.51402034134217</c:v>
                </c:pt>
                <c:pt idx="9">
                  <c:v>1.50196883374028</c:v>
                </c:pt>
                <c:pt idx="10">
                  <c:v>1.47810803719998</c:v>
                </c:pt>
                <c:pt idx="11">
                  <c:v>1.47984630275461</c:v>
                </c:pt>
                <c:pt idx="12">
                  <c:v>1.45941799317733</c:v>
                </c:pt>
                <c:pt idx="13">
                  <c:v>1.41334078098505</c:v>
                </c:pt>
                <c:pt idx="14">
                  <c:v>1.64964629770601</c:v>
                </c:pt>
                <c:pt idx="15">
                  <c:v>1.68405348660987</c:v>
                </c:pt>
                <c:pt idx="16">
                  <c:v>1.68652339411385</c:v>
                </c:pt>
                <c:pt idx="17">
                  <c:v>1.75002340947185</c:v>
                </c:pt>
                <c:pt idx="18">
                  <c:v>1.70314201608039</c:v>
                </c:pt>
                <c:pt idx="19">
                  <c:v>1.94132214512296</c:v>
                </c:pt>
                <c:pt idx="20">
                  <c:v>1.84012028065765</c:v>
                </c:pt>
                <c:pt idx="21">
                  <c:v>1.77879743284351</c:v>
                </c:pt>
                <c:pt idx="22">
                  <c:v>1.95384891463987</c:v>
                </c:pt>
                <c:pt idx="23">
                  <c:v>1.83122491127846</c:v>
                </c:pt>
                <c:pt idx="24">
                  <c:v>1.76008085422547</c:v>
                </c:pt>
                <c:pt idx="25">
                  <c:v>1.79964643953937</c:v>
                </c:pt>
                <c:pt idx="26">
                  <c:v>1.63613615572765</c:v>
                </c:pt>
                <c:pt idx="27">
                  <c:v>1.74120725520426</c:v>
                </c:pt>
                <c:pt idx="28">
                  <c:v>1.70149597210165</c:v>
                </c:pt>
                <c:pt idx="29">
                  <c:v>1.6453333838322</c:v>
                </c:pt>
                <c:pt idx="30">
                  <c:v>1.68691800392369</c:v>
                </c:pt>
                <c:pt idx="31">
                  <c:v>1.52573992949523</c:v>
                </c:pt>
                <c:pt idx="32">
                  <c:v>1.48145999027666</c:v>
                </c:pt>
                <c:pt idx="33">
                  <c:v>1.96203059685689</c:v>
                </c:pt>
                <c:pt idx="34">
                  <c:v>1.88146363195206</c:v>
                </c:pt>
                <c:pt idx="35">
                  <c:v>1.87208678619749</c:v>
                </c:pt>
                <c:pt idx="36">
                  <c:v>1.85616257909842</c:v>
                </c:pt>
                <c:pt idx="37">
                  <c:v>1.63156974611978</c:v>
                </c:pt>
                <c:pt idx="38">
                  <c:v>1.89783191921744</c:v>
                </c:pt>
                <c:pt idx="39">
                  <c:v>1.9004548588681</c:v>
                </c:pt>
                <c:pt idx="40">
                  <c:v>1.84012848508168</c:v>
                </c:pt>
                <c:pt idx="41">
                  <c:v>1.80247727782538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'Index comparison'!$A$42:$A$42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comparison'!$B$42:$AQ$42</c:f>
              <c:numCache>
                <c:formatCode>General</c:formatCode>
                <c:ptCount val="42"/>
                <c:pt idx="0">
                  <c:v>3.15331107764581</c:v>
                </c:pt>
                <c:pt idx="1">
                  <c:v>3.11716267975359</c:v>
                </c:pt>
                <c:pt idx="2">
                  <c:v>3.12160167639356</c:v>
                </c:pt>
                <c:pt idx="3">
                  <c:v>3.24637170177125</c:v>
                </c:pt>
                <c:pt idx="4">
                  <c:v>3.06629511420438</c:v>
                </c:pt>
                <c:pt idx="5">
                  <c:v>3.05326663482165</c:v>
                </c:pt>
                <c:pt idx="6">
                  <c:v>3.11461352654294</c:v>
                </c:pt>
                <c:pt idx="7">
                  <c:v>3.109481284845</c:v>
                </c:pt>
                <c:pt idx="8">
                  <c:v>2.83719975611002</c:v>
                </c:pt>
                <c:pt idx="9">
                  <c:v>2.95499365352389</c:v>
                </c:pt>
                <c:pt idx="10">
                  <c:v>2.90152660494515</c:v>
                </c:pt>
                <c:pt idx="11">
                  <c:v>2.90130338020735</c:v>
                </c:pt>
                <c:pt idx="12">
                  <c:v>2.88651577329322</c:v>
                </c:pt>
                <c:pt idx="13">
                  <c:v>2.90436574954151</c:v>
                </c:pt>
                <c:pt idx="14">
                  <c:v>3.30764996752376</c:v>
                </c:pt>
                <c:pt idx="15">
                  <c:v>3.12910176658632</c:v>
                </c:pt>
                <c:pt idx="16">
                  <c:v>3.04039171586845</c:v>
                </c:pt>
                <c:pt idx="17">
                  <c:v>3.13114729004286</c:v>
                </c:pt>
                <c:pt idx="18">
                  <c:v>3.1879913641322</c:v>
                </c:pt>
                <c:pt idx="19">
                  <c:v>3.81541685891459</c:v>
                </c:pt>
                <c:pt idx="20">
                  <c:v>3.90672728575462</c:v>
                </c:pt>
                <c:pt idx="21">
                  <c:v>3.87032942803179</c:v>
                </c:pt>
                <c:pt idx="22">
                  <c:v>3.87288901548992</c:v>
                </c:pt>
                <c:pt idx="23">
                  <c:v>3.84855629400091</c:v>
                </c:pt>
                <c:pt idx="24">
                  <c:v>3.72643618576874</c:v>
                </c:pt>
                <c:pt idx="25">
                  <c:v>3.98248918636519</c:v>
                </c:pt>
                <c:pt idx="26">
                  <c:v>3.68363249324746</c:v>
                </c:pt>
                <c:pt idx="27">
                  <c:v>2.41655853297485</c:v>
                </c:pt>
                <c:pt idx="28">
                  <c:v>2.31910931065363</c:v>
                </c:pt>
                <c:pt idx="29">
                  <c:v>2.35551902052175</c:v>
                </c:pt>
                <c:pt idx="30">
                  <c:v>2.37692492749713</c:v>
                </c:pt>
                <c:pt idx="31">
                  <c:v>2.46393517677749</c:v>
                </c:pt>
                <c:pt idx="32">
                  <c:v>2.21108753124091</c:v>
                </c:pt>
                <c:pt idx="33">
                  <c:v>2.57915022121987</c:v>
                </c:pt>
                <c:pt idx="34">
                  <c:v>2.5676804084305</c:v>
                </c:pt>
                <c:pt idx="35">
                  <c:v>2.47345164211218</c:v>
                </c:pt>
                <c:pt idx="36">
                  <c:v>2.44808646063764</c:v>
                </c:pt>
                <c:pt idx="37">
                  <c:v>2.43679266309186</c:v>
                </c:pt>
                <c:pt idx="38">
                  <c:v>2.52340583056006</c:v>
                </c:pt>
                <c:pt idx="39">
                  <c:v>2.53099179931209</c:v>
                </c:pt>
                <c:pt idx="40">
                  <c:v>2.50299679686686</c:v>
                </c:pt>
                <c:pt idx="41">
                  <c:v>2.47929824564452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'Index comparison'!$A$44:$A$44</c:f>
              <c:strCache>
                <c:ptCount val="1"/>
                <c:pt idx="0">
                  <c:v>MBI10 (cap)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prstDash val="dot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comparison'!$B$44:$AQ$44</c:f>
              <c:numCache>
                <c:formatCode>General</c:formatCode>
                <c:ptCount val="42"/>
                <c:pt idx="0">
                  <c:v>3.64309371110073</c:v>
                </c:pt>
                <c:pt idx="1">
                  <c:v>3.55429795429842</c:v>
                </c:pt>
                <c:pt idx="2">
                  <c:v>3.59564623093913</c:v>
                </c:pt>
                <c:pt idx="3">
                  <c:v>3.5337121196673</c:v>
                </c:pt>
                <c:pt idx="4">
                  <c:v>3.288248691762</c:v>
                </c:pt>
                <c:pt idx="5">
                  <c:v>3.13678756135791</c:v>
                </c:pt>
                <c:pt idx="6">
                  <c:v>3.23928023819064</c:v>
                </c:pt>
                <c:pt idx="7">
                  <c:v>3.38995860931161</c:v>
                </c:pt>
                <c:pt idx="8">
                  <c:v>3.05622596757271</c:v>
                </c:pt>
                <c:pt idx="9">
                  <c:v>2.90208394310368</c:v>
                </c:pt>
                <c:pt idx="10">
                  <c:v>2.84908200973127</c:v>
                </c:pt>
                <c:pt idx="11">
                  <c:v>2.84433753532577</c:v>
                </c:pt>
                <c:pt idx="12">
                  <c:v>2.82561446198327</c:v>
                </c:pt>
                <c:pt idx="13">
                  <c:v>2.77322459242396</c:v>
                </c:pt>
                <c:pt idx="14">
                  <c:v>3.36878640354352</c:v>
                </c:pt>
                <c:pt idx="15">
                  <c:v>3.22605126376509</c:v>
                </c:pt>
                <c:pt idx="16">
                  <c:v>3.13972341342444</c:v>
                </c:pt>
                <c:pt idx="17">
                  <c:v>3.19050745876315</c:v>
                </c:pt>
                <c:pt idx="18">
                  <c:v>3.39696704885041</c:v>
                </c:pt>
                <c:pt idx="19">
                  <c:v>4.44515762138321</c:v>
                </c:pt>
                <c:pt idx="20">
                  <c:v>4.4056161516007</c:v>
                </c:pt>
                <c:pt idx="21">
                  <c:v>4.28482121147792</c:v>
                </c:pt>
                <c:pt idx="22">
                  <c:v>4.47788668833789</c:v>
                </c:pt>
                <c:pt idx="23">
                  <c:v>4.27151078994206</c:v>
                </c:pt>
                <c:pt idx="24">
                  <c:v>4.06373909450074</c:v>
                </c:pt>
                <c:pt idx="25">
                  <c:v>4.18773836379111</c:v>
                </c:pt>
                <c:pt idx="26">
                  <c:v>3.098922045998</c:v>
                </c:pt>
                <c:pt idx="27">
                  <c:v>2.56695791335926</c:v>
                </c:pt>
                <c:pt idx="28">
                  <c:v>2.46020987125096</c:v>
                </c:pt>
                <c:pt idx="29">
                  <c:v>2.40888479381402</c:v>
                </c:pt>
                <c:pt idx="30">
                  <c:v>2.44573112512577</c:v>
                </c:pt>
                <c:pt idx="31">
                  <c:v>2.32765477459597</c:v>
                </c:pt>
                <c:pt idx="32">
                  <c:v>2.08482132186398</c:v>
                </c:pt>
                <c:pt idx="33">
                  <c:v>2.54633500464606</c:v>
                </c:pt>
                <c:pt idx="34">
                  <c:v>2.43523854931922</c:v>
                </c:pt>
                <c:pt idx="35">
                  <c:v>2.29617295267632</c:v>
                </c:pt>
                <c:pt idx="36">
                  <c:v>2.22896063601943</c:v>
                </c:pt>
                <c:pt idx="37">
                  <c:v>2.16577797341449</c:v>
                </c:pt>
                <c:pt idx="38">
                  <c:v>2.29159288169748</c:v>
                </c:pt>
                <c:pt idx="39">
                  <c:v>2.25102911976952</c:v>
                </c:pt>
                <c:pt idx="40">
                  <c:v>2.25256631109894</c:v>
                </c:pt>
                <c:pt idx="41">
                  <c:v>2.22587920281045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'Index comparison'!$A$45:$A$45</c:f>
              <c:strCache>
                <c:ptCount val="1"/>
                <c:pt idx="0">
                  <c:v>MI wo. MBI10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comparison'!$B$45:$AQ$45</c:f>
              <c:numCache>
                <c:formatCode>General</c:formatCode>
                <c:ptCount val="42"/>
                <c:pt idx="0">
                  <c:v>1.66264802481844</c:v>
                </c:pt>
                <c:pt idx="1">
                  <c:v>1.70369475618977</c:v>
                </c:pt>
                <c:pt idx="2">
                  <c:v>1.70485164510511</c:v>
                </c:pt>
                <c:pt idx="3">
                  <c:v>1.67271707606584</c:v>
                </c:pt>
                <c:pt idx="4">
                  <c:v>1.63814724232571</c:v>
                </c:pt>
                <c:pt idx="5">
                  <c:v>1.54734536673753</c:v>
                </c:pt>
                <c:pt idx="6">
                  <c:v>1.48827270373466</c:v>
                </c:pt>
                <c:pt idx="7">
                  <c:v>1.4643975945896</c:v>
                </c:pt>
                <c:pt idx="8">
                  <c:v>2.2482687967328</c:v>
                </c:pt>
                <c:pt idx="9">
                  <c:v>2.20883692582357</c:v>
                </c:pt>
                <c:pt idx="10">
                  <c:v>2.3858351684771</c:v>
                </c:pt>
                <c:pt idx="11">
                  <c:v>2.38466905440069</c:v>
                </c:pt>
                <c:pt idx="12">
                  <c:v>2.40620057783454</c:v>
                </c:pt>
                <c:pt idx="13">
                  <c:v>2.54985514125006</c:v>
                </c:pt>
                <c:pt idx="14">
                  <c:v>2.26569423137739</c:v>
                </c:pt>
                <c:pt idx="15">
                  <c:v>2.42759690852039</c:v>
                </c:pt>
                <c:pt idx="16">
                  <c:v>2.22978339979726</c:v>
                </c:pt>
                <c:pt idx="17">
                  <c:v>2.26665750581765</c:v>
                </c:pt>
                <c:pt idx="18">
                  <c:v>2.21518089253041</c:v>
                </c:pt>
                <c:pt idx="19">
                  <c:v>2.41958471345673</c:v>
                </c:pt>
                <c:pt idx="20">
                  <c:v>2.33540565694107</c:v>
                </c:pt>
                <c:pt idx="21">
                  <c:v>1.93279006201128</c:v>
                </c:pt>
                <c:pt idx="22">
                  <c:v>2.04201348904542</c:v>
                </c:pt>
                <c:pt idx="23">
                  <c:v>2.09052981893556</c:v>
                </c:pt>
                <c:pt idx="24">
                  <c:v>1.9915254798419</c:v>
                </c:pt>
                <c:pt idx="25">
                  <c:v>2.01658399023825</c:v>
                </c:pt>
                <c:pt idx="26">
                  <c:v>1.94112270094441</c:v>
                </c:pt>
                <c:pt idx="27">
                  <c:v>1.83034570051162</c:v>
                </c:pt>
                <c:pt idx="28">
                  <c:v>1.57906681595801</c:v>
                </c:pt>
                <c:pt idx="29">
                  <c:v>1.49679046335344</c:v>
                </c:pt>
                <c:pt idx="30">
                  <c:v>1.45791479911221</c:v>
                </c:pt>
                <c:pt idx="31">
                  <c:v>1.36557533351487</c:v>
                </c:pt>
                <c:pt idx="32">
                  <c:v>1.34880234703935</c:v>
                </c:pt>
                <c:pt idx="33">
                  <c:v>1.63407373420414</c:v>
                </c:pt>
                <c:pt idx="34">
                  <c:v>1.6485662171878</c:v>
                </c:pt>
                <c:pt idx="35">
                  <c:v>1.5782364291747</c:v>
                </c:pt>
                <c:pt idx="36">
                  <c:v>1.51142417949851</c:v>
                </c:pt>
                <c:pt idx="37">
                  <c:v>1.46375875886941</c:v>
                </c:pt>
                <c:pt idx="38">
                  <c:v>1.18738833658215</c:v>
                </c:pt>
                <c:pt idx="39">
                  <c:v>1.13793192022247</c:v>
                </c:pt>
                <c:pt idx="40">
                  <c:v>1.11527571693902</c:v>
                </c:pt>
                <c:pt idx="41">
                  <c:v>1.09487021965438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'Index comparison'!$A$46:$A$46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prstDash val="lgDash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comparison'!$B$46:$AQ$46</c:f>
              <c:numCache>
                <c:formatCode>General</c:formatCode>
                <c:ptCount val="42"/>
                <c:pt idx="0">
                  <c:v>3.41100483419477</c:v>
                </c:pt>
                <c:pt idx="1">
                  <c:v>3.35316946170683</c:v>
                </c:pt>
                <c:pt idx="2">
                  <c:v>3.43985839554956</c:v>
                </c:pt>
                <c:pt idx="3">
                  <c:v>3.35193712520104</c:v>
                </c:pt>
                <c:pt idx="4">
                  <c:v>3.16357367465541</c:v>
                </c:pt>
                <c:pt idx="5">
                  <c:v>3.02420467872458</c:v>
                </c:pt>
                <c:pt idx="6">
                  <c:v>3.06994706876197</c:v>
                </c:pt>
                <c:pt idx="7">
                  <c:v>3.16196485984215</c:v>
                </c:pt>
                <c:pt idx="8">
                  <c:v>2.83719975611002</c:v>
                </c:pt>
                <c:pt idx="9">
                  <c:v>2.90208394310368</c:v>
                </c:pt>
                <c:pt idx="10">
                  <c:v>2.84414839760556</c:v>
                </c:pt>
                <c:pt idx="11">
                  <c:v>2.83997944249815</c:v>
                </c:pt>
                <c:pt idx="12">
                  <c:v>2.82561446198327</c:v>
                </c:pt>
                <c:pt idx="13">
                  <c:v>2.81397147213368</c:v>
                </c:pt>
                <c:pt idx="14">
                  <c:v>3.00067384271635</c:v>
                </c:pt>
                <c:pt idx="15">
                  <c:v>2.92269024444587</c:v>
                </c:pt>
                <c:pt idx="16">
                  <c:v>2.78855684333838</c:v>
                </c:pt>
                <c:pt idx="17">
                  <c:v>2.8752472499258</c:v>
                </c:pt>
                <c:pt idx="18">
                  <c:v>2.9609750639902</c:v>
                </c:pt>
                <c:pt idx="19">
                  <c:v>3.44620381460587</c:v>
                </c:pt>
                <c:pt idx="20">
                  <c:v>3.40009255225479</c:v>
                </c:pt>
                <c:pt idx="21">
                  <c:v>3.20355400216624</c:v>
                </c:pt>
                <c:pt idx="22">
                  <c:v>3.39014712257116</c:v>
                </c:pt>
                <c:pt idx="23">
                  <c:v>3.28098575721173</c:v>
                </c:pt>
                <c:pt idx="24">
                  <c:v>3.08112598063057</c:v>
                </c:pt>
                <c:pt idx="25">
                  <c:v>3.19961834272372</c:v>
                </c:pt>
                <c:pt idx="26">
                  <c:v>2.69386447532973</c:v>
                </c:pt>
                <c:pt idx="27">
                  <c:v>2.40052936904376</c:v>
                </c:pt>
                <c:pt idx="28">
                  <c:v>2.2946635823456</c:v>
                </c:pt>
                <c:pt idx="29">
                  <c:v>2.23090524999159</c:v>
                </c:pt>
                <c:pt idx="30">
                  <c:v>2.25782668471148</c:v>
                </c:pt>
                <c:pt idx="31">
                  <c:v>2.12654520359881</c:v>
                </c:pt>
                <c:pt idx="32">
                  <c:v>1.90398827901601</c:v>
                </c:pt>
                <c:pt idx="33">
                  <c:v>2.34619426818168</c:v>
                </c:pt>
                <c:pt idx="34">
                  <c:v>2.24367638777609</c:v>
                </c:pt>
                <c:pt idx="35">
                  <c:v>2.11884412104915</c:v>
                </c:pt>
                <c:pt idx="36">
                  <c:v>2.05844976045032</c:v>
                </c:pt>
                <c:pt idx="37">
                  <c:v>1.96906547445777</c:v>
                </c:pt>
                <c:pt idx="38">
                  <c:v>2.02875736889588</c:v>
                </c:pt>
                <c:pt idx="39">
                  <c:v>1.97303892785087</c:v>
                </c:pt>
                <c:pt idx="40">
                  <c:v>1.95505707287029</c:v>
                </c:pt>
                <c:pt idx="41">
                  <c:v>1.93378263251719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8830666"/>
        <c:axId val="70929786"/>
      </c:lineChart>
      <c:catAx>
        <c:axId val="98830666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0929786"/>
        <c:crossesAt val="0"/>
        <c:auto val="1"/>
        <c:lblAlgn val="ctr"/>
        <c:lblOffset val="100"/>
        <c:noMultiLvlLbl val="0"/>
      </c:catAx>
      <c:valAx>
        <c:axId val="70929786"/>
        <c:scaling>
          <c:orientation val="minMax"/>
          <c:min val="1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8830666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0215296032044061"/>
          <c:y val="0"/>
          <c:w val="0.922455876830642"/>
          <c:h val="0.201792233654165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599799279768581"/>
          <c:y val="0.174050822122571"/>
          <c:w val="0.871480016529901"/>
          <c:h val="0.707503736920777"/>
        </c:manualLayout>
      </c:layout>
      <c:lineChart>
        <c:grouping val="standard"/>
        <c:varyColors val="0"/>
        <c:ser>
          <c:idx val="0"/>
          <c:order val="0"/>
          <c:tx>
            <c:strRef>
              <c:f>'Index comparison'!$A$49:$A$49</c:f>
              <c:strCache>
                <c:ptCount val="1"/>
                <c:pt idx="0">
                  <c:v>MI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comparison'!$B$49:$AQ$49</c:f>
              <c:numCache>
                <c:formatCode>General</c:formatCode>
                <c:ptCount val="42"/>
                <c:pt idx="0">
                  <c:v>13.4446347177689</c:v>
                </c:pt>
                <c:pt idx="1">
                  <c:v>13.1255691299823</c:v>
                </c:pt>
                <c:pt idx="2">
                  <c:v>13.312503480709</c:v>
                </c:pt>
                <c:pt idx="3">
                  <c:v>13.0008790490414</c:v>
                </c:pt>
                <c:pt idx="4">
                  <c:v>12.3425391064955</c:v>
                </c:pt>
                <c:pt idx="5">
                  <c:v>15.3467466887646</c:v>
                </c:pt>
                <c:pt idx="6">
                  <c:v>15.9615599291459</c:v>
                </c:pt>
                <c:pt idx="7">
                  <c:v>17.0474658547392</c:v>
                </c:pt>
                <c:pt idx="8">
                  <c:v>15.4325313258286</c:v>
                </c:pt>
                <c:pt idx="9">
                  <c:v>15.3475046819328</c:v>
                </c:pt>
                <c:pt idx="10">
                  <c:v>15.049080048873</c:v>
                </c:pt>
                <c:pt idx="11">
                  <c:v>14.9996889096135</c:v>
                </c:pt>
                <c:pt idx="12">
                  <c:v>14.8938575824692</c:v>
                </c:pt>
                <c:pt idx="13">
                  <c:v>15.012568307844</c:v>
                </c:pt>
                <c:pt idx="14">
                  <c:v>13.7895879122224</c:v>
                </c:pt>
                <c:pt idx="15">
                  <c:v>13.1914262532002</c:v>
                </c:pt>
                <c:pt idx="16">
                  <c:v>12.7620117257484</c:v>
                </c:pt>
                <c:pt idx="17">
                  <c:v>13.1208615131312</c:v>
                </c:pt>
                <c:pt idx="18">
                  <c:v>13.3075100875103</c:v>
                </c:pt>
                <c:pt idx="19">
                  <c:v>14.4442304738182</c:v>
                </c:pt>
                <c:pt idx="20">
                  <c:v>14.4085277514885</c:v>
                </c:pt>
                <c:pt idx="21">
                  <c:v>13.9945330120705</c:v>
                </c:pt>
                <c:pt idx="22">
                  <c:v>14.9601198570474</c:v>
                </c:pt>
                <c:pt idx="23">
                  <c:v>14.3389474490102</c:v>
                </c:pt>
                <c:pt idx="24">
                  <c:v>13.8362362642275</c:v>
                </c:pt>
                <c:pt idx="25">
                  <c:v>14.2098537485721</c:v>
                </c:pt>
                <c:pt idx="26">
                  <c:v>13.6370205429893</c:v>
                </c:pt>
                <c:pt idx="27">
                  <c:v>16.9219519342683</c:v>
                </c:pt>
                <c:pt idx="28">
                  <c:v>15.1188230400408</c:v>
                </c:pt>
                <c:pt idx="29">
                  <c:v>14.8170769147709</c:v>
                </c:pt>
                <c:pt idx="30">
                  <c:v>14.7813901674405</c:v>
                </c:pt>
                <c:pt idx="31">
                  <c:v>15.9566004641669</c:v>
                </c:pt>
                <c:pt idx="32">
                  <c:v>10.6664245059884</c:v>
                </c:pt>
                <c:pt idx="33">
                  <c:v>13.4628869268763</c:v>
                </c:pt>
                <c:pt idx="34">
                  <c:v>13.453472403096</c:v>
                </c:pt>
                <c:pt idx="35">
                  <c:v>13.8912664985457</c:v>
                </c:pt>
                <c:pt idx="36">
                  <c:v>10.4107118546193</c:v>
                </c:pt>
                <c:pt idx="37">
                  <c:v>9.94662136533277</c:v>
                </c:pt>
                <c:pt idx="38">
                  <c:v>12.0907991517668</c:v>
                </c:pt>
                <c:pt idx="39">
                  <c:v>11.4693445199659</c:v>
                </c:pt>
                <c:pt idx="40">
                  <c:v>12.834628517505</c:v>
                </c:pt>
                <c:pt idx="41">
                  <c:v>12.3309173878836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'Index comparison'!$A$50:$A$50</c:f>
              <c:strCache>
                <c:ptCount val="1"/>
                <c:pt idx="0">
                  <c:v>60th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comparison'!$B$50:$AQ$50</c:f>
              <c:numCache>
                <c:formatCode>General</c:formatCode>
                <c:ptCount val="42"/>
                <c:pt idx="0">
                  <c:v>13.2266851238441</c:v>
                </c:pt>
                <c:pt idx="1">
                  <c:v>12.9079159713408</c:v>
                </c:pt>
                <c:pt idx="2">
                  <c:v>13.1200409297261</c:v>
                </c:pt>
                <c:pt idx="3">
                  <c:v>12.7929907146852</c:v>
                </c:pt>
                <c:pt idx="4">
                  <c:v>12.239685716244</c:v>
                </c:pt>
                <c:pt idx="5">
                  <c:v>14.912323670567</c:v>
                </c:pt>
                <c:pt idx="6">
                  <c:v>15.0944074176208</c:v>
                </c:pt>
                <c:pt idx="7">
                  <c:v>16.2162340095878</c:v>
                </c:pt>
                <c:pt idx="8">
                  <c:v>14.6143598926529</c:v>
                </c:pt>
                <c:pt idx="9">
                  <c:v>14.5893244460908</c:v>
                </c:pt>
                <c:pt idx="10">
                  <c:v>14.2471535408698</c:v>
                </c:pt>
                <c:pt idx="11">
                  <c:v>14.2274180428325</c:v>
                </c:pt>
                <c:pt idx="12">
                  <c:v>14.1548618769434</c:v>
                </c:pt>
                <c:pt idx="13">
                  <c:v>14.2294812239432</c:v>
                </c:pt>
                <c:pt idx="14">
                  <c:v>13.1213488452823</c:v>
                </c:pt>
                <c:pt idx="15">
                  <c:v>12.4780575093396</c:v>
                </c:pt>
                <c:pt idx="16">
                  <c:v>12.9923039817266</c:v>
                </c:pt>
                <c:pt idx="17">
                  <c:v>13.3853693737293</c:v>
                </c:pt>
                <c:pt idx="18">
                  <c:v>13.5697313762593</c:v>
                </c:pt>
                <c:pt idx="19">
                  <c:v>13.5866849467508</c:v>
                </c:pt>
                <c:pt idx="20">
                  <c:v>13.5714606991312</c:v>
                </c:pt>
                <c:pt idx="21">
                  <c:v>12.9735571868008</c:v>
                </c:pt>
                <c:pt idx="22">
                  <c:v>14.0703923859474</c:v>
                </c:pt>
                <c:pt idx="23">
                  <c:v>13.3495424691373</c:v>
                </c:pt>
                <c:pt idx="24">
                  <c:v>12.6570459157348</c:v>
                </c:pt>
                <c:pt idx="25">
                  <c:v>13.0892985398545</c:v>
                </c:pt>
                <c:pt idx="26">
                  <c:v>12.2177998974935</c:v>
                </c:pt>
                <c:pt idx="27">
                  <c:v>12.4317225831692</c:v>
                </c:pt>
                <c:pt idx="28">
                  <c:v>11.9409647141842</c:v>
                </c:pt>
                <c:pt idx="29">
                  <c:v>11.7456431246703</c:v>
                </c:pt>
                <c:pt idx="30">
                  <c:v>11.8674426747935</c:v>
                </c:pt>
                <c:pt idx="31">
                  <c:v>11.3581054874155</c:v>
                </c:pt>
                <c:pt idx="32">
                  <c:v>9.78259653926788</c:v>
                </c:pt>
                <c:pt idx="33">
                  <c:v>11.9341331285539</c:v>
                </c:pt>
                <c:pt idx="34">
                  <c:v>11.5000564945153</c:v>
                </c:pt>
                <c:pt idx="35">
                  <c:v>11.0048864449938</c:v>
                </c:pt>
                <c:pt idx="36">
                  <c:v>10.6290768945241</c:v>
                </c:pt>
                <c:pt idx="37">
                  <c:v>10.1024509882575</c:v>
                </c:pt>
                <c:pt idx="38">
                  <c:v>12.8466169062567</c:v>
                </c:pt>
                <c:pt idx="39">
                  <c:v>12.4398767783431</c:v>
                </c:pt>
                <c:pt idx="40">
                  <c:v>15.0430615027486</c:v>
                </c:pt>
                <c:pt idx="41">
                  <c:v>14.517044347009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'Index comparison'!$A$51:$A$51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comparison'!$B$51:$AQ$51</c:f>
              <c:numCache>
                <c:formatCode>General</c:formatCode>
                <c:ptCount val="42"/>
                <c:pt idx="0">
                  <c:v>10.979912560715</c:v>
                </c:pt>
                <c:pt idx="1">
                  <c:v>10.9259305762858</c:v>
                </c:pt>
                <c:pt idx="2">
                  <c:v>11.2492980067504</c:v>
                </c:pt>
                <c:pt idx="3">
                  <c:v>11.1160965215583</c:v>
                </c:pt>
                <c:pt idx="4">
                  <c:v>10.2897765788754</c:v>
                </c:pt>
                <c:pt idx="5">
                  <c:v>10.7586472739172</c:v>
                </c:pt>
                <c:pt idx="6">
                  <c:v>10.7938835052226</c:v>
                </c:pt>
                <c:pt idx="7">
                  <c:v>13.2080752307503</c:v>
                </c:pt>
                <c:pt idx="8">
                  <c:v>11.7443577707515</c:v>
                </c:pt>
                <c:pt idx="9">
                  <c:v>10.9332589005114</c:v>
                </c:pt>
                <c:pt idx="10">
                  <c:v>10.7967371776956</c:v>
                </c:pt>
                <c:pt idx="11">
                  <c:v>10.6783660860677</c:v>
                </c:pt>
                <c:pt idx="12">
                  <c:v>10.6190150026594</c:v>
                </c:pt>
                <c:pt idx="13">
                  <c:v>10.4713266977987</c:v>
                </c:pt>
                <c:pt idx="14">
                  <c:v>10.7522936850691</c:v>
                </c:pt>
                <c:pt idx="15">
                  <c:v>10.041023973789</c:v>
                </c:pt>
                <c:pt idx="16">
                  <c:v>9.59019949495129</c:v>
                </c:pt>
                <c:pt idx="17">
                  <c:v>9.79719879341462</c:v>
                </c:pt>
                <c:pt idx="18">
                  <c:v>10.3994793000643</c:v>
                </c:pt>
                <c:pt idx="19">
                  <c:v>13.1399620831801</c:v>
                </c:pt>
                <c:pt idx="20">
                  <c:v>13.4138185856514</c:v>
                </c:pt>
                <c:pt idx="21">
                  <c:v>12.7296545880278</c:v>
                </c:pt>
                <c:pt idx="22">
                  <c:v>13.6733322570323</c:v>
                </c:pt>
                <c:pt idx="23">
                  <c:v>13.1323984935378</c:v>
                </c:pt>
                <c:pt idx="24">
                  <c:v>12.1666420043771</c:v>
                </c:pt>
                <c:pt idx="25">
                  <c:v>12.4081579406793</c:v>
                </c:pt>
                <c:pt idx="26">
                  <c:v>10.6675639032395</c:v>
                </c:pt>
                <c:pt idx="27">
                  <c:v>10.2789476881087</c:v>
                </c:pt>
                <c:pt idx="28">
                  <c:v>9.65083751118177</c:v>
                </c:pt>
                <c:pt idx="29">
                  <c:v>9.34240765910547</c:v>
                </c:pt>
                <c:pt idx="30">
                  <c:v>9.273901531415</c:v>
                </c:pt>
                <c:pt idx="31">
                  <c:v>8.29649537469885</c:v>
                </c:pt>
                <c:pt idx="32">
                  <c:v>6.94032604335478</c:v>
                </c:pt>
                <c:pt idx="33">
                  <c:v>8.5564972696614</c:v>
                </c:pt>
                <c:pt idx="34">
                  <c:v>7.8667560739621</c:v>
                </c:pt>
                <c:pt idx="35">
                  <c:v>7.01466412171822</c:v>
                </c:pt>
                <c:pt idx="36">
                  <c:v>6.71927565177335</c:v>
                </c:pt>
                <c:pt idx="37">
                  <c:v>6.44306728768249</c:v>
                </c:pt>
                <c:pt idx="38">
                  <c:v>9.13117640350449</c:v>
                </c:pt>
                <c:pt idx="39">
                  <c:v>8.35328709924271</c:v>
                </c:pt>
                <c:pt idx="40">
                  <c:v>8.72954748012706</c:v>
                </c:pt>
                <c:pt idx="41">
                  <c:v>8.55231604370964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'Index comparison'!$A$52:$A$52</c:f>
              <c:strCache>
                <c:ptCount val="1"/>
                <c:pt idx="0">
                  <c:v>Heavy Ind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comparison'!$B$52:$AQ$52</c:f>
              <c:numCache>
                <c:formatCode>General</c:formatCode>
                <c:ptCount val="42"/>
                <c:pt idx="0">
                  <c:v>13.2712998017265</c:v>
                </c:pt>
                <c:pt idx="1">
                  <c:v>12.4801739110007</c:v>
                </c:pt>
                <c:pt idx="2">
                  <c:v>12.587841937324</c:v>
                </c:pt>
                <c:pt idx="3">
                  <c:v>12.1072603336096</c:v>
                </c:pt>
                <c:pt idx="4">
                  <c:v>11.4121898561253</c:v>
                </c:pt>
                <c:pt idx="5">
                  <c:v>19.3076764265206</c:v>
                </c:pt>
                <c:pt idx="6">
                  <c:v>17.6390475479877</c:v>
                </c:pt>
                <c:pt idx="7">
                  <c:v>17.4052497433576</c:v>
                </c:pt>
                <c:pt idx="8">
                  <c:v>14.8536629250375</c:v>
                </c:pt>
                <c:pt idx="9">
                  <c:v>14.1194825628198</c:v>
                </c:pt>
                <c:pt idx="10">
                  <c:v>13.8587776053029</c:v>
                </c:pt>
                <c:pt idx="11">
                  <c:v>13.8229897273625</c:v>
                </c:pt>
                <c:pt idx="12">
                  <c:v>13.9470980690642</c:v>
                </c:pt>
                <c:pt idx="13">
                  <c:v>14.9410969918325</c:v>
                </c:pt>
                <c:pt idx="14">
                  <c:v>8.6590540424013</c:v>
                </c:pt>
                <c:pt idx="15">
                  <c:v>8.40588532099461</c:v>
                </c:pt>
                <c:pt idx="16">
                  <c:v>8.09488984659232</c:v>
                </c:pt>
                <c:pt idx="17">
                  <c:v>7.99525566494571</c:v>
                </c:pt>
                <c:pt idx="18">
                  <c:v>7.92957343714524</c:v>
                </c:pt>
                <c:pt idx="19">
                  <c:v>7.79886021972729</c:v>
                </c:pt>
                <c:pt idx="20">
                  <c:v>7.44924769731534</c:v>
                </c:pt>
                <c:pt idx="21">
                  <c:v>8.01750251455298</c:v>
                </c:pt>
                <c:pt idx="22">
                  <c:v>8.60568689951939</c:v>
                </c:pt>
                <c:pt idx="23">
                  <c:v>8.95892789373678</c:v>
                </c:pt>
                <c:pt idx="24">
                  <c:v>8.74204218666204</c:v>
                </c:pt>
                <c:pt idx="25">
                  <c:v>8.96789881812228</c:v>
                </c:pt>
                <c:pt idx="26">
                  <c:v>9.02391619089338</c:v>
                </c:pt>
                <c:pt idx="27">
                  <c:v>9.58275326916736</c:v>
                </c:pt>
                <c:pt idx="28">
                  <c:v>9.6099108947676</c:v>
                </c:pt>
                <c:pt idx="29">
                  <c:v>9.9999950144881</c:v>
                </c:pt>
                <c:pt idx="30">
                  <c:v>10.0747669908484</c:v>
                </c:pt>
                <c:pt idx="31">
                  <c:v>19.6113521955396</c:v>
                </c:pt>
                <c:pt idx="32">
                  <c:v>9.24148455017905</c:v>
                </c:pt>
                <c:pt idx="33">
                  <c:v>12.0350247038855</c:v>
                </c:pt>
                <c:pt idx="34">
                  <c:v>12.0447631643742</c:v>
                </c:pt>
                <c:pt idx="35">
                  <c:v>17.7492055003301</c:v>
                </c:pt>
                <c:pt idx="36">
                  <c:v>-0.185602973017331</c:v>
                </c:pt>
                <c:pt idx="37">
                  <c:v>0.252402893189133</c:v>
                </c:pt>
                <c:pt idx="38">
                  <c:v>0.826091634026438</c:v>
                </c:pt>
                <c:pt idx="39">
                  <c:v>0.306791913119185</c:v>
                </c:pt>
                <c:pt idx="40">
                  <c:v>6.15452571479732</c:v>
                </c:pt>
                <c:pt idx="41">
                  <c:v>4.75253999511001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'Index comparison'!$A$53:$A$53</c:f>
              <c:strCache>
                <c:ptCount val="1"/>
                <c:pt idx="0">
                  <c:v>Light Ind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comparison'!$B$53:$AQ$53</c:f>
              <c:numCache>
                <c:formatCode>General</c:formatCode>
                <c:ptCount val="42"/>
                <c:pt idx="0">
                  <c:v>17.5952355360503</c:v>
                </c:pt>
                <c:pt idx="1">
                  <c:v>16.1989958680391</c:v>
                </c:pt>
                <c:pt idx="2">
                  <c:v>16.2094523925289</c:v>
                </c:pt>
                <c:pt idx="3">
                  <c:v>14.1806799508685</c:v>
                </c:pt>
                <c:pt idx="4">
                  <c:v>13.7726657826189</c:v>
                </c:pt>
                <c:pt idx="5">
                  <c:v>16.8591066602771</c:v>
                </c:pt>
                <c:pt idx="6">
                  <c:v>18.8161191895038</c:v>
                </c:pt>
                <c:pt idx="7">
                  <c:v>17.6832394477706</c:v>
                </c:pt>
                <c:pt idx="8">
                  <c:v>16.7595278388059</c:v>
                </c:pt>
                <c:pt idx="9">
                  <c:v>16.1149896239383</c:v>
                </c:pt>
                <c:pt idx="10">
                  <c:v>16.349832023237</c:v>
                </c:pt>
                <c:pt idx="11">
                  <c:v>16.3730318457288</c:v>
                </c:pt>
                <c:pt idx="12">
                  <c:v>16.1074316390331</c:v>
                </c:pt>
                <c:pt idx="13">
                  <c:v>15.65071579901</c:v>
                </c:pt>
                <c:pt idx="14">
                  <c:v>14.8672405735658</c:v>
                </c:pt>
                <c:pt idx="15">
                  <c:v>15.1730843248403</c:v>
                </c:pt>
                <c:pt idx="16">
                  <c:v>15.2323348229062</c:v>
                </c:pt>
                <c:pt idx="17">
                  <c:v>15.7583028848866</c:v>
                </c:pt>
                <c:pt idx="18">
                  <c:v>15.3489197764261</c:v>
                </c:pt>
                <c:pt idx="19">
                  <c:v>21.2021194898581</c:v>
                </c:pt>
                <c:pt idx="20">
                  <c:v>20.1655432697968</c:v>
                </c:pt>
                <c:pt idx="21">
                  <c:v>19.5788774158442</c:v>
                </c:pt>
                <c:pt idx="22">
                  <c:v>21.3178288470796</c:v>
                </c:pt>
                <c:pt idx="23">
                  <c:v>19.94399711542</c:v>
                </c:pt>
                <c:pt idx="24">
                  <c:v>19.3516572870767</c:v>
                </c:pt>
                <c:pt idx="25">
                  <c:v>19.6655677931299</c:v>
                </c:pt>
                <c:pt idx="26">
                  <c:v>18.0259527132175</c:v>
                </c:pt>
                <c:pt idx="27">
                  <c:v>37.3609745802788</c:v>
                </c:pt>
                <c:pt idx="28">
                  <c:v>30.5595145794226</c:v>
                </c:pt>
                <c:pt idx="29">
                  <c:v>28.8895328092308</c:v>
                </c:pt>
                <c:pt idx="30">
                  <c:v>28.4610669889419</c:v>
                </c:pt>
                <c:pt idx="31">
                  <c:v>27.0746483912815</c:v>
                </c:pt>
                <c:pt idx="32">
                  <c:v>14.3009349721037</c:v>
                </c:pt>
                <c:pt idx="33">
                  <c:v>20.2245208236155</c:v>
                </c:pt>
                <c:pt idx="34">
                  <c:v>21.075430550084</c:v>
                </c:pt>
                <c:pt idx="35">
                  <c:v>20.6053253250488</c:v>
                </c:pt>
                <c:pt idx="36">
                  <c:v>19.4745844871551</c:v>
                </c:pt>
                <c:pt idx="37">
                  <c:v>16.5298814861305</c:v>
                </c:pt>
                <c:pt idx="38">
                  <c:v>20.8777744731436</c:v>
                </c:pt>
                <c:pt idx="39">
                  <c:v>20.9172458681813</c:v>
                </c:pt>
                <c:pt idx="40">
                  <c:v>20.2765204779458</c:v>
                </c:pt>
                <c:pt idx="41">
                  <c:v>19.8294336215708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'Index comparison'!$A$54:$A$54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comparison'!$B$54:$AQ$54</c:f>
              <c:numCache>
                <c:formatCode>General</c:formatCode>
                <c:ptCount val="42"/>
                <c:pt idx="0">
                  <c:v>16.5694807316119</c:v>
                </c:pt>
                <c:pt idx="1">
                  <c:v>16.4936439581965</c:v>
                </c:pt>
                <c:pt idx="2">
                  <c:v>16.5867586290964</c:v>
                </c:pt>
                <c:pt idx="3">
                  <c:v>16.9554251225989</c:v>
                </c:pt>
                <c:pt idx="4">
                  <c:v>16.3451264881278</c:v>
                </c:pt>
                <c:pt idx="5">
                  <c:v>20.9554919131757</c:v>
                </c:pt>
                <c:pt idx="6">
                  <c:v>23.2213170438911</c:v>
                </c:pt>
                <c:pt idx="7">
                  <c:v>23.1299054037371</c:v>
                </c:pt>
                <c:pt idx="8">
                  <c:v>21.252719930603</c:v>
                </c:pt>
                <c:pt idx="9">
                  <c:v>22.0464017603299</c:v>
                </c:pt>
                <c:pt idx="10">
                  <c:v>21.6854918865067</c:v>
                </c:pt>
                <c:pt idx="11">
                  <c:v>21.6860500861127</c:v>
                </c:pt>
                <c:pt idx="12">
                  <c:v>21.3894507320607</c:v>
                </c:pt>
                <c:pt idx="13">
                  <c:v>21.3730322298697</c:v>
                </c:pt>
                <c:pt idx="14">
                  <c:v>20.9584485657015</c:v>
                </c:pt>
                <c:pt idx="15">
                  <c:v>19.825692499811</c:v>
                </c:pt>
                <c:pt idx="16">
                  <c:v>19.2288758188019</c:v>
                </c:pt>
                <c:pt idx="17">
                  <c:v>19.8676341124171</c:v>
                </c:pt>
                <c:pt idx="18">
                  <c:v>20.1959909103674</c:v>
                </c:pt>
                <c:pt idx="19">
                  <c:v>16.902688930467</c:v>
                </c:pt>
                <c:pt idx="20">
                  <c:v>17.1072232509606</c:v>
                </c:pt>
                <c:pt idx="21">
                  <c:v>16.7018884860075</c:v>
                </c:pt>
                <c:pt idx="22">
                  <c:v>17.2417298814575</c:v>
                </c:pt>
                <c:pt idx="23">
                  <c:v>16.0541117263433</c:v>
                </c:pt>
                <c:pt idx="24">
                  <c:v>16.2116213224992</c:v>
                </c:pt>
                <c:pt idx="25">
                  <c:v>16.709117555084</c:v>
                </c:pt>
                <c:pt idx="26">
                  <c:v>17.8505873302604</c:v>
                </c:pt>
                <c:pt idx="27">
                  <c:v>17.1174044700523</c:v>
                </c:pt>
                <c:pt idx="28">
                  <c:v>16.1540140050645</c:v>
                </c:pt>
                <c:pt idx="29">
                  <c:v>16.4677698791543</c:v>
                </c:pt>
                <c:pt idx="30">
                  <c:v>16.5984030837394</c:v>
                </c:pt>
                <c:pt idx="31">
                  <c:v>16.9338576331713</c:v>
                </c:pt>
                <c:pt idx="32">
                  <c:v>14.5593734432056</c:v>
                </c:pt>
                <c:pt idx="33">
                  <c:v>17.317302309537</c:v>
                </c:pt>
                <c:pt idx="34">
                  <c:v>17.341186557665</c:v>
                </c:pt>
                <c:pt idx="35">
                  <c:v>16.9318715483606</c:v>
                </c:pt>
                <c:pt idx="36">
                  <c:v>16.6897380499021</c:v>
                </c:pt>
                <c:pt idx="37">
                  <c:v>16.627709937987</c:v>
                </c:pt>
                <c:pt idx="38">
                  <c:v>18.3905764813956</c:v>
                </c:pt>
                <c:pt idx="39">
                  <c:v>17.5675152290321</c:v>
                </c:pt>
                <c:pt idx="40">
                  <c:v>18.8416975805821</c:v>
                </c:pt>
                <c:pt idx="41">
                  <c:v>18.3957796317349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'Index comparison'!$A$56:$A$56</c:f>
              <c:strCache>
                <c:ptCount val="1"/>
                <c:pt idx="0">
                  <c:v>MBI10 (cap)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comparison'!$B$56:$AQ$56</c:f>
              <c:numCache>
                <c:formatCode>General</c:formatCode>
                <c:ptCount val="42"/>
                <c:pt idx="0">
                  <c:v>13.9731275840474</c:v>
                </c:pt>
                <c:pt idx="1">
                  <c:v>13.702646825726</c:v>
                </c:pt>
                <c:pt idx="2">
                  <c:v>13.9007114479505</c:v>
                </c:pt>
                <c:pt idx="3">
                  <c:v>13.6721477387329</c:v>
                </c:pt>
                <c:pt idx="4">
                  <c:v>13.020766971037</c:v>
                </c:pt>
                <c:pt idx="5">
                  <c:v>15.6019163904311</c:v>
                </c:pt>
                <c:pt idx="6">
                  <c:v>16.4760739006858</c:v>
                </c:pt>
                <c:pt idx="7">
                  <c:v>17.8640681895361</c:v>
                </c:pt>
                <c:pt idx="8">
                  <c:v>16.2179790707474</c:v>
                </c:pt>
                <c:pt idx="9">
                  <c:v>16.0494539686357</c:v>
                </c:pt>
                <c:pt idx="10">
                  <c:v>15.7621896617963</c:v>
                </c:pt>
                <c:pt idx="11">
                  <c:v>15.74262903789</c:v>
                </c:pt>
                <c:pt idx="12">
                  <c:v>15.6617509723286</c:v>
                </c:pt>
                <c:pt idx="13">
                  <c:v>15.6965165991022</c:v>
                </c:pt>
                <c:pt idx="14">
                  <c:v>15.0177465712211</c:v>
                </c:pt>
                <c:pt idx="15">
                  <c:v>14.2893730436417</c:v>
                </c:pt>
                <c:pt idx="16">
                  <c:v>13.7501282274538</c:v>
                </c:pt>
                <c:pt idx="17">
                  <c:v>14.1282204961544</c:v>
                </c:pt>
                <c:pt idx="18">
                  <c:v>14.5328481507771</c:v>
                </c:pt>
                <c:pt idx="19">
                  <c:v>15.3475901616402</c:v>
                </c:pt>
                <c:pt idx="20">
                  <c:v>15.2450924044054</c:v>
                </c:pt>
                <c:pt idx="21">
                  <c:v>14.6193502398816</c:v>
                </c:pt>
                <c:pt idx="22">
                  <c:v>15.7110212895607</c:v>
                </c:pt>
                <c:pt idx="23">
                  <c:v>14.7309722422683</c:v>
                </c:pt>
                <c:pt idx="24">
                  <c:v>14.02679595313</c:v>
                </c:pt>
                <c:pt idx="25">
                  <c:v>14.4389611916896</c:v>
                </c:pt>
                <c:pt idx="26">
                  <c:v>13.403751747156</c:v>
                </c:pt>
                <c:pt idx="27">
                  <c:v>13.6547857202627</c:v>
                </c:pt>
                <c:pt idx="28">
                  <c:v>12.9235172400575</c:v>
                </c:pt>
                <c:pt idx="29">
                  <c:v>12.8603885462457</c:v>
                </c:pt>
                <c:pt idx="30">
                  <c:v>12.9747665970344</c:v>
                </c:pt>
                <c:pt idx="31">
                  <c:v>12.4560429771618</c:v>
                </c:pt>
                <c:pt idx="32">
                  <c:v>11.2088879027373</c:v>
                </c:pt>
                <c:pt idx="33">
                  <c:v>13.9664065909617</c:v>
                </c:pt>
                <c:pt idx="34">
                  <c:v>13.6310256191578</c:v>
                </c:pt>
                <c:pt idx="35">
                  <c:v>12.9767257055422</c:v>
                </c:pt>
                <c:pt idx="36">
                  <c:v>12.6770414520139</c:v>
                </c:pt>
                <c:pt idx="37">
                  <c:v>11.9421971242142</c:v>
                </c:pt>
                <c:pt idx="38">
                  <c:v>13.929940526912</c:v>
                </c:pt>
                <c:pt idx="39">
                  <c:v>13.5624125441883</c:v>
                </c:pt>
                <c:pt idx="40">
                  <c:v>13.7701649956039</c:v>
                </c:pt>
                <c:pt idx="41">
                  <c:v>13.5016382247224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'Index comparison'!$A$57:$A$57</c:f>
              <c:strCache>
                <c:ptCount val="1"/>
                <c:pt idx="0">
                  <c:v>MI wo. MBI10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comparison'!$B$57:$AQ$57</c:f>
              <c:numCache>
                <c:formatCode>General</c:formatCode>
                <c:ptCount val="42"/>
                <c:pt idx="0">
                  <c:v>10.7542520996886</c:v>
                </c:pt>
                <c:pt idx="1">
                  <c:v>10.3493795552631</c:v>
                </c:pt>
                <c:pt idx="2">
                  <c:v>10.3532811135733</c:v>
                </c:pt>
                <c:pt idx="3">
                  <c:v>9.71099656437424</c:v>
                </c:pt>
                <c:pt idx="4">
                  <c:v>9.16424901829895</c:v>
                </c:pt>
                <c:pt idx="5">
                  <c:v>10.4757764597483</c:v>
                </c:pt>
                <c:pt idx="6">
                  <c:v>10.1097663228646</c:v>
                </c:pt>
                <c:pt idx="7">
                  <c:v>9.87524616417291</c:v>
                </c:pt>
                <c:pt idx="8">
                  <c:v>9.39519615460312</c:v>
                </c:pt>
                <c:pt idx="9">
                  <c:v>9.78921391347306</c:v>
                </c:pt>
                <c:pt idx="10">
                  <c:v>9.6417654304012</c:v>
                </c:pt>
                <c:pt idx="11">
                  <c:v>9.63739722188656</c:v>
                </c:pt>
                <c:pt idx="12">
                  <c:v>9.42149888526118</c:v>
                </c:pt>
                <c:pt idx="13">
                  <c:v>9.66548738308445</c:v>
                </c:pt>
                <c:pt idx="14">
                  <c:v>7.93761658754875</c:v>
                </c:pt>
                <c:pt idx="15">
                  <c:v>8.08394421336338</c:v>
                </c:pt>
                <c:pt idx="16">
                  <c:v>8.17383318563859</c:v>
                </c:pt>
                <c:pt idx="17">
                  <c:v>8.31128041616853</c:v>
                </c:pt>
                <c:pt idx="18">
                  <c:v>8.08380017436744</c:v>
                </c:pt>
                <c:pt idx="19">
                  <c:v>10.910242815967</c:v>
                </c:pt>
                <c:pt idx="20">
                  <c:v>11.1502711388553</c:v>
                </c:pt>
                <c:pt idx="21">
                  <c:v>11.6439551188075</c:v>
                </c:pt>
                <c:pt idx="22">
                  <c:v>11.9426629035733</c:v>
                </c:pt>
                <c:pt idx="23">
                  <c:v>12.6223229146651</c:v>
                </c:pt>
                <c:pt idx="24">
                  <c:v>12.9682913977239</c:v>
                </c:pt>
                <c:pt idx="25">
                  <c:v>13.1601660209475</c:v>
                </c:pt>
                <c:pt idx="26">
                  <c:v>14.4022573572458</c:v>
                </c:pt>
                <c:pt idx="27">
                  <c:v>29.1654450972682</c:v>
                </c:pt>
                <c:pt idx="28">
                  <c:v>23.4355245644316</c:v>
                </c:pt>
                <c:pt idx="29">
                  <c:v>22.2381433422853</c:v>
                </c:pt>
                <c:pt idx="30">
                  <c:v>21.8465249174652</c:v>
                </c:pt>
                <c:pt idx="31">
                  <c:v>28.9041241594979</c:v>
                </c:pt>
                <c:pt idx="32">
                  <c:v>8.49063519750721</c:v>
                </c:pt>
                <c:pt idx="33">
                  <c:v>11.1542508580631</c:v>
                </c:pt>
                <c:pt idx="34">
                  <c:v>12.5245435745385</c:v>
                </c:pt>
                <c:pt idx="35">
                  <c:v>16.9557930672445</c:v>
                </c:pt>
                <c:pt idx="36">
                  <c:v>2.60802012078625</c:v>
                </c:pt>
                <c:pt idx="37">
                  <c:v>3.02174603446647</c:v>
                </c:pt>
                <c:pt idx="38">
                  <c:v>5.93459206528001</c:v>
                </c:pt>
                <c:pt idx="39">
                  <c:v>4.55558622275584</c:v>
                </c:pt>
                <c:pt idx="40">
                  <c:v>9.9164904677284</c:v>
                </c:pt>
                <c:pt idx="41">
                  <c:v>8.65553149028137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'Index comparison'!$A$58:$A$58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prstDash val="dash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comparison'!$B$58:$AQ$58</c:f>
              <c:numCache>
                <c:formatCode>General</c:formatCode>
                <c:ptCount val="42"/>
                <c:pt idx="0">
                  <c:v>13.4446347177689</c:v>
                </c:pt>
                <c:pt idx="1">
                  <c:v>13.1255691299823</c:v>
                </c:pt>
                <c:pt idx="2">
                  <c:v>13.312503480709</c:v>
                </c:pt>
                <c:pt idx="3">
                  <c:v>13.0008790490414</c:v>
                </c:pt>
                <c:pt idx="4">
                  <c:v>12.3425391064955</c:v>
                </c:pt>
                <c:pt idx="5">
                  <c:v>15.6019163904311</c:v>
                </c:pt>
                <c:pt idx="6">
                  <c:v>16.4760739006858</c:v>
                </c:pt>
                <c:pt idx="7">
                  <c:v>17.4052497433576</c:v>
                </c:pt>
                <c:pt idx="8">
                  <c:v>15.4325313258286</c:v>
                </c:pt>
                <c:pt idx="9">
                  <c:v>15.3475046819328</c:v>
                </c:pt>
                <c:pt idx="10">
                  <c:v>15.049080048873</c:v>
                </c:pt>
                <c:pt idx="11">
                  <c:v>14.9996889096135</c:v>
                </c:pt>
                <c:pt idx="12">
                  <c:v>14.8938575824692</c:v>
                </c:pt>
                <c:pt idx="13">
                  <c:v>15.012568307844</c:v>
                </c:pt>
                <c:pt idx="14">
                  <c:v>13.7895879122224</c:v>
                </c:pt>
                <c:pt idx="15">
                  <c:v>13.1914262532002</c:v>
                </c:pt>
                <c:pt idx="16">
                  <c:v>12.9923039817266</c:v>
                </c:pt>
                <c:pt idx="17">
                  <c:v>13.3853693737293</c:v>
                </c:pt>
                <c:pt idx="18">
                  <c:v>13.5697313762593</c:v>
                </c:pt>
                <c:pt idx="19">
                  <c:v>13.5866849467508</c:v>
                </c:pt>
                <c:pt idx="20">
                  <c:v>13.5714606991312</c:v>
                </c:pt>
                <c:pt idx="21">
                  <c:v>12.9735571868008</c:v>
                </c:pt>
                <c:pt idx="22">
                  <c:v>14.0703923859474</c:v>
                </c:pt>
                <c:pt idx="23">
                  <c:v>13.3495424691373</c:v>
                </c:pt>
                <c:pt idx="24">
                  <c:v>12.9682913977239</c:v>
                </c:pt>
                <c:pt idx="25">
                  <c:v>13.1601660209475</c:v>
                </c:pt>
                <c:pt idx="26">
                  <c:v>13.5203861450726</c:v>
                </c:pt>
                <c:pt idx="27">
                  <c:v>15.2883688272655</c:v>
                </c:pt>
                <c:pt idx="28">
                  <c:v>14.0211701400492</c:v>
                </c:pt>
                <c:pt idx="29">
                  <c:v>13.8387327305083</c:v>
                </c:pt>
                <c:pt idx="30">
                  <c:v>13.8780783822375</c:v>
                </c:pt>
                <c:pt idx="31">
                  <c:v>16.4452290486691</c:v>
                </c:pt>
                <c:pt idx="32">
                  <c:v>10.2245105226281</c:v>
                </c:pt>
                <c:pt idx="33">
                  <c:v>12.7489558153809</c:v>
                </c:pt>
                <c:pt idx="34">
                  <c:v>12.9890079888173</c:v>
                </c:pt>
                <c:pt idx="35">
                  <c:v>15.4115690234532</c:v>
                </c:pt>
                <c:pt idx="36">
                  <c:v>10.5198943745717</c:v>
                </c:pt>
                <c:pt idx="37">
                  <c:v>10.0245361767952</c:v>
                </c:pt>
                <c:pt idx="38">
                  <c:v>12.4687080290118</c:v>
                </c:pt>
                <c:pt idx="39">
                  <c:v>11.9546106491545</c:v>
                </c:pt>
                <c:pt idx="40">
                  <c:v>13.3023967565545</c:v>
                </c:pt>
                <c:pt idx="41">
                  <c:v>12.916277806303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3992642"/>
        <c:axId val="56723730"/>
      </c:lineChart>
      <c:catAx>
        <c:axId val="53992642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6723730"/>
        <c:crossesAt val="0"/>
        <c:auto val="1"/>
        <c:lblAlgn val="ctr"/>
        <c:lblOffset val="100"/>
        <c:noMultiLvlLbl val="0"/>
      </c:catAx>
      <c:valAx>
        <c:axId val="56723730"/>
        <c:scaling>
          <c:orientation val="minMax"/>
          <c:min val="0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3992642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0214850666981466"/>
          <c:y val="0"/>
          <c:w val="0.922495720441532"/>
          <c:h val="0.201769594069469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416199303382726"/>
          <c:y val="0.173991031390135"/>
          <c:w val="0.87142098116772"/>
          <c:h val="0.707384155455904"/>
        </c:manualLayout>
      </c:layout>
      <c:lineChart>
        <c:grouping val="standard"/>
        <c:varyColors val="0"/>
        <c:ser>
          <c:idx val="0"/>
          <c:order val="0"/>
          <c:tx>
            <c:strRef>
              <c:f>'Index comparison'!$A$61:$A$61</c:f>
              <c:strCache>
                <c:ptCount val="1"/>
                <c:pt idx="0">
                  <c:v>MI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comparison'!$B$61:$AQ$61</c:f>
              <c:numCache>
                <c:formatCode>General</c:formatCode>
                <c:ptCount val="42"/>
                <c:pt idx="0">
                  <c:v>2.07107269344295</c:v>
                </c:pt>
                <c:pt idx="1">
                  <c:v>2.03465994916789</c:v>
                </c:pt>
                <c:pt idx="2">
                  <c:v>2.07986907369008</c:v>
                </c:pt>
                <c:pt idx="3">
                  <c:v>2.0272676910063</c:v>
                </c:pt>
                <c:pt idx="4">
                  <c:v>1.9273676254651</c:v>
                </c:pt>
                <c:pt idx="5">
                  <c:v>1.84514645510707</c:v>
                </c:pt>
                <c:pt idx="6">
                  <c:v>1.86280492822422</c:v>
                </c:pt>
                <c:pt idx="7">
                  <c:v>1.82382481609467</c:v>
                </c:pt>
                <c:pt idx="8">
                  <c:v>1.64175328632947</c:v>
                </c:pt>
                <c:pt idx="9">
                  <c:v>1.6490956644759</c:v>
                </c:pt>
                <c:pt idx="10">
                  <c:v>1.60363527467629</c:v>
                </c:pt>
                <c:pt idx="11">
                  <c:v>1.60199999851588</c:v>
                </c:pt>
                <c:pt idx="12">
                  <c:v>1.59433568947989</c:v>
                </c:pt>
                <c:pt idx="13">
                  <c:v>1.58337744124283</c:v>
                </c:pt>
                <c:pt idx="14">
                  <c:v>1.67148364450347</c:v>
                </c:pt>
                <c:pt idx="15">
                  <c:v>1.62721648873266</c:v>
                </c:pt>
                <c:pt idx="16">
                  <c:v>1.56145283153819</c:v>
                </c:pt>
                <c:pt idx="17">
                  <c:v>1.62705879255403</c:v>
                </c:pt>
                <c:pt idx="18">
                  <c:v>1.67115218562232</c:v>
                </c:pt>
                <c:pt idx="19">
                  <c:v>1.83482802583748</c:v>
                </c:pt>
                <c:pt idx="20">
                  <c:v>1.7937314037709</c:v>
                </c:pt>
                <c:pt idx="21">
                  <c:v>1.72667506287155</c:v>
                </c:pt>
                <c:pt idx="22">
                  <c:v>1.85551113695264</c:v>
                </c:pt>
                <c:pt idx="23">
                  <c:v>1.77070948155383</c:v>
                </c:pt>
                <c:pt idx="24">
                  <c:v>1.6733343379066</c:v>
                </c:pt>
                <c:pt idx="25">
                  <c:v>1.73286521392353</c:v>
                </c:pt>
                <c:pt idx="26">
                  <c:v>1.59320642288399</c:v>
                </c:pt>
                <c:pt idx="27">
                  <c:v>1.52503657628465</c:v>
                </c:pt>
                <c:pt idx="28">
                  <c:v>1.46058868659786</c:v>
                </c:pt>
                <c:pt idx="29">
                  <c:v>1.43290514481765</c:v>
                </c:pt>
                <c:pt idx="30">
                  <c:v>1.44320104788661</c:v>
                </c:pt>
                <c:pt idx="31">
                  <c:v>1.39284422265531</c:v>
                </c:pt>
                <c:pt idx="32">
                  <c:v>1.26883868750297</c:v>
                </c:pt>
                <c:pt idx="33">
                  <c:v>1.59853306655408</c:v>
                </c:pt>
                <c:pt idx="34">
                  <c:v>1.55279662119867</c:v>
                </c:pt>
                <c:pt idx="35">
                  <c:v>1.47500360595556</c:v>
                </c:pt>
                <c:pt idx="36">
                  <c:v>1.53302706023741</c:v>
                </c:pt>
                <c:pt idx="37">
                  <c:v>1.34655946894071</c:v>
                </c:pt>
                <c:pt idx="38">
                  <c:v>1.49147681670291</c:v>
                </c:pt>
                <c:pt idx="39">
                  <c:v>1.44947311693681</c:v>
                </c:pt>
                <c:pt idx="40">
                  <c:v>1.46493179595301</c:v>
                </c:pt>
                <c:pt idx="41">
                  <c:v>1.43592374959905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'Index comparison'!$A$62:$A$62</c:f>
              <c:strCache>
                <c:ptCount val="1"/>
                <c:pt idx="0">
                  <c:v>60th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comparison'!$B$62:$AQ$62</c:f>
              <c:numCache>
                <c:formatCode>General</c:formatCode>
                <c:ptCount val="42"/>
                <c:pt idx="0">
                  <c:v>2.16572455583581</c:v>
                </c:pt>
                <c:pt idx="1">
                  <c:v>2.12949302430609</c:v>
                </c:pt>
                <c:pt idx="2">
                  <c:v>2.17613202383138</c:v>
                </c:pt>
                <c:pt idx="3">
                  <c:v>2.12352746987618</c:v>
                </c:pt>
                <c:pt idx="4">
                  <c:v>2.01908233102046</c:v>
                </c:pt>
                <c:pt idx="5">
                  <c:v>1.92977962442338</c:v>
                </c:pt>
                <c:pt idx="6">
                  <c:v>1.9478429985332</c:v>
                </c:pt>
                <c:pt idx="7">
                  <c:v>1.90913216026503</c:v>
                </c:pt>
                <c:pt idx="8">
                  <c:v>1.72187385129768</c:v>
                </c:pt>
                <c:pt idx="9">
                  <c:v>1.73201539540484</c:v>
                </c:pt>
                <c:pt idx="10">
                  <c:v>1.68407723765022</c:v>
                </c:pt>
                <c:pt idx="11">
                  <c:v>1.68197958152353</c:v>
                </c:pt>
                <c:pt idx="12">
                  <c:v>1.67355943608421</c:v>
                </c:pt>
                <c:pt idx="13">
                  <c:v>1.66343955650158</c:v>
                </c:pt>
                <c:pt idx="14">
                  <c:v>1.75688067175418</c:v>
                </c:pt>
                <c:pt idx="15">
                  <c:v>1.71355426055128</c:v>
                </c:pt>
                <c:pt idx="16">
                  <c:v>1.64526203766039</c:v>
                </c:pt>
                <c:pt idx="17">
                  <c:v>1.71336779587518</c:v>
                </c:pt>
                <c:pt idx="18">
                  <c:v>1.75961936929488</c:v>
                </c:pt>
                <c:pt idx="19">
                  <c:v>1.92206733970549</c:v>
                </c:pt>
                <c:pt idx="20">
                  <c:v>1.88204537843437</c:v>
                </c:pt>
                <c:pt idx="21">
                  <c:v>1.81294518372173</c:v>
                </c:pt>
                <c:pt idx="22">
                  <c:v>1.94659699230712</c:v>
                </c:pt>
                <c:pt idx="23">
                  <c:v>1.85809024824918</c:v>
                </c:pt>
                <c:pt idx="24">
                  <c:v>1.75808042390756</c:v>
                </c:pt>
                <c:pt idx="25">
                  <c:v>1.81988155164892</c:v>
                </c:pt>
                <c:pt idx="26">
                  <c:v>1.67759259497476</c:v>
                </c:pt>
                <c:pt idx="27">
                  <c:v>1.60551838168725</c:v>
                </c:pt>
                <c:pt idx="28">
                  <c:v>1.53711222921308</c:v>
                </c:pt>
                <c:pt idx="29">
                  <c:v>1.50683636835455</c:v>
                </c:pt>
                <c:pt idx="30">
                  <c:v>1.51687497829217</c:v>
                </c:pt>
                <c:pt idx="31">
                  <c:v>1.46531788260759</c:v>
                </c:pt>
                <c:pt idx="32">
                  <c:v>1.33713175594033</c:v>
                </c:pt>
                <c:pt idx="33">
                  <c:v>1.68338051154753</c:v>
                </c:pt>
                <c:pt idx="34">
                  <c:v>1.63479650380134</c:v>
                </c:pt>
                <c:pt idx="35">
                  <c:v>1.55236670395225</c:v>
                </c:pt>
                <c:pt idx="36">
                  <c:v>1.48809547535149</c:v>
                </c:pt>
                <c:pt idx="37">
                  <c:v>1.41717860228875</c:v>
                </c:pt>
                <c:pt idx="38">
                  <c:v>1.45027342844984</c:v>
                </c:pt>
                <c:pt idx="39">
                  <c:v>1.40866231551557</c:v>
                </c:pt>
                <c:pt idx="40">
                  <c:v>1.43226358312616</c:v>
                </c:pt>
                <c:pt idx="41">
                  <c:v>1.40640915314523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'Index comparison'!$A$63:$A$63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comparison'!$B$63:$AQ$63</c:f>
              <c:numCache>
                <c:formatCode>General</c:formatCode>
                <c:ptCount val="42"/>
                <c:pt idx="0">
                  <c:v>2.21265671140427</c:v>
                </c:pt>
                <c:pt idx="1">
                  <c:v>2.20427040346981</c:v>
                </c:pt>
                <c:pt idx="2">
                  <c:v>2.27576414212617</c:v>
                </c:pt>
                <c:pt idx="3">
                  <c:v>2.25911282638093</c:v>
                </c:pt>
                <c:pt idx="4">
                  <c:v>2.07561503388688</c:v>
                </c:pt>
                <c:pt idx="5">
                  <c:v>1.8021303668945</c:v>
                </c:pt>
                <c:pt idx="6">
                  <c:v>1.82083351505329</c:v>
                </c:pt>
                <c:pt idx="7">
                  <c:v>1.78016964853914</c:v>
                </c:pt>
                <c:pt idx="8">
                  <c:v>1.55500425096763</c:v>
                </c:pt>
                <c:pt idx="9">
                  <c:v>1.46644969967711</c:v>
                </c:pt>
                <c:pt idx="10">
                  <c:v>1.40683994846419</c:v>
                </c:pt>
                <c:pt idx="11">
                  <c:v>1.40176905697326</c:v>
                </c:pt>
                <c:pt idx="12">
                  <c:v>1.39243207789439</c:v>
                </c:pt>
                <c:pt idx="13">
                  <c:v>1.36462946523239</c:v>
                </c:pt>
                <c:pt idx="14">
                  <c:v>1.48881078567169</c:v>
                </c:pt>
                <c:pt idx="15">
                  <c:v>1.44804896774932</c:v>
                </c:pt>
                <c:pt idx="16">
                  <c:v>1.37311514083616</c:v>
                </c:pt>
                <c:pt idx="17">
                  <c:v>1.41531211732412</c:v>
                </c:pt>
                <c:pt idx="18">
                  <c:v>1.49253733763424</c:v>
                </c:pt>
                <c:pt idx="19">
                  <c:v>1.72160190318696</c:v>
                </c:pt>
                <c:pt idx="20">
                  <c:v>1.70773061151426</c:v>
                </c:pt>
                <c:pt idx="21">
                  <c:v>1.6098088406964</c:v>
                </c:pt>
                <c:pt idx="22">
                  <c:v>1.73953816199731</c:v>
                </c:pt>
                <c:pt idx="23">
                  <c:v>1.67079984158046</c:v>
                </c:pt>
                <c:pt idx="24">
                  <c:v>1.52680378580861</c:v>
                </c:pt>
                <c:pt idx="25">
                  <c:v>1.56366759630521</c:v>
                </c:pt>
                <c:pt idx="26">
                  <c:v>1.32215757741872</c:v>
                </c:pt>
                <c:pt idx="27">
                  <c:v>1.332652757306</c:v>
                </c:pt>
                <c:pt idx="28">
                  <c:v>1.25018781043746</c:v>
                </c:pt>
                <c:pt idx="29">
                  <c:v>1.18375650510551</c:v>
                </c:pt>
                <c:pt idx="30">
                  <c:v>1.19800961456117</c:v>
                </c:pt>
                <c:pt idx="31">
                  <c:v>1.15365532667196</c:v>
                </c:pt>
                <c:pt idx="32">
                  <c:v>1.12331296881464</c:v>
                </c:pt>
                <c:pt idx="33">
                  <c:v>1.38296952383403</c:v>
                </c:pt>
                <c:pt idx="34">
                  <c:v>1.27014420689325</c:v>
                </c:pt>
                <c:pt idx="35">
                  <c:v>1.15146277884277</c:v>
                </c:pt>
                <c:pt idx="36">
                  <c:v>1.10293463359885</c:v>
                </c:pt>
                <c:pt idx="37">
                  <c:v>1.05372482250559</c:v>
                </c:pt>
                <c:pt idx="38">
                  <c:v>1.11118063555683</c:v>
                </c:pt>
                <c:pt idx="39">
                  <c:v>1.04768923489334</c:v>
                </c:pt>
                <c:pt idx="40">
                  <c:v>1.07869014696128</c:v>
                </c:pt>
                <c:pt idx="41">
                  <c:v>1.05912994187966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'Index comparison'!$A$64:$A$64</c:f>
              <c:strCache>
                <c:ptCount val="1"/>
                <c:pt idx="0">
                  <c:v>Heavy Ind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comparison'!$B$64:$AQ$64</c:f>
              <c:numCache>
                <c:formatCode>General</c:formatCode>
                <c:ptCount val="42"/>
                <c:pt idx="0">
                  <c:v>1.42748097837704</c:v>
                </c:pt>
                <c:pt idx="1">
                  <c:v>1.39805556170098</c:v>
                </c:pt>
                <c:pt idx="2">
                  <c:v>1.40172070056701</c:v>
                </c:pt>
                <c:pt idx="3">
                  <c:v>1.36130093819216</c:v>
                </c:pt>
                <c:pt idx="4">
                  <c:v>1.33083990289182</c:v>
                </c:pt>
                <c:pt idx="5">
                  <c:v>1.36019389916199</c:v>
                </c:pt>
                <c:pt idx="6">
                  <c:v>1.31052935752386</c:v>
                </c:pt>
                <c:pt idx="7">
                  <c:v>1.27156525102671</c:v>
                </c:pt>
                <c:pt idx="8">
                  <c:v>1.23169214314056</c:v>
                </c:pt>
                <c:pt idx="9">
                  <c:v>1.27291105478828</c:v>
                </c:pt>
                <c:pt idx="10">
                  <c:v>1.2113995158147</c:v>
                </c:pt>
                <c:pt idx="11">
                  <c:v>1.21152465165357</c:v>
                </c:pt>
                <c:pt idx="12">
                  <c:v>1.21962261477189</c:v>
                </c:pt>
                <c:pt idx="13">
                  <c:v>1.26915205103735</c:v>
                </c:pt>
                <c:pt idx="14">
                  <c:v>1.52919656168167</c:v>
                </c:pt>
                <c:pt idx="15">
                  <c:v>1.51677274976219</c:v>
                </c:pt>
                <c:pt idx="16">
                  <c:v>1.46310291685362</c:v>
                </c:pt>
                <c:pt idx="17">
                  <c:v>1.52704367869733</c:v>
                </c:pt>
                <c:pt idx="18">
                  <c:v>1.6423464794238</c:v>
                </c:pt>
                <c:pt idx="19">
                  <c:v>1.78051585580453</c:v>
                </c:pt>
                <c:pt idx="20">
                  <c:v>1.68152060204838</c:v>
                </c:pt>
                <c:pt idx="21">
                  <c:v>1.66753150608784</c:v>
                </c:pt>
                <c:pt idx="22">
                  <c:v>1.82113225704202</c:v>
                </c:pt>
                <c:pt idx="23">
                  <c:v>1.813292793314</c:v>
                </c:pt>
                <c:pt idx="24">
                  <c:v>1.76765448280727</c:v>
                </c:pt>
                <c:pt idx="25">
                  <c:v>1.7833415935883</c:v>
                </c:pt>
                <c:pt idx="26">
                  <c:v>1.72405040085417</c:v>
                </c:pt>
                <c:pt idx="27">
                  <c:v>1.34420887120626</c:v>
                </c:pt>
                <c:pt idx="28">
                  <c:v>1.32991904434437</c:v>
                </c:pt>
                <c:pt idx="29">
                  <c:v>1.2647579689401</c:v>
                </c:pt>
                <c:pt idx="30">
                  <c:v>1.23473623365884</c:v>
                </c:pt>
                <c:pt idx="31">
                  <c:v>1.19743147509168</c:v>
                </c:pt>
                <c:pt idx="32">
                  <c:v>1.05223179157353</c:v>
                </c:pt>
                <c:pt idx="33">
                  <c:v>1.45701644182123</c:v>
                </c:pt>
                <c:pt idx="34">
                  <c:v>1.48166443604704</c:v>
                </c:pt>
                <c:pt idx="35">
                  <c:v>1.38784629298956</c:v>
                </c:pt>
                <c:pt idx="36">
                  <c:v>1.2903648402999</c:v>
                </c:pt>
                <c:pt idx="37">
                  <c:v>1.23121947320209</c:v>
                </c:pt>
                <c:pt idx="38">
                  <c:v>1.11981672157432</c:v>
                </c:pt>
                <c:pt idx="39">
                  <c:v>1.05484375510787</c:v>
                </c:pt>
                <c:pt idx="40">
                  <c:v>1.09863674879502</c:v>
                </c:pt>
                <c:pt idx="41">
                  <c:v>1.06706546844054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'Index comparison'!$A$65:$A$65</c:f>
              <c:strCache>
                <c:ptCount val="1"/>
                <c:pt idx="0">
                  <c:v>Light Ind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comparison'!$B$65:$AQ$65</c:f>
              <c:numCache>
                <c:formatCode>General</c:formatCode>
                <c:ptCount val="42"/>
                <c:pt idx="0">
                  <c:v>2.18293658155578</c:v>
                </c:pt>
                <c:pt idx="1">
                  <c:v>1.99589388414786</c:v>
                </c:pt>
                <c:pt idx="2">
                  <c:v>1.99873139030742</c:v>
                </c:pt>
                <c:pt idx="3">
                  <c:v>1.77748950798907</c:v>
                </c:pt>
                <c:pt idx="4">
                  <c:v>1.72698662294814</c:v>
                </c:pt>
                <c:pt idx="5">
                  <c:v>1.8028283832532</c:v>
                </c:pt>
                <c:pt idx="6">
                  <c:v>1.87406795375793</c:v>
                </c:pt>
                <c:pt idx="7">
                  <c:v>1.75630261365648</c:v>
                </c:pt>
                <c:pt idx="8">
                  <c:v>1.63364314557397</c:v>
                </c:pt>
                <c:pt idx="9">
                  <c:v>1.6407167161258</c:v>
                </c:pt>
                <c:pt idx="10">
                  <c:v>1.59781457975419</c:v>
                </c:pt>
                <c:pt idx="11">
                  <c:v>1.59950555439961</c:v>
                </c:pt>
                <c:pt idx="12">
                  <c:v>1.58037647886056</c:v>
                </c:pt>
                <c:pt idx="13">
                  <c:v>1.52938132908267</c:v>
                </c:pt>
                <c:pt idx="14">
                  <c:v>1.72314654643825</c:v>
                </c:pt>
                <c:pt idx="15">
                  <c:v>1.75651415769576</c:v>
                </c:pt>
                <c:pt idx="16">
                  <c:v>1.75102662899512</c:v>
                </c:pt>
                <c:pt idx="17">
                  <c:v>1.82427449043006</c:v>
                </c:pt>
                <c:pt idx="18">
                  <c:v>1.77686376027416</c:v>
                </c:pt>
                <c:pt idx="19">
                  <c:v>2.07149903217867</c:v>
                </c:pt>
                <c:pt idx="20">
                  <c:v>1.94773802020126</c:v>
                </c:pt>
                <c:pt idx="21">
                  <c:v>1.8747374181455</c:v>
                </c:pt>
                <c:pt idx="22">
                  <c:v>2.07703264114224</c:v>
                </c:pt>
                <c:pt idx="23">
                  <c:v>1.93356787021533</c:v>
                </c:pt>
                <c:pt idx="24">
                  <c:v>1.84840386945915</c:v>
                </c:pt>
                <c:pt idx="25">
                  <c:v>1.90015105949246</c:v>
                </c:pt>
                <c:pt idx="26">
                  <c:v>1.70622993718374</c:v>
                </c:pt>
                <c:pt idx="27">
                  <c:v>1.75996621909322</c:v>
                </c:pt>
                <c:pt idx="28">
                  <c:v>1.70863658421754</c:v>
                </c:pt>
                <c:pt idx="29">
                  <c:v>1.67131429202412</c:v>
                </c:pt>
                <c:pt idx="30">
                  <c:v>1.725162183823</c:v>
                </c:pt>
                <c:pt idx="31">
                  <c:v>1.54919158367278</c:v>
                </c:pt>
                <c:pt idx="32">
                  <c:v>1.4323005955448</c:v>
                </c:pt>
                <c:pt idx="33">
                  <c:v>1.95633102629637</c:v>
                </c:pt>
                <c:pt idx="34">
                  <c:v>1.87719184506002</c:v>
                </c:pt>
                <c:pt idx="35">
                  <c:v>1.85712519855022</c:v>
                </c:pt>
                <c:pt idx="36">
                  <c:v>1.82681617596594</c:v>
                </c:pt>
                <c:pt idx="37">
                  <c:v>1.58722335089496</c:v>
                </c:pt>
                <c:pt idx="38">
                  <c:v>1.8201371694554</c:v>
                </c:pt>
                <c:pt idx="39">
                  <c:v>1.83160330097358</c:v>
                </c:pt>
                <c:pt idx="40">
                  <c:v>1.77249135592062</c:v>
                </c:pt>
                <c:pt idx="41">
                  <c:v>1.73302886924121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'Index comparison'!$A$66:$A$66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comparison'!$B$66:$AQ$66</c:f>
              <c:numCache>
                <c:formatCode>General</c:formatCode>
                <c:ptCount val="42"/>
                <c:pt idx="0">
                  <c:v>2.04963225592965</c:v>
                </c:pt>
                <c:pt idx="1">
                  <c:v>2.06704381451202</c:v>
                </c:pt>
                <c:pt idx="2">
                  <c:v>2.09682889543119</c:v>
                </c:pt>
                <c:pt idx="3">
                  <c:v>2.11016216039341</c:v>
                </c:pt>
                <c:pt idx="4">
                  <c:v>2.11404951618676</c:v>
                </c:pt>
                <c:pt idx="5">
                  <c:v>2.22552186376624</c:v>
                </c:pt>
                <c:pt idx="6">
                  <c:v>2.24184962089892</c:v>
                </c:pt>
                <c:pt idx="7">
                  <c:v>2.24762911409099</c:v>
                </c:pt>
                <c:pt idx="8">
                  <c:v>2.0425122772549</c:v>
                </c:pt>
                <c:pt idx="9">
                  <c:v>2.20625462885971</c:v>
                </c:pt>
                <c:pt idx="10">
                  <c:v>2.15488525436771</c:v>
                </c:pt>
                <c:pt idx="11">
                  <c:v>2.15519133814992</c:v>
                </c:pt>
                <c:pt idx="12">
                  <c:v>2.14265633263198</c:v>
                </c:pt>
                <c:pt idx="13">
                  <c:v>2.11849696308228</c:v>
                </c:pt>
                <c:pt idx="14">
                  <c:v>2.01359034044052</c:v>
                </c:pt>
                <c:pt idx="15">
                  <c:v>1.89824037244507</c:v>
                </c:pt>
                <c:pt idx="16">
                  <c:v>1.81189374136458</c:v>
                </c:pt>
                <c:pt idx="17">
                  <c:v>1.91171727937192</c:v>
                </c:pt>
                <c:pt idx="18">
                  <c:v>1.91784325287618</c:v>
                </c:pt>
                <c:pt idx="19">
                  <c:v>1.9190168308584</c:v>
                </c:pt>
                <c:pt idx="20">
                  <c:v>1.92699329623555</c:v>
                </c:pt>
                <c:pt idx="21">
                  <c:v>1.87776713646404</c:v>
                </c:pt>
                <c:pt idx="22">
                  <c:v>1.93874237747004</c:v>
                </c:pt>
                <c:pt idx="23">
                  <c:v>1.81631049477692</c:v>
                </c:pt>
                <c:pt idx="24">
                  <c:v>1.74507640953621</c:v>
                </c:pt>
                <c:pt idx="25">
                  <c:v>1.87556075266159</c:v>
                </c:pt>
                <c:pt idx="26">
                  <c:v>1.85423289549015</c:v>
                </c:pt>
                <c:pt idx="27">
                  <c:v>1.76154266164316</c:v>
                </c:pt>
                <c:pt idx="28">
                  <c:v>1.68797679613644</c:v>
                </c:pt>
                <c:pt idx="29">
                  <c:v>1.72854243523386</c:v>
                </c:pt>
                <c:pt idx="30">
                  <c:v>1.72959916854667</c:v>
                </c:pt>
                <c:pt idx="31">
                  <c:v>1.7102679643602</c:v>
                </c:pt>
                <c:pt idx="32">
                  <c:v>1.49837888797996</c:v>
                </c:pt>
                <c:pt idx="33">
                  <c:v>1.7705758588439</c:v>
                </c:pt>
                <c:pt idx="34">
                  <c:v>1.77926171695956</c:v>
                </c:pt>
                <c:pt idx="35">
                  <c:v>1.72724452926679</c:v>
                </c:pt>
                <c:pt idx="36">
                  <c:v>1.68117721145818</c:v>
                </c:pt>
                <c:pt idx="37">
                  <c:v>1.65214759091739</c:v>
                </c:pt>
                <c:pt idx="38">
                  <c:v>1.68539783685492</c:v>
                </c:pt>
                <c:pt idx="39">
                  <c:v>1.67964014743845</c:v>
                </c:pt>
                <c:pt idx="40">
                  <c:v>1.69545280622281</c:v>
                </c:pt>
                <c:pt idx="41">
                  <c:v>1.67194461231949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'Index comparison'!$A$68:$A$68</c:f>
              <c:strCache>
                <c:ptCount val="1"/>
                <c:pt idx="0">
                  <c:v>MBI10 (cap)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comparison'!$B$68:$AQ$68</c:f>
              <c:numCache>
                <c:formatCode>General</c:formatCode>
                <c:ptCount val="42"/>
                <c:pt idx="0">
                  <c:v>2.2050665022472</c:v>
                </c:pt>
                <c:pt idx="1">
                  <c:v>2.17514628982963</c:v>
                </c:pt>
                <c:pt idx="2">
                  <c:v>2.22596988271352</c:v>
                </c:pt>
                <c:pt idx="3">
                  <c:v>2.173041672523</c:v>
                </c:pt>
                <c:pt idx="4">
                  <c:v>2.06684535342772</c:v>
                </c:pt>
                <c:pt idx="5">
                  <c:v>1.94775758564569</c:v>
                </c:pt>
                <c:pt idx="6">
                  <c:v>1.97926926588921</c:v>
                </c:pt>
                <c:pt idx="7">
                  <c:v>1.9449214319971</c:v>
                </c:pt>
                <c:pt idx="8">
                  <c:v>1.74281819161674</c:v>
                </c:pt>
                <c:pt idx="9">
                  <c:v>1.74846770489041</c:v>
                </c:pt>
                <c:pt idx="10">
                  <c:v>1.70638650396237</c:v>
                </c:pt>
                <c:pt idx="11">
                  <c:v>1.70415961555084</c:v>
                </c:pt>
                <c:pt idx="12">
                  <c:v>1.69287165609413</c:v>
                </c:pt>
                <c:pt idx="13">
                  <c:v>1.66741205414353</c:v>
                </c:pt>
                <c:pt idx="14">
                  <c:v>1.72889313550944</c:v>
                </c:pt>
                <c:pt idx="15">
                  <c:v>1.68255568338622</c:v>
                </c:pt>
                <c:pt idx="16">
                  <c:v>1.60332053999662</c:v>
                </c:pt>
                <c:pt idx="17">
                  <c:v>1.67247564343467</c:v>
                </c:pt>
                <c:pt idx="18">
                  <c:v>1.7100178886323</c:v>
                </c:pt>
                <c:pt idx="19">
                  <c:v>1.882219794448</c:v>
                </c:pt>
                <c:pt idx="20">
                  <c:v>1.85623945392644</c:v>
                </c:pt>
                <c:pt idx="21">
                  <c:v>1.77637497189932</c:v>
                </c:pt>
                <c:pt idx="22">
                  <c:v>1.89901725519426</c:v>
                </c:pt>
                <c:pt idx="23">
                  <c:v>1.79041165833398</c:v>
                </c:pt>
                <c:pt idx="24">
                  <c:v>1.68101049022585</c:v>
                </c:pt>
                <c:pt idx="25">
                  <c:v>1.75318763045795</c:v>
                </c:pt>
                <c:pt idx="26">
                  <c:v>1.59511325479228</c:v>
                </c:pt>
                <c:pt idx="27">
                  <c:v>1.58982119888481</c:v>
                </c:pt>
                <c:pt idx="28">
                  <c:v>1.50450273840275</c:v>
                </c:pt>
                <c:pt idx="29">
                  <c:v>1.49004695308062</c:v>
                </c:pt>
                <c:pt idx="30">
                  <c:v>1.50878398571564</c:v>
                </c:pt>
                <c:pt idx="31">
                  <c:v>1.45892931517721</c:v>
                </c:pt>
                <c:pt idx="32">
                  <c:v>1.33986374461675</c:v>
                </c:pt>
                <c:pt idx="33">
                  <c:v>1.65668319959241</c:v>
                </c:pt>
                <c:pt idx="34">
                  <c:v>1.59930886512408</c:v>
                </c:pt>
                <c:pt idx="35">
                  <c:v>1.52440607441809</c:v>
                </c:pt>
                <c:pt idx="36">
                  <c:v>1.48040902433249</c:v>
                </c:pt>
                <c:pt idx="37">
                  <c:v>1.4042598869276</c:v>
                </c:pt>
                <c:pt idx="38">
                  <c:v>1.47173184113234</c:v>
                </c:pt>
                <c:pt idx="39">
                  <c:v>1.44515829813833</c:v>
                </c:pt>
                <c:pt idx="40">
                  <c:v>1.45706420640516</c:v>
                </c:pt>
                <c:pt idx="41">
                  <c:v>1.43383943123083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'Index comparison'!$A$69:$A$69</c:f>
              <c:strCache>
                <c:ptCount val="1"/>
                <c:pt idx="0">
                  <c:v>MI wo. MBI10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comparison'!$B$69:$AQ$69</c:f>
              <c:numCache>
                <c:formatCode>General</c:formatCode>
                <c:ptCount val="42"/>
                <c:pt idx="0">
                  <c:v>1.32569042060841</c:v>
                </c:pt>
                <c:pt idx="1">
                  <c:v>1.2883545270693</c:v>
                </c:pt>
                <c:pt idx="2">
                  <c:v>1.28966023295848</c:v>
                </c:pt>
                <c:pt idx="3">
                  <c:v>1.26037558628208</c:v>
                </c:pt>
                <c:pt idx="4">
                  <c:v>1.2200827696839</c:v>
                </c:pt>
                <c:pt idx="5">
                  <c:v>1.24418545382253</c:v>
                </c:pt>
                <c:pt idx="6">
                  <c:v>1.19520042920343</c:v>
                </c:pt>
                <c:pt idx="7">
                  <c:v>1.15463202716255</c:v>
                </c:pt>
                <c:pt idx="8">
                  <c:v>1.1337952113577</c:v>
                </c:pt>
                <c:pt idx="9">
                  <c:v>1.17263819355264</c:v>
                </c:pt>
                <c:pt idx="10">
                  <c:v>1.11765451133518</c:v>
                </c:pt>
                <c:pt idx="11">
                  <c:v>1.11744680502658</c:v>
                </c:pt>
                <c:pt idx="12">
                  <c:v>1.12211517612828</c:v>
                </c:pt>
                <c:pt idx="13">
                  <c:v>1.15963058116157</c:v>
                </c:pt>
                <c:pt idx="14">
                  <c:v>1.3860971022503</c:v>
                </c:pt>
                <c:pt idx="15">
                  <c:v>1.39386333097294</c:v>
                </c:pt>
                <c:pt idx="16">
                  <c:v>1.38076891468177</c:v>
                </c:pt>
                <c:pt idx="17">
                  <c:v>1.42549480326075</c:v>
                </c:pt>
                <c:pt idx="18">
                  <c:v>1.52195861482559</c:v>
                </c:pt>
                <c:pt idx="19">
                  <c:v>1.66310560766025</c:v>
                </c:pt>
                <c:pt idx="20">
                  <c:v>1.56026708377527</c:v>
                </c:pt>
                <c:pt idx="21">
                  <c:v>1.5483298664571</c:v>
                </c:pt>
                <c:pt idx="22">
                  <c:v>1.69176616717206</c:v>
                </c:pt>
                <c:pt idx="23">
                  <c:v>1.68980267412584</c:v>
                </c:pt>
                <c:pt idx="24">
                  <c:v>1.63810171973188</c:v>
                </c:pt>
                <c:pt idx="25">
                  <c:v>1.64716961688954</c:v>
                </c:pt>
                <c:pt idx="26">
                  <c:v>1.57403686654442</c:v>
                </c:pt>
                <c:pt idx="27">
                  <c:v>1.2699975703319</c:v>
                </c:pt>
                <c:pt idx="28">
                  <c:v>1.27378435074759</c:v>
                </c:pt>
                <c:pt idx="29">
                  <c:v>1.2071617371654</c:v>
                </c:pt>
                <c:pt idx="30">
                  <c:v>1.18185971851547</c:v>
                </c:pt>
                <c:pt idx="31">
                  <c:v>1.14649224963449</c:v>
                </c:pt>
                <c:pt idx="32">
                  <c:v>1.02847714947071</c:v>
                </c:pt>
                <c:pt idx="33">
                  <c:v>1.37368027922067</c:v>
                </c:pt>
                <c:pt idx="34">
                  <c:v>1.38938270961338</c:v>
                </c:pt>
                <c:pt idx="35">
                  <c:v>1.3001399302167</c:v>
                </c:pt>
                <c:pt idx="36">
                  <c:v>1.21266072486712</c:v>
                </c:pt>
                <c:pt idx="37">
                  <c:v>1.15831538474086</c:v>
                </c:pt>
                <c:pt idx="38">
                  <c:v>1.09605537183182</c:v>
                </c:pt>
                <c:pt idx="39">
                  <c:v>1.04108413413616</c:v>
                </c:pt>
                <c:pt idx="40">
                  <c:v>1.07280647016375</c:v>
                </c:pt>
                <c:pt idx="41">
                  <c:v>1.04002621762738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'Index comparison'!$A$70:$A$70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prstDash val="dash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comparison'!$B$70:$AQ$70</c:f>
              <c:numCache>
                <c:formatCode>General</c:formatCode>
                <c:ptCount val="42"/>
                <c:pt idx="0">
                  <c:v>2.07107269344295</c:v>
                </c:pt>
                <c:pt idx="1">
                  <c:v>2.03465994916789</c:v>
                </c:pt>
                <c:pt idx="2">
                  <c:v>2.07986907369008</c:v>
                </c:pt>
                <c:pt idx="3">
                  <c:v>2.0272676910063</c:v>
                </c:pt>
                <c:pt idx="4">
                  <c:v>1.9273676254651</c:v>
                </c:pt>
                <c:pt idx="5">
                  <c:v>1.8028283832532</c:v>
                </c:pt>
                <c:pt idx="6">
                  <c:v>1.86280492822422</c:v>
                </c:pt>
                <c:pt idx="7">
                  <c:v>1.78016964853914</c:v>
                </c:pt>
                <c:pt idx="8">
                  <c:v>1.63364314557397</c:v>
                </c:pt>
                <c:pt idx="9">
                  <c:v>1.6407167161258</c:v>
                </c:pt>
                <c:pt idx="10">
                  <c:v>1.59781457975419</c:v>
                </c:pt>
                <c:pt idx="11">
                  <c:v>1.59950555439961</c:v>
                </c:pt>
                <c:pt idx="12">
                  <c:v>1.58037647886056</c:v>
                </c:pt>
                <c:pt idx="13">
                  <c:v>1.52938132908267</c:v>
                </c:pt>
                <c:pt idx="14">
                  <c:v>1.67148364450347</c:v>
                </c:pt>
                <c:pt idx="15">
                  <c:v>1.62721648873266</c:v>
                </c:pt>
                <c:pt idx="16">
                  <c:v>1.56145283153819</c:v>
                </c:pt>
                <c:pt idx="17">
                  <c:v>1.62705879255403</c:v>
                </c:pt>
                <c:pt idx="18">
                  <c:v>1.67115218562232</c:v>
                </c:pt>
                <c:pt idx="19">
                  <c:v>1.83482802583748</c:v>
                </c:pt>
                <c:pt idx="20">
                  <c:v>1.7937314037709</c:v>
                </c:pt>
                <c:pt idx="21">
                  <c:v>1.72667506287155</c:v>
                </c:pt>
                <c:pt idx="22">
                  <c:v>1.85551113695264</c:v>
                </c:pt>
                <c:pt idx="23">
                  <c:v>1.79041165833398</c:v>
                </c:pt>
                <c:pt idx="24">
                  <c:v>1.68101049022585</c:v>
                </c:pt>
                <c:pt idx="25">
                  <c:v>1.75318763045795</c:v>
                </c:pt>
                <c:pt idx="26">
                  <c:v>1.63635292488352</c:v>
                </c:pt>
                <c:pt idx="27">
                  <c:v>1.55742888758473</c:v>
                </c:pt>
                <c:pt idx="28">
                  <c:v>1.48254571250031</c:v>
                </c:pt>
                <c:pt idx="29">
                  <c:v>1.46147604894913</c:v>
                </c:pt>
                <c:pt idx="30">
                  <c:v>1.47599251680113</c:v>
                </c:pt>
                <c:pt idx="31">
                  <c:v>1.42588676891626</c:v>
                </c:pt>
                <c:pt idx="32">
                  <c:v>1.30298522172165</c:v>
                </c:pt>
                <c:pt idx="33">
                  <c:v>1.62760813307325</c:v>
                </c:pt>
                <c:pt idx="34">
                  <c:v>1.57605274316138</c:v>
                </c:pt>
                <c:pt idx="35">
                  <c:v>1.49970484018683</c:v>
                </c:pt>
                <c:pt idx="36">
                  <c:v>1.48425224984199</c:v>
                </c:pt>
                <c:pt idx="37">
                  <c:v>1.37540967793415</c:v>
                </c:pt>
                <c:pt idx="38">
                  <c:v>1.46100263479109</c:v>
                </c:pt>
                <c:pt idx="39">
                  <c:v>1.42691030682695</c:v>
                </c:pt>
                <c:pt idx="40">
                  <c:v>1.44466389476566</c:v>
                </c:pt>
                <c:pt idx="41">
                  <c:v>1.42012429218803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5485748"/>
        <c:axId val="71757034"/>
      </c:lineChart>
      <c:catAx>
        <c:axId val="75485748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1757034"/>
        <c:crosses val="autoZero"/>
        <c:auto val="1"/>
        <c:lblAlgn val="ctr"/>
        <c:lblOffset val="100"/>
        <c:noMultiLvlLbl val="0"/>
      </c:catAx>
      <c:valAx>
        <c:axId val="71757034"/>
        <c:scaling>
          <c:orientation val="minMax"/>
          <c:min val="1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5485748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0214850666981466"/>
          <c:y val="0"/>
          <c:w val="0.922495720441532"/>
          <c:h val="0.201769594069469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416199303382726"/>
          <c:y val="0.173991031390135"/>
          <c:w val="0.871361945805538"/>
          <c:h val="0.707384155455904"/>
        </c:manualLayout>
      </c:layout>
      <c:lineChart>
        <c:grouping val="standard"/>
        <c:varyColors val="0"/>
        <c:ser>
          <c:idx val="0"/>
          <c:order val="0"/>
          <c:tx>
            <c:strRef>
              <c:f>'Index comparison'!$A$73:$A$73</c:f>
              <c:strCache>
                <c:ptCount val="1"/>
                <c:pt idx="0">
                  <c:v>MI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comparison'!$B$73:$AQ$73</c:f>
              <c:numCache>
                <c:formatCode>General</c:formatCode>
                <c:ptCount val="42"/>
                <c:pt idx="0">
                  <c:v>19.3747726611851</c:v>
                </c:pt>
                <c:pt idx="1">
                  <c:v>18.9833795116087</c:v>
                </c:pt>
                <c:pt idx="2">
                  <c:v>11.699576400191</c:v>
                </c:pt>
                <c:pt idx="3">
                  <c:v>18.6843059343111</c:v>
                </c:pt>
                <c:pt idx="4">
                  <c:v>18.0301145946814</c:v>
                </c:pt>
                <c:pt idx="5">
                  <c:v>20.6486735006585</c:v>
                </c:pt>
                <c:pt idx="6">
                  <c:v>20.796732383145</c:v>
                </c:pt>
                <c:pt idx="7">
                  <c:v>22.5491190029203</c:v>
                </c:pt>
                <c:pt idx="8">
                  <c:v>21.2572960604685</c:v>
                </c:pt>
                <c:pt idx="9">
                  <c:v>20.665842954664</c:v>
                </c:pt>
                <c:pt idx="10">
                  <c:v>20.4205816857741</c:v>
                </c:pt>
                <c:pt idx="11">
                  <c:v>20.3977229057142</c:v>
                </c:pt>
                <c:pt idx="12">
                  <c:v>20.3114942135685</c:v>
                </c:pt>
                <c:pt idx="13">
                  <c:v>20.0048198161827</c:v>
                </c:pt>
                <c:pt idx="14">
                  <c:v>20.004694194427</c:v>
                </c:pt>
                <c:pt idx="15">
                  <c:v>19.2944718618554</c:v>
                </c:pt>
                <c:pt idx="16">
                  <c:v>19.0912066130448</c:v>
                </c:pt>
                <c:pt idx="17">
                  <c:v>19.4095107626708</c:v>
                </c:pt>
                <c:pt idx="18">
                  <c:v>19.4991461657472</c:v>
                </c:pt>
                <c:pt idx="19">
                  <c:v>22.5662666299007</c:v>
                </c:pt>
                <c:pt idx="20">
                  <c:v>22.5221939427142</c:v>
                </c:pt>
                <c:pt idx="21">
                  <c:v>21.6346206955148</c:v>
                </c:pt>
                <c:pt idx="22">
                  <c:v>22.2941354172969</c:v>
                </c:pt>
                <c:pt idx="23">
                  <c:v>22.1305736989493</c:v>
                </c:pt>
                <c:pt idx="24">
                  <c:v>21.2426221770076</c:v>
                </c:pt>
                <c:pt idx="25">
                  <c:v>21.6806067857633</c:v>
                </c:pt>
                <c:pt idx="26">
                  <c:v>20.4720684555643</c:v>
                </c:pt>
                <c:pt idx="27">
                  <c:v>16.9713567560889</c:v>
                </c:pt>
                <c:pt idx="28">
                  <c:v>17.4446123316934</c:v>
                </c:pt>
                <c:pt idx="29">
                  <c:v>17.2919493403524</c:v>
                </c:pt>
                <c:pt idx="30">
                  <c:v>17.1244040621579</c:v>
                </c:pt>
                <c:pt idx="31">
                  <c:v>13.6015473504177</c:v>
                </c:pt>
                <c:pt idx="32">
                  <c:v>14.7127820998334</c:v>
                </c:pt>
                <c:pt idx="33">
                  <c:v>16.4481557684031</c:v>
                </c:pt>
                <c:pt idx="34">
                  <c:v>16.0818516133412</c:v>
                </c:pt>
                <c:pt idx="35">
                  <c:v>15.9313249144336</c:v>
                </c:pt>
                <c:pt idx="36">
                  <c:v>15.6759915378752</c:v>
                </c:pt>
                <c:pt idx="37">
                  <c:v>15.6318389006777</c:v>
                </c:pt>
                <c:pt idx="38">
                  <c:v>19.5377669576715</c:v>
                </c:pt>
                <c:pt idx="39">
                  <c:v>19.3397570326753</c:v>
                </c:pt>
                <c:pt idx="40">
                  <c:v>19.3340683051905</c:v>
                </c:pt>
                <c:pt idx="41">
                  <c:v>19.116043471114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'Index comparison'!$A$74:$A$74</c:f>
              <c:strCache>
                <c:ptCount val="1"/>
                <c:pt idx="0">
                  <c:v>60th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comparison'!$B$74:$AQ$74</c:f>
              <c:numCache>
                <c:formatCode>General</c:formatCode>
                <c:ptCount val="42"/>
                <c:pt idx="0">
                  <c:v>19.7091646963642</c:v>
                </c:pt>
                <c:pt idx="1">
                  <c:v>19.2993990053251</c:v>
                </c:pt>
                <c:pt idx="2">
                  <c:v>19.5327925164575</c:v>
                </c:pt>
                <c:pt idx="3">
                  <c:v>18.9980496359604</c:v>
                </c:pt>
                <c:pt idx="4">
                  <c:v>18.4296072253932</c:v>
                </c:pt>
                <c:pt idx="5">
                  <c:v>21.2589434712229</c:v>
                </c:pt>
                <c:pt idx="6">
                  <c:v>21.3340848660665</c:v>
                </c:pt>
                <c:pt idx="7">
                  <c:v>23.1987310058316</c:v>
                </c:pt>
                <c:pt idx="8">
                  <c:v>21.8314090535583</c:v>
                </c:pt>
                <c:pt idx="9">
                  <c:v>21.163708016469</c:v>
                </c:pt>
                <c:pt idx="10">
                  <c:v>20.9105363787295</c:v>
                </c:pt>
                <c:pt idx="11">
                  <c:v>20.9032933276911</c:v>
                </c:pt>
                <c:pt idx="12">
                  <c:v>20.8276929905441</c:v>
                </c:pt>
                <c:pt idx="13">
                  <c:v>20.5146507936758</c:v>
                </c:pt>
                <c:pt idx="14">
                  <c:v>20.5427285713568</c:v>
                </c:pt>
                <c:pt idx="15">
                  <c:v>19.5348274258374</c:v>
                </c:pt>
                <c:pt idx="16">
                  <c:v>19.1982219978375</c:v>
                </c:pt>
                <c:pt idx="17">
                  <c:v>19.5502450699633</c:v>
                </c:pt>
                <c:pt idx="18">
                  <c:v>19.641289221574</c:v>
                </c:pt>
                <c:pt idx="19">
                  <c:v>22.8288002431292</c:v>
                </c:pt>
                <c:pt idx="20">
                  <c:v>22.9204863111251</c:v>
                </c:pt>
                <c:pt idx="21">
                  <c:v>22.0380228099037</c:v>
                </c:pt>
                <c:pt idx="22">
                  <c:v>22.7184628146565</c:v>
                </c:pt>
                <c:pt idx="23">
                  <c:v>22.5397301628814</c:v>
                </c:pt>
                <c:pt idx="24">
                  <c:v>21.6029169737424</c:v>
                </c:pt>
                <c:pt idx="25">
                  <c:v>22.0553623605899</c:v>
                </c:pt>
                <c:pt idx="26">
                  <c:v>20.7704982116249</c:v>
                </c:pt>
                <c:pt idx="27">
                  <c:v>16.9041531399424</c:v>
                </c:pt>
                <c:pt idx="28">
                  <c:v>16.1162912296494</c:v>
                </c:pt>
                <c:pt idx="29">
                  <c:v>15.830247687912</c:v>
                </c:pt>
                <c:pt idx="30">
                  <c:v>15.8259803835443</c:v>
                </c:pt>
                <c:pt idx="31">
                  <c:v>12.4466011221565</c:v>
                </c:pt>
                <c:pt idx="32">
                  <c:v>11.7295428640706</c:v>
                </c:pt>
                <c:pt idx="33">
                  <c:v>13.5219351441443</c:v>
                </c:pt>
                <c:pt idx="34">
                  <c:v>12.8816723807021</c:v>
                </c:pt>
                <c:pt idx="35">
                  <c:v>12.3095025748668</c:v>
                </c:pt>
                <c:pt idx="36">
                  <c:v>12.0587452429724</c:v>
                </c:pt>
                <c:pt idx="37">
                  <c:v>11.7370920962102</c:v>
                </c:pt>
                <c:pt idx="38">
                  <c:v>16.8708039150198</c:v>
                </c:pt>
                <c:pt idx="39">
                  <c:v>16.3655457849703</c:v>
                </c:pt>
                <c:pt idx="40">
                  <c:v>16.5331193649696</c:v>
                </c:pt>
                <c:pt idx="41">
                  <c:v>16.3914335908102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'Index comparison'!$A$75:$A$75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comparison'!$B$75:$AQ$75</c:f>
              <c:numCache>
                <c:formatCode>General</c:formatCode>
                <c:ptCount val="42"/>
                <c:pt idx="0">
                  <c:v>27.6621813870035</c:v>
                </c:pt>
                <c:pt idx="1">
                  <c:v>27.3287744528714</c:v>
                </c:pt>
                <c:pt idx="2">
                  <c:v>27.5640466009226</c:v>
                </c:pt>
                <c:pt idx="3">
                  <c:v>27.0665740998007</c:v>
                </c:pt>
                <c:pt idx="4">
                  <c:v>26.5064133544917</c:v>
                </c:pt>
                <c:pt idx="5">
                  <c:v>31.3905333553123</c:v>
                </c:pt>
                <c:pt idx="6">
                  <c:v>31.3588286077222</c:v>
                </c:pt>
                <c:pt idx="7">
                  <c:v>36.3491409796312</c:v>
                </c:pt>
                <c:pt idx="8">
                  <c:v>35.0431543353826</c:v>
                </c:pt>
                <c:pt idx="9">
                  <c:v>34.7699766311077</c:v>
                </c:pt>
                <c:pt idx="10">
                  <c:v>34.2572959912239</c:v>
                </c:pt>
                <c:pt idx="11">
                  <c:v>34.2293880305492</c:v>
                </c:pt>
                <c:pt idx="12">
                  <c:v>34.1475837686333</c:v>
                </c:pt>
                <c:pt idx="13">
                  <c:v>33.7752290018113</c:v>
                </c:pt>
                <c:pt idx="14">
                  <c:v>33.438129577793</c:v>
                </c:pt>
                <c:pt idx="15">
                  <c:v>32.0530326983926</c:v>
                </c:pt>
                <c:pt idx="16">
                  <c:v>31.7692169070737</c:v>
                </c:pt>
                <c:pt idx="17">
                  <c:v>32.0974408273614</c:v>
                </c:pt>
                <c:pt idx="18">
                  <c:v>32.1098643971272</c:v>
                </c:pt>
                <c:pt idx="19">
                  <c:v>35.0667804192728</c:v>
                </c:pt>
                <c:pt idx="20">
                  <c:v>35.4251313940897</c:v>
                </c:pt>
                <c:pt idx="21">
                  <c:v>34.507294520339</c:v>
                </c:pt>
                <c:pt idx="22">
                  <c:v>34.859383448128</c:v>
                </c:pt>
                <c:pt idx="23">
                  <c:v>34.3446514171441</c:v>
                </c:pt>
                <c:pt idx="24">
                  <c:v>33.6525509766789</c:v>
                </c:pt>
                <c:pt idx="25">
                  <c:v>33.8343057646749</c:v>
                </c:pt>
                <c:pt idx="26">
                  <c:v>32.860212913541</c:v>
                </c:pt>
                <c:pt idx="27">
                  <c:v>27.9237884429214</c:v>
                </c:pt>
                <c:pt idx="28">
                  <c:v>26.5704943825584</c:v>
                </c:pt>
                <c:pt idx="29">
                  <c:v>26.3946114745677</c:v>
                </c:pt>
                <c:pt idx="30">
                  <c:v>26.1510231702532</c:v>
                </c:pt>
                <c:pt idx="31">
                  <c:v>18.8574327635627</c:v>
                </c:pt>
                <c:pt idx="32">
                  <c:v>16.8499715541575</c:v>
                </c:pt>
                <c:pt idx="33">
                  <c:v>18.1535827680471</c:v>
                </c:pt>
                <c:pt idx="34">
                  <c:v>17.2653456678229</c:v>
                </c:pt>
                <c:pt idx="35">
                  <c:v>16.51794881813</c:v>
                </c:pt>
                <c:pt idx="36">
                  <c:v>16.4614505438562</c:v>
                </c:pt>
                <c:pt idx="37">
                  <c:v>16.3556668099836</c:v>
                </c:pt>
                <c:pt idx="38">
                  <c:v>27.569843334968</c:v>
                </c:pt>
                <c:pt idx="39">
                  <c:v>26.9618983041858</c:v>
                </c:pt>
                <c:pt idx="40">
                  <c:v>27.1220510861902</c:v>
                </c:pt>
                <c:pt idx="41">
                  <c:v>26.98849555078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'Index comparison'!$A$76:$A$76</c:f>
              <c:strCache>
                <c:ptCount val="1"/>
                <c:pt idx="0">
                  <c:v>Heavy Ind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comparison'!$B$76:$AQ$76</c:f>
              <c:numCache>
                <c:formatCode>General</c:formatCode>
                <c:ptCount val="42"/>
                <c:pt idx="0">
                  <c:v>10.899337224526</c:v>
                </c:pt>
                <c:pt idx="1">
                  <c:v>10.9029628066336</c:v>
                </c:pt>
                <c:pt idx="2">
                  <c:v>10.9025379442735</c:v>
                </c:pt>
                <c:pt idx="3">
                  <c:v>10.7990205155286</c:v>
                </c:pt>
                <c:pt idx="4">
                  <c:v>10.637377348476</c:v>
                </c:pt>
                <c:pt idx="5">
                  <c:v>12.6812321439895</c:v>
                </c:pt>
                <c:pt idx="6">
                  <c:v>12.3927608248618</c:v>
                </c:pt>
                <c:pt idx="7">
                  <c:v>12.0850036217105</c:v>
                </c:pt>
                <c:pt idx="8">
                  <c:v>11.7477004105115</c:v>
                </c:pt>
                <c:pt idx="9">
                  <c:v>11.5068413499982</c:v>
                </c:pt>
                <c:pt idx="10">
                  <c:v>11.5180697648692</c:v>
                </c:pt>
                <c:pt idx="11">
                  <c:v>11.5093710746908</c:v>
                </c:pt>
                <c:pt idx="12">
                  <c:v>11.5249033454792</c:v>
                </c:pt>
                <c:pt idx="13">
                  <c:v>11.9466153155876</c:v>
                </c:pt>
                <c:pt idx="14">
                  <c:v>10.2789277763009</c:v>
                </c:pt>
                <c:pt idx="15">
                  <c:v>10.8468288130388</c:v>
                </c:pt>
                <c:pt idx="16">
                  <c:v>10.9533985873552</c:v>
                </c:pt>
                <c:pt idx="17">
                  <c:v>10.6699560780819</c:v>
                </c:pt>
                <c:pt idx="18">
                  <c:v>12.3091889455778</c:v>
                </c:pt>
                <c:pt idx="19">
                  <c:v>12.1008446708346</c:v>
                </c:pt>
                <c:pt idx="20">
                  <c:v>11.5971424274024</c:v>
                </c:pt>
                <c:pt idx="21">
                  <c:v>10.3120432560664</c:v>
                </c:pt>
                <c:pt idx="22">
                  <c:v>10.5027402039583</c:v>
                </c:pt>
                <c:pt idx="23">
                  <c:v>10.1757247401989</c:v>
                </c:pt>
                <c:pt idx="24">
                  <c:v>9.75920861231516</c:v>
                </c:pt>
                <c:pt idx="25">
                  <c:v>9.92767115384219</c:v>
                </c:pt>
                <c:pt idx="26">
                  <c:v>9.57248137474936</c:v>
                </c:pt>
                <c:pt idx="27">
                  <c:v>10.3732267473478</c:v>
                </c:pt>
                <c:pt idx="28">
                  <c:v>17.7879331842778</c:v>
                </c:pt>
                <c:pt idx="29">
                  <c:v>18.1347148683488</c:v>
                </c:pt>
                <c:pt idx="30">
                  <c:v>17.3030029873739</c:v>
                </c:pt>
                <c:pt idx="31">
                  <c:v>13.9823246149457</c:v>
                </c:pt>
                <c:pt idx="32">
                  <c:v>25.6988235783435</c:v>
                </c:pt>
                <c:pt idx="33">
                  <c:v>28.743552277823</c:v>
                </c:pt>
                <c:pt idx="34">
                  <c:v>29.2283312742219</c:v>
                </c:pt>
                <c:pt idx="35">
                  <c:v>31.126711435078</c:v>
                </c:pt>
                <c:pt idx="36">
                  <c:v>30.4815330400285</c:v>
                </c:pt>
                <c:pt idx="37">
                  <c:v>30.8657297573753</c:v>
                </c:pt>
                <c:pt idx="38">
                  <c:v>26.4287776222084</c:v>
                </c:pt>
                <c:pt idx="39">
                  <c:v>27.6654304690722</c:v>
                </c:pt>
                <c:pt idx="40">
                  <c:v>26.7663715431543</c:v>
                </c:pt>
                <c:pt idx="41">
                  <c:v>26.3867310830584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'Index comparison'!$A$77:$A$77</c:f>
              <c:strCache>
                <c:ptCount val="1"/>
                <c:pt idx="0">
                  <c:v>Light Ind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comparison'!$B$77:$AQ$77</c:f>
              <c:numCache>
                <c:formatCode>General</c:formatCode>
                <c:ptCount val="42"/>
                <c:pt idx="0">
                  <c:v>12.6623610149314</c:v>
                </c:pt>
                <c:pt idx="1">
                  <c:v>12.5112696497652</c:v>
                </c:pt>
                <c:pt idx="2">
                  <c:v>12.6378308598203</c:v>
                </c:pt>
                <c:pt idx="3">
                  <c:v>12.5571681079703</c:v>
                </c:pt>
                <c:pt idx="4">
                  <c:v>11.6905201931089</c:v>
                </c:pt>
                <c:pt idx="5">
                  <c:v>12.3683406421599</c:v>
                </c:pt>
                <c:pt idx="6">
                  <c:v>12.9703975138935</c:v>
                </c:pt>
                <c:pt idx="7">
                  <c:v>12.8236729914519</c:v>
                </c:pt>
                <c:pt idx="8">
                  <c:v>11.7864212188395</c:v>
                </c:pt>
                <c:pt idx="9">
                  <c:v>11.2791407010811</c:v>
                </c:pt>
                <c:pt idx="10">
                  <c:v>11.4085110743726</c:v>
                </c:pt>
                <c:pt idx="11">
                  <c:v>11.3751269137584</c:v>
                </c:pt>
                <c:pt idx="12">
                  <c:v>11.3005091045666</c:v>
                </c:pt>
                <c:pt idx="13">
                  <c:v>11.4624565234004</c:v>
                </c:pt>
                <c:pt idx="14">
                  <c:v>12.2224754632163</c:v>
                </c:pt>
                <c:pt idx="15">
                  <c:v>11.912870315045</c:v>
                </c:pt>
                <c:pt idx="16">
                  <c:v>11.4138031270728</c:v>
                </c:pt>
                <c:pt idx="17">
                  <c:v>11.8069681442099</c:v>
                </c:pt>
                <c:pt idx="18">
                  <c:v>11.6732604830075</c:v>
                </c:pt>
                <c:pt idx="19">
                  <c:v>13.1733705604126</c:v>
                </c:pt>
                <c:pt idx="20">
                  <c:v>12.9797014980653</c:v>
                </c:pt>
                <c:pt idx="21">
                  <c:v>12.4011108954055</c:v>
                </c:pt>
                <c:pt idx="22">
                  <c:v>13.3516113124585</c:v>
                </c:pt>
                <c:pt idx="23">
                  <c:v>13.5825299362185</c:v>
                </c:pt>
                <c:pt idx="24">
                  <c:v>12.9232383826254</c:v>
                </c:pt>
                <c:pt idx="25">
                  <c:v>13.3548055747121</c:v>
                </c:pt>
                <c:pt idx="26">
                  <c:v>12.1011318120058</c:v>
                </c:pt>
                <c:pt idx="27">
                  <c:v>12.721021478664</c:v>
                </c:pt>
                <c:pt idx="28">
                  <c:v>12.1864233974916</c:v>
                </c:pt>
                <c:pt idx="29">
                  <c:v>11.495577866579</c:v>
                </c:pt>
                <c:pt idx="30">
                  <c:v>11.5893682678019</c:v>
                </c:pt>
                <c:pt idx="31">
                  <c:v>11.0388702697266</c:v>
                </c:pt>
                <c:pt idx="32">
                  <c:v>10.9895597611391</c:v>
                </c:pt>
                <c:pt idx="33">
                  <c:v>13.0205491012287</c:v>
                </c:pt>
                <c:pt idx="34">
                  <c:v>12.1405512984237</c:v>
                </c:pt>
                <c:pt idx="35">
                  <c:v>11.6675026590083</c:v>
                </c:pt>
                <c:pt idx="36">
                  <c:v>10.8933896428429</c:v>
                </c:pt>
                <c:pt idx="37">
                  <c:v>10.4187981675403</c:v>
                </c:pt>
                <c:pt idx="38">
                  <c:v>10.167312933989</c:v>
                </c:pt>
                <c:pt idx="39">
                  <c:v>9.76301745452315</c:v>
                </c:pt>
                <c:pt idx="40">
                  <c:v>9.75203341512125</c:v>
                </c:pt>
                <c:pt idx="41">
                  <c:v>9.51463505419593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'Index comparison'!$A$78:$A$78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comparison'!$B$78:$AQ$78</c:f>
              <c:numCache>
                <c:formatCode>General</c:formatCode>
                <c:ptCount val="42"/>
                <c:pt idx="0">
                  <c:v>9.2012364214815</c:v>
                </c:pt>
                <c:pt idx="1">
                  <c:v>9.09475485602308</c:v>
                </c:pt>
                <c:pt idx="2">
                  <c:v>9.12423942431841</c:v>
                </c:pt>
                <c:pt idx="3">
                  <c:v>9.24192053780514</c:v>
                </c:pt>
                <c:pt idx="4">
                  <c:v>8.90393519281993</c:v>
                </c:pt>
                <c:pt idx="5">
                  <c:v>9.16674719923811</c:v>
                </c:pt>
                <c:pt idx="6">
                  <c:v>9.53285002905808</c:v>
                </c:pt>
                <c:pt idx="7">
                  <c:v>9.48809338313892</c:v>
                </c:pt>
                <c:pt idx="8">
                  <c:v>8.79574288975044</c:v>
                </c:pt>
                <c:pt idx="9">
                  <c:v>9.17272408065204</c:v>
                </c:pt>
                <c:pt idx="10">
                  <c:v>8.97171280764859</c:v>
                </c:pt>
                <c:pt idx="11">
                  <c:v>8.97174813238518</c:v>
                </c:pt>
                <c:pt idx="12">
                  <c:v>8.92680524539367</c:v>
                </c:pt>
                <c:pt idx="13">
                  <c:v>9.00208722136747</c:v>
                </c:pt>
                <c:pt idx="14">
                  <c:v>8.75847160565373</c:v>
                </c:pt>
                <c:pt idx="15">
                  <c:v>8.39928849750413</c:v>
                </c:pt>
                <c:pt idx="16">
                  <c:v>8.18318961204114</c:v>
                </c:pt>
                <c:pt idx="17">
                  <c:v>8.45152985376013</c:v>
                </c:pt>
                <c:pt idx="18">
                  <c:v>8.57579743386041</c:v>
                </c:pt>
                <c:pt idx="19">
                  <c:v>14.152219114161</c:v>
                </c:pt>
                <c:pt idx="20">
                  <c:v>14.2238064453218</c:v>
                </c:pt>
                <c:pt idx="21">
                  <c:v>14.1839403148085</c:v>
                </c:pt>
                <c:pt idx="22">
                  <c:v>14.4650757704113</c:v>
                </c:pt>
                <c:pt idx="23">
                  <c:v>14.8187103873607</c:v>
                </c:pt>
                <c:pt idx="24">
                  <c:v>14.4194819613357</c:v>
                </c:pt>
                <c:pt idx="25">
                  <c:v>15.131386479835</c:v>
                </c:pt>
                <c:pt idx="26">
                  <c:v>14.3873924436983</c:v>
                </c:pt>
                <c:pt idx="27">
                  <c:v>8.21686318530491</c:v>
                </c:pt>
                <c:pt idx="28">
                  <c:v>7.9348889411692</c:v>
                </c:pt>
                <c:pt idx="29">
                  <c:v>7.98920327048971</c:v>
                </c:pt>
                <c:pt idx="30">
                  <c:v>7.9500803119931</c:v>
                </c:pt>
                <c:pt idx="31">
                  <c:v>8.2807563111732</c:v>
                </c:pt>
                <c:pt idx="32">
                  <c:v>7.57296029176983</c:v>
                </c:pt>
                <c:pt idx="33">
                  <c:v>9.23565143206922</c:v>
                </c:pt>
                <c:pt idx="34">
                  <c:v>9.2409037194584</c:v>
                </c:pt>
                <c:pt idx="35">
                  <c:v>8.9342482111913</c:v>
                </c:pt>
                <c:pt idx="36">
                  <c:v>8.67933095506004</c:v>
                </c:pt>
                <c:pt idx="37">
                  <c:v>8.55285064445795</c:v>
                </c:pt>
                <c:pt idx="38">
                  <c:v>9.29235892891631</c:v>
                </c:pt>
                <c:pt idx="39">
                  <c:v>9.03880658920487</c:v>
                </c:pt>
                <c:pt idx="40">
                  <c:v>9.02980594518924</c:v>
                </c:pt>
                <c:pt idx="41">
                  <c:v>8.89004628529207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'Index comparison'!$A$80:$A$80</c:f>
              <c:strCache>
                <c:ptCount val="1"/>
                <c:pt idx="0">
                  <c:v>MBI10 (cap)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comparison'!$B$80:$AQ$80</c:f>
              <c:numCache>
                <c:formatCode>General</c:formatCode>
                <c:ptCount val="42"/>
                <c:pt idx="0">
                  <c:v>21.0412354372841</c:v>
                </c:pt>
                <c:pt idx="1">
                  <c:v>20.6156044060361</c:v>
                </c:pt>
                <c:pt idx="2">
                  <c:v>20.848538484922</c:v>
                </c:pt>
                <c:pt idx="3">
                  <c:v>20.2957527863228</c:v>
                </c:pt>
                <c:pt idx="4">
                  <c:v>19.6586042918838</c:v>
                </c:pt>
                <c:pt idx="5">
                  <c:v>22.3692482567599</c:v>
                </c:pt>
                <c:pt idx="6">
                  <c:v>22.5855632524303</c:v>
                </c:pt>
                <c:pt idx="7">
                  <c:v>24.8540952723453</c:v>
                </c:pt>
                <c:pt idx="8">
                  <c:v>23.5042856380346</c:v>
                </c:pt>
                <c:pt idx="9">
                  <c:v>22.7996577150616</c:v>
                </c:pt>
                <c:pt idx="10">
                  <c:v>22.5579330113518</c:v>
                </c:pt>
                <c:pt idx="11">
                  <c:v>22.5524024936984</c:v>
                </c:pt>
                <c:pt idx="12">
                  <c:v>22.4498468084178</c:v>
                </c:pt>
                <c:pt idx="13">
                  <c:v>21.9609220231201</c:v>
                </c:pt>
                <c:pt idx="14">
                  <c:v>22.2749349466974</c:v>
                </c:pt>
                <c:pt idx="15">
                  <c:v>21.0411345330703</c:v>
                </c:pt>
                <c:pt idx="16">
                  <c:v>20.8321232015939</c:v>
                </c:pt>
                <c:pt idx="17">
                  <c:v>21.1752698125123</c:v>
                </c:pt>
                <c:pt idx="18">
                  <c:v>21.1587528147669</c:v>
                </c:pt>
                <c:pt idx="19">
                  <c:v>25.2985613644303</c:v>
                </c:pt>
                <c:pt idx="20">
                  <c:v>25.3483744116367</c:v>
                </c:pt>
                <c:pt idx="21">
                  <c:v>24.6234018008872</c:v>
                </c:pt>
                <c:pt idx="22">
                  <c:v>25.2164472231458</c:v>
                </c:pt>
                <c:pt idx="23">
                  <c:v>24.9607480916117</c:v>
                </c:pt>
                <c:pt idx="24">
                  <c:v>24.0854411586455</c:v>
                </c:pt>
                <c:pt idx="25">
                  <c:v>24.4305125012141</c:v>
                </c:pt>
                <c:pt idx="26">
                  <c:v>22.9971489886493</c:v>
                </c:pt>
                <c:pt idx="27">
                  <c:v>18.4736828786099</c:v>
                </c:pt>
                <c:pt idx="28">
                  <c:v>17.5613186587145</c:v>
                </c:pt>
                <c:pt idx="29">
                  <c:v>17.3420930378597</c:v>
                </c:pt>
                <c:pt idx="30">
                  <c:v>17.3105480408184</c:v>
                </c:pt>
                <c:pt idx="31">
                  <c:v>13.5036054044231</c:v>
                </c:pt>
                <c:pt idx="32">
                  <c:v>12.36357557017</c:v>
                </c:pt>
                <c:pt idx="33">
                  <c:v>14.275859197647</c:v>
                </c:pt>
                <c:pt idx="34">
                  <c:v>13.5016569125276</c:v>
                </c:pt>
                <c:pt idx="35">
                  <c:v>12.883112648017</c:v>
                </c:pt>
                <c:pt idx="36">
                  <c:v>12.5880699794698</c:v>
                </c:pt>
                <c:pt idx="37">
                  <c:v>12.2962386295237</c:v>
                </c:pt>
                <c:pt idx="38">
                  <c:v>18.5557301929645</c:v>
                </c:pt>
                <c:pt idx="39">
                  <c:v>18.0260833544877</c:v>
                </c:pt>
                <c:pt idx="40">
                  <c:v>18.0948918786383</c:v>
                </c:pt>
                <c:pt idx="41">
                  <c:v>17.9377311382211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'Index comparison'!$A$81:$A$81</c:f>
              <c:strCache>
                <c:ptCount val="1"/>
                <c:pt idx="0">
                  <c:v>MI wo. MBI10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comparison'!$B$81:$AQ$81</c:f>
              <c:numCache>
                <c:formatCode>General</c:formatCode>
                <c:ptCount val="42"/>
                <c:pt idx="0">
                  <c:v>9.79266365110131</c:v>
                </c:pt>
                <c:pt idx="1">
                  <c:v>9.96341800102724</c:v>
                </c:pt>
                <c:pt idx="2">
                  <c:v>9.96341800102724</c:v>
                </c:pt>
                <c:pt idx="3">
                  <c:v>9.86865136600566</c:v>
                </c:pt>
                <c:pt idx="4">
                  <c:v>9.62190939139654</c:v>
                </c:pt>
                <c:pt idx="5">
                  <c:v>11.5552211357657</c:v>
                </c:pt>
                <c:pt idx="6">
                  <c:v>11.4359577400163</c:v>
                </c:pt>
                <c:pt idx="7">
                  <c:v>11.151376484818</c:v>
                </c:pt>
                <c:pt idx="8">
                  <c:v>10.7876132108534</c:v>
                </c:pt>
                <c:pt idx="9">
                  <c:v>10.557542752042</c:v>
                </c:pt>
                <c:pt idx="10">
                  <c:v>10.5694478022562</c:v>
                </c:pt>
                <c:pt idx="11">
                  <c:v>10.5697881683018</c:v>
                </c:pt>
                <c:pt idx="12">
                  <c:v>10.4896832644044</c:v>
                </c:pt>
                <c:pt idx="13">
                  <c:v>10.7354402337231</c:v>
                </c:pt>
                <c:pt idx="14">
                  <c:v>10.023121495694</c:v>
                </c:pt>
                <c:pt idx="15">
                  <c:v>10.4887892413587</c:v>
                </c:pt>
                <c:pt idx="16">
                  <c:v>10.3242503876793</c:v>
                </c:pt>
                <c:pt idx="17">
                  <c:v>10.244811889354</c:v>
                </c:pt>
                <c:pt idx="18">
                  <c:v>11.6829382895316</c:v>
                </c:pt>
                <c:pt idx="19">
                  <c:v>11.5882171810088</c:v>
                </c:pt>
                <c:pt idx="20">
                  <c:v>11.3764988671637</c:v>
                </c:pt>
                <c:pt idx="21">
                  <c:v>10.3048773380342</c:v>
                </c:pt>
                <c:pt idx="22">
                  <c:v>10.3181834830685</c:v>
                </c:pt>
                <c:pt idx="23">
                  <c:v>10.038051031382</c:v>
                </c:pt>
                <c:pt idx="24">
                  <c:v>9.93714436274529</c:v>
                </c:pt>
                <c:pt idx="25">
                  <c:v>10.0686470057108</c:v>
                </c:pt>
                <c:pt idx="26">
                  <c:v>10.0595564864405</c:v>
                </c:pt>
                <c:pt idx="27">
                  <c:v>10.607048149496</c:v>
                </c:pt>
                <c:pt idx="28">
                  <c:v>16.2994838082964</c:v>
                </c:pt>
                <c:pt idx="29">
                  <c:v>16.3967770416203</c:v>
                </c:pt>
                <c:pt idx="30">
                  <c:v>15.6815506229451</c:v>
                </c:pt>
                <c:pt idx="31">
                  <c:v>13.1343929735482</c:v>
                </c:pt>
                <c:pt idx="32">
                  <c:v>21.8756415846645</c:v>
                </c:pt>
                <c:pt idx="33">
                  <c:v>24.5567403944626</c:v>
                </c:pt>
                <c:pt idx="34">
                  <c:v>25.0832235563094</c:v>
                </c:pt>
                <c:pt idx="35">
                  <c:v>26.4526081697854</c:v>
                </c:pt>
                <c:pt idx="36">
                  <c:v>25.8798735076948</c:v>
                </c:pt>
                <c:pt idx="37">
                  <c:v>26.0632745565719</c:v>
                </c:pt>
                <c:pt idx="38">
                  <c:v>22.3724856732759</c:v>
                </c:pt>
                <c:pt idx="39">
                  <c:v>23.2342460081196</c:v>
                </c:pt>
                <c:pt idx="40">
                  <c:v>22.8260726210665</c:v>
                </c:pt>
                <c:pt idx="41">
                  <c:v>22.4326021203419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'Index comparison'!$A$82:$A$82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prstDash val="sysDash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comparison'!$B$1:$AQ$1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comparison'!$B$82:$AQ$82</c:f>
              <c:numCache>
                <c:formatCode>General</c:formatCode>
                <c:ptCount val="42"/>
                <c:pt idx="0">
                  <c:v>19.3150235709097</c:v>
                </c:pt>
                <c:pt idx="1">
                  <c:v>18.9578810908084</c:v>
                </c:pt>
                <c:pt idx="2">
                  <c:v>12.6378308598203</c:v>
                </c:pt>
                <c:pt idx="3">
                  <c:v>18.6843059343111</c:v>
                </c:pt>
                <c:pt idx="4">
                  <c:v>18.0301145946814</c:v>
                </c:pt>
                <c:pt idx="5">
                  <c:v>19.2542548690239</c:v>
                </c:pt>
                <c:pt idx="6">
                  <c:v>19.7047201863281</c:v>
                </c:pt>
                <c:pt idx="7">
                  <c:v>22.5491190029203</c:v>
                </c:pt>
                <c:pt idx="8">
                  <c:v>21.2572960604685</c:v>
                </c:pt>
                <c:pt idx="9">
                  <c:v>20.665842954664</c:v>
                </c:pt>
                <c:pt idx="10">
                  <c:v>20.4205816857741</c:v>
                </c:pt>
                <c:pt idx="11">
                  <c:v>20.3977229057142</c:v>
                </c:pt>
                <c:pt idx="12">
                  <c:v>20.3114942135685</c:v>
                </c:pt>
                <c:pt idx="13">
                  <c:v>20.0048198161827</c:v>
                </c:pt>
                <c:pt idx="14">
                  <c:v>20.004694194427</c:v>
                </c:pt>
                <c:pt idx="15">
                  <c:v>19.2944718618554</c:v>
                </c:pt>
                <c:pt idx="16">
                  <c:v>19.0912066130448</c:v>
                </c:pt>
                <c:pt idx="17">
                  <c:v>19.4095107626708</c:v>
                </c:pt>
                <c:pt idx="18">
                  <c:v>19.4991461657472</c:v>
                </c:pt>
                <c:pt idx="19">
                  <c:v>22.5662666299007</c:v>
                </c:pt>
                <c:pt idx="20">
                  <c:v>22.5221939427142</c:v>
                </c:pt>
                <c:pt idx="21">
                  <c:v>21.6346206955148</c:v>
                </c:pt>
                <c:pt idx="22">
                  <c:v>22.2941354172969</c:v>
                </c:pt>
                <c:pt idx="23">
                  <c:v>22.1305736989493</c:v>
                </c:pt>
                <c:pt idx="24">
                  <c:v>21.2426221770076</c:v>
                </c:pt>
                <c:pt idx="25">
                  <c:v>21.6806067857633</c:v>
                </c:pt>
                <c:pt idx="26">
                  <c:v>17.4297304496313</c:v>
                </c:pt>
                <c:pt idx="27">
                  <c:v>14.8125873093032</c:v>
                </c:pt>
                <c:pt idx="28">
                  <c:v>16.8720480699949</c:v>
                </c:pt>
                <c:pt idx="29">
                  <c:v>16.8443631909863</c:v>
                </c:pt>
                <c:pt idx="30">
                  <c:v>16.4751922228511</c:v>
                </c:pt>
                <c:pt idx="31">
                  <c:v>13.3189991889856</c:v>
                </c:pt>
                <c:pt idx="32">
                  <c:v>13.5381788350017</c:v>
                </c:pt>
                <c:pt idx="33">
                  <c:v>15.3620074830251</c:v>
                </c:pt>
                <c:pt idx="34">
                  <c:v>14.7917542629344</c:v>
                </c:pt>
                <c:pt idx="35">
                  <c:v>14.4072187812253</c:v>
                </c:pt>
                <c:pt idx="36">
                  <c:v>14.1320307586725</c:v>
                </c:pt>
                <c:pt idx="37">
                  <c:v>13.9640387651007</c:v>
                </c:pt>
                <c:pt idx="38">
                  <c:v>19.046748575318</c:v>
                </c:pt>
                <c:pt idx="39">
                  <c:v>18.6829201935815</c:v>
                </c:pt>
                <c:pt idx="40">
                  <c:v>18.7144800919144</c:v>
                </c:pt>
                <c:pt idx="41">
                  <c:v>18.5268873046676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45705243"/>
        <c:axId val="79327637"/>
      </c:lineChart>
      <c:catAx>
        <c:axId val="45705243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9327637"/>
        <c:crosses val="autoZero"/>
        <c:auto val="1"/>
        <c:lblAlgn val="ctr"/>
        <c:lblOffset val="100"/>
        <c:noMultiLvlLbl val="0"/>
      </c:catAx>
      <c:valAx>
        <c:axId val="79327637"/>
        <c:scaling>
          <c:orientation val="minMax"/>
          <c:min val="1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5705243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0214850666981466"/>
          <c:y val="0"/>
          <c:w val="0.922495720441532"/>
          <c:h val="0.201769594069469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853910108145277"/>
          <c:y val="0.104498551774077"/>
          <c:w val="0.816028005250985"/>
          <c:h val="0.704969225199131"/>
        </c:manualLayout>
      </c:layout>
      <c:lineChart>
        <c:grouping val="standard"/>
        <c:varyColors val="0"/>
        <c:ser>
          <c:idx val="0"/>
          <c:order val="0"/>
          <c:tx>
            <c:strRef>
              <c:f>'Index Sensitivity'!$A$2:$A$2</c:f>
              <c:strCache>
                <c:ptCount val="1"/>
                <c:pt idx="0">
                  <c:v>MBI10 (reg)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custDash>
                <a:ds d="63750" sp="63750"/>
                <a:ds d="63750" sp="63750"/>
              </a:custDash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Sensitivity'!$B$2:$AQ$2</c:f>
              <c:numCache>
                <c:formatCode>General</c:formatCode>
                <c:ptCount val="42"/>
                <c:pt idx="0">
                  <c:v>2529.4925034898</c:v>
                </c:pt>
                <c:pt idx="1">
                  <c:v>2442.93365573876</c:v>
                </c:pt>
                <c:pt idx="2">
                  <c:v>2476.62560670043</c:v>
                </c:pt>
                <c:pt idx="3">
                  <c:v>2398.72556406348</c:v>
                </c:pt>
                <c:pt idx="4">
                  <c:v>2249.99269915252</c:v>
                </c:pt>
                <c:pt idx="5">
                  <c:v>2098.88851897928</c:v>
                </c:pt>
                <c:pt idx="6">
                  <c:v>2063.84153072489</c:v>
                </c:pt>
                <c:pt idx="7">
                  <c:v>1955.97004900329</c:v>
                </c:pt>
                <c:pt idx="8">
                  <c:v>1786.14649588524</c:v>
                </c:pt>
                <c:pt idx="9">
                  <c:v>1740.93088725739</c:v>
                </c:pt>
                <c:pt idx="10">
                  <c:v>1694.69023964302</c:v>
                </c:pt>
                <c:pt idx="11">
                  <c:v>1692.09113793929</c:v>
                </c:pt>
                <c:pt idx="12">
                  <c:v>1683.80905655528</c:v>
                </c:pt>
                <c:pt idx="13">
                  <c:v>1668.48895819827</c:v>
                </c:pt>
                <c:pt idx="14">
                  <c:v>1706.45628544561</c:v>
                </c:pt>
                <c:pt idx="15">
                  <c:v>1650.67197000228</c:v>
                </c:pt>
                <c:pt idx="16">
                  <c:v>1631.4006529878</c:v>
                </c:pt>
                <c:pt idx="17">
                  <c:v>1681.26252095343</c:v>
                </c:pt>
                <c:pt idx="18">
                  <c:v>1690.06734301718</c:v>
                </c:pt>
                <c:pt idx="19">
                  <c:v>1780.62997552756</c:v>
                </c:pt>
                <c:pt idx="20">
                  <c:v>1713.98199903045</c:v>
                </c:pt>
                <c:pt idx="21">
                  <c:v>1643.32147675702</c:v>
                </c:pt>
                <c:pt idx="22">
                  <c:v>1798.98138575926</c:v>
                </c:pt>
                <c:pt idx="23">
                  <c:v>1797.02475863398</c:v>
                </c:pt>
                <c:pt idx="24">
                  <c:v>1663.79013275861</c:v>
                </c:pt>
                <c:pt idx="25">
                  <c:v>1718.73339057198</c:v>
                </c:pt>
                <c:pt idx="26">
                  <c:v>1542.27190692296</c:v>
                </c:pt>
                <c:pt idx="27">
                  <c:v>1414.91884377939</c:v>
                </c:pt>
                <c:pt idx="28">
                  <c:v>1373.97569109822</c:v>
                </c:pt>
                <c:pt idx="29">
                  <c:v>1309.82460444008</c:v>
                </c:pt>
                <c:pt idx="30">
                  <c:v>1312.76830614498</c:v>
                </c:pt>
                <c:pt idx="31">
                  <c:v>1202.20427187188</c:v>
                </c:pt>
                <c:pt idx="32">
                  <c:v>1058.10598494273</c:v>
                </c:pt>
                <c:pt idx="33">
                  <c:v>1459.53286257469</c:v>
                </c:pt>
                <c:pt idx="34">
                  <c:v>1357.63347409367</c:v>
                </c:pt>
                <c:pt idx="35">
                  <c:v>1263.94899919983</c:v>
                </c:pt>
                <c:pt idx="36">
                  <c:v>1192.85626675545</c:v>
                </c:pt>
                <c:pt idx="37">
                  <c:v>1116.03966988488</c:v>
                </c:pt>
                <c:pt idx="38">
                  <c:v>1070.20494939053</c:v>
                </c:pt>
                <c:pt idx="39">
                  <c:v>1013.07435767144</c:v>
                </c:pt>
                <c:pt idx="40">
                  <c:v>1030.9030272234</c:v>
                </c:pt>
                <c:pt idx="41">
                  <c:v>1000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'Index Sensitivity'!$A$8:$A$8</c:f>
              <c:strCache>
                <c:ptCount val="1"/>
                <c:pt idx="0">
                  <c:v>S&amp;P 500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prstDash val="lgDash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Sensitivity'!$B$8:$AQ$8</c:f>
              <c:numCache>
                <c:formatCode>General</c:formatCode>
                <c:ptCount val="42"/>
                <c:pt idx="0">
                  <c:v>1937.21463545648</c:v>
                </c:pt>
                <c:pt idx="1">
                  <c:v>1785.81561748927</c:v>
                </c:pt>
                <c:pt idx="2">
                  <c:v>1901.5005956931</c:v>
                </c:pt>
                <c:pt idx="3">
                  <c:v>1924.21612985421</c:v>
                </c:pt>
                <c:pt idx="4">
                  <c:v>1880.21403632006</c:v>
                </c:pt>
                <c:pt idx="5">
                  <c:v>1745.94894255866</c:v>
                </c:pt>
                <c:pt idx="6">
                  <c:v>1805.59400588118</c:v>
                </c:pt>
                <c:pt idx="7">
                  <c:v>1751.62352195801</c:v>
                </c:pt>
                <c:pt idx="8">
                  <c:v>1647.05700059914</c:v>
                </c:pt>
                <c:pt idx="9">
                  <c:v>1492.90333243807</c:v>
                </c:pt>
                <c:pt idx="10">
                  <c:v>1476.50972047187</c:v>
                </c:pt>
                <c:pt idx="11">
                  <c:v>1471.51003037002</c:v>
                </c:pt>
                <c:pt idx="12">
                  <c:v>1538.27930775641</c:v>
                </c:pt>
                <c:pt idx="13">
                  <c:v>1532.405016218</c:v>
                </c:pt>
                <c:pt idx="14">
                  <c:v>1414.96394851559</c:v>
                </c:pt>
                <c:pt idx="15">
                  <c:v>1325.42748727696</c:v>
                </c:pt>
                <c:pt idx="16">
                  <c:v>1234.64110351287</c:v>
                </c:pt>
                <c:pt idx="17">
                  <c:v>1354.14815886068</c:v>
                </c:pt>
                <c:pt idx="18">
                  <c:v>1303.42471885351</c:v>
                </c:pt>
                <c:pt idx="19">
                  <c:v>1559.96184809482</c:v>
                </c:pt>
                <c:pt idx="20">
                  <c:v>1509.77212156271</c:v>
                </c:pt>
                <c:pt idx="21">
                  <c:v>1476.73353580012</c:v>
                </c:pt>
                <c:pt idx="22">
                  <c:v>1454.97179926864</c:v>
                </c:pt>
                <c:pt idx="23">
                  <c:v>1645.46619011218</c:v>
                </c:pt>
                <c:pt idx="24">
                  <c:v>1483.22073700666</c:v>
                </c:pt>
                <c:pt idx="25">
                  <c:v>1538.72349510017</c:v>
                </c:pt>
                <c:pt idx="26">
                  <c:v>1479.76365101337</c:v>
                </c:pt>
                <c:pt idx="27">
                  <c:v>1367.99027608482</c:v>
                </c:pt>
                <c:pt idx="28">
                  <c:v>1285.05808868596</c:v>
                </c:pt>
                <c:pt idx="29">
                  <c:v>1157.98607524327</c:v>
                </c:pt>
                <c:pt idx="30">
                  <c:v>1142.99733487594</c:v>
                </c:pt>
                <c:pt idx="31">
                  <c:v>1067.5268061897</c:v>
                </c:pt>
                <c:pt idx="32">
                  <c:v>889.955168068095</c:v>
                </c:pt>
                <c:pt idx="33">
                  <c:v>1041.23711340206</c:v>
                </c:pt>
                <c:pt idx="34">
                  <c:v>1109.19089037181</c:v>
                </c:pt>
                <c:pt idx="35">
                  <c:v>1024.9846772583</c:v>
                </c:pt>
                <c:pt idx="36">
                  <c:v>1035.53843081352</c:v>
                </c:pt>
                <c:pt idx="37">
                  <c:v>1012.93996928565</c:v>
                </c:pt>
                <c:pt idx="38">
                  <c:v>975.972563684069</c:v>
                </c:pt>
                <c:pt idx="39">
                  <c:v>855.918021610231</c:v>
                </c:pt>
                <c:pt idx="40">
                  <c:v>1003.37444648748</c:v>
                </c:pt>
                <c:pt idx="41">
                  <c:v>1000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'Index Sensitivity'!$A$9:$A$9</c:f>
              <c:strCache>
                <c:ptCount val="1"/>
                <c:pt idx="0">
                  <c:v>DOW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Sensitivity'!$B$9:$AQ$9</c:f>
              <c:numCache>
                <c:formatCode>General</c:formatCode>
                <c:ptCount val="42"/>
                <c:pt idx="0">
                  <c:v>1583.17891194787</c:v>
                </c:pt>
                <c:pt idx="1">
                  <c:v>1480.27556042055</c:v>
                </c:pt>
                <c:pt idx="2">
                  <c:v>1562.10531710599</c:v>
                </c:pt>
                <c:pt idx="3">
                  <c:v>1575.69401655856</c:v>
                </c:pt>
                <c:pt idx="4">
                  <c:v>1496.17054087453</c:v>
                </c:pt>
                <c:pt idx="5">
                  <c:v>1472.64226751406</c:v>
                </c:pt>
                <c:pt idx="6">
                  <c:v>1513.30471709046</c:v>
                </c:pt>
                <c:pt idx="7">
                  <c:v>1494.26776343141</c:v>
                </c:pt>
                <c:pt idx="8">
                  <c:v>1442.29000317066</c:v>
                </c:pt>
                <c:pt idx="9">
                  <c:v>1285.2697488219</c:v>
                </c:pt>
                <c:pt idx="10">
                  <c:v>1281.55407387519</c:v>
                </c:pt>
                <c:pt idx="11">
                  <c:v>1285.81400054081</c:v>
                </c:pt>
                <c:pt idx="12">
                  <c:v>1322.40278528371</c:v>
                </c:pt>
                <c:pt idx="13">
                  <c:v>1315.98000305209</c:v>
                </c:pt>
                <c:pt idx="14">
                  <c:v>1272.62918711435</c:v>
                </c:pt>
                <c:pt idx="15">
                  <c:v>1270.58872125324</c:v>
                </c:pt>
                <c:pt idx="16">
                  <c:v>1098.65834110699</c:v>
                </c:pt>
                <c:pt idx="17">
                  <c:v>1189.66503085177</c:v>
                </c:pt>
                <c:pt idx="18">
                  <c:v>1177.06118605568</c:v>
                </c:pt>
                <c:pt idx="19">
                  <c:v>1326.33531948876</c:v>
                </c:pt>
                <c:pt idx="20">
                  <c:v>1302.6376128806</c:v>
                </c:pt>
                <c:pt idx="21">
                  <c:v>1270.70460900505</c:v>
                </c:pt>
                <c:pt idx="22">
                  <c:v>1267.18322771484</c:v>
                </c:pt>
                <c:pt idx="23">
                  <c:v>1392.10945923256</c:v>
                </c:pt>
                <c:pt idx="24">
                  <c:v>1294.42105653678</c:v>
                </c:pt>
                <c:pt idx="25">
                  <c:v>1333.6511640982</c:v>
                </c:pt>
                <c:pt idx="26">
                  <c:v>1319.61000520539</c:v>
                </c:pt>
                <c:pt idx="27">
                  <c:v>1261.43817847402</c:v>
                </c:pt>
                <c:pt idx="28">
                  <c:v>1163.06783564134</c:v>
                </c:pt>
                <c:pt idx="29">
                  <c:v>1062.56064505494</c:v>
                </c:pt>
                <c:pt idx="30">
                  <c:v>1057.80733489151</c:v>
                </c:pt>
                <c:pt idx="31">
                  <c:v>987.259614189404</c:v>
                </c:pt>
                <c:pt idx="32">
                  <c:v>838.260857592311</c:v>
                </c:pt>
                <c:pt idx="33">
                  <c:v>999.054921997599</c:v>
                </c:pt>
                <c:pt idx="34">
                  <c:v>1088.58528592721</c:v>
                </c:pt>
                <c:pt idx="35">
                  <c:v>1029.48215003524</c:v>
                </c:pt>
                <c:pt idx="36">
                  <c:v>1041.05906871379</c:v>
                </c:pt>
                <c:pt idx="37">
                  <c:v>1017.36289197693</c:v>
                </c:pt>
                <c:pt idx="38">
                  <c:v>991.688591634893</c:v>
                </c:pt>
                <c:pt idx="39">
                  <c:v>882.062603098984</c:v>
                </c:pt>
                <c:pt idx="40">
                  <c:v>1011.94523519668</c:v>
                </c:pt>
                <c:pt idx="41">
                  <c:v>1000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'Index Sensitivity'!$A$10:$A$10</c:f>
              <c:strCache>
                <c:ptCount val="1"/>
                <c:pt idx="0">
                  <c:v>Russel 2000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Sensitivity'!$B$10:$AQ$10</c:f>
              <c:numCache>
                <c:formatCode>General</c:formatCode>
                <c:ptCount val="42"/>
                <c:pt idx="0">
                  <c:v>1273.09370479257</c:v>
                </c:pt>
                <c:pt idx="1">
                  <c:v>1189.48621027579</c:v>
                </c:pt>
                <c:pt idx="2">
                  <c:v>1315.0870315927</c:v>
                </c:pt>
                <c:pt idx="3">
                  <c:v>1306.44803770591</c:v>
                </c:pt>
                <c:pt idx="4">
                  <c:v>1194.46194409445</c:v>
                </c:pt>
                <c:pt idx="5">
                  <c:v>1168.18330300061</c:v>
                </c:pt>
                <c:pt idx="6">
                  <c:v>1226.63213402399</c:v>
                </c:pt>
                <c:pt idx="7">
                  <c:v>1174.71650566989</c:v>
                </c:pt>
                <c:pt idx="8">
                  <c:v>1200.67431984694</c:v>
                </c:pt>
                <c:pt idx="9">
                  <c:v>1024.30701385972</c:v>
                </c:pt>
                <c:pt idx="10">
                  <c:v>1041.28750758318</c:v>
                </c:pt>
                <c:pt idx="11">
                  <c:v>1027.5852816277</c:v>
                </c:pt>
                <c:pt idx="12">
                  <c:v>1073.80185729619</c:v>
                </c:pt>
                <c:pt idx="13">
                  <c:v>1101.73713192403</c:v>
                </c:pt>
                <c:pt idx="14">
                  <c:v>1051.4256381539</c:v>
                </c:pt>
                <c:pt idx="15">
                  <c:v>1030.29189416212</c:v>
                </c:pt>
                <c:pt idx="16">
                  <c:v>971.06724532176</c:v>
                </c:pt>
                <c:pt idx="17">
                  <c:v>1068.39446544402</c:v>
                </c:pt>
                <c:pt idx="18">
                  <c:v>996.307573848523</c:v>
                </c:pt>
                <c:pt idx="19">
                  <c:v>1207.55168229969</c:v>
                </c:pt>
                <c:pt idx="20">
                  <c:v>1190.51868962621</c:v>
                </c:pt>
                <c:pt idx="21">
                  <c:v>1164.31004713239</c:v>
                </c:pt>
                <c:pt idx="22">
                  <c:v>1134.02981940361</c:v>
                </c:pt>
                <c:pt idx="23">
                  <c:v>1311.76793130804</c:v>
                </c:pt>
                <c:pt idx="24">
                  <c:v>1285.85678286434</c:v>
                </c:pt>
                <c:pt idx="25">
                  <c:v>1307.09552475617</c:v>
                </c:pt>
                <c:pt idx="26">
                  <c:v>1347.79387745578</c:v>
                </c:pt>
                <c:pt idx="27">
                  <c:v>1295.27742778478</c:v>
                </c:pt>
                <c:pt idx="28">
                  <c:v>1154.97106724532</c:v>
                </c:pt>
                <c:pt idx="29">
                  <c:v>879.468243968454</c:v>
                </c:pt>
                <c:pt idx="30">
                  <c:v>896.437071258575</c:v>
                </c:pt>
                <c:pt idx="31">
                  <c:v>840.782351019646</c:v>
                </c:pt>
                <c:pt idx="32">
                  <c:v>672.628214102385</c:v>
                </c:pt>
                <c:pt idx="33">
                  <c:v>862.627747445051</c:v>
                </c:pt>
                <c:pt idx="34">
                  <c:v>970.734751971627</c:v>
                </c:pt>
                <c:pt idx="35">
                  <c:v>888.614727705446</c:v>
                </c:pt>
                <c:pt idx="36">
                  <c:v>920.563255401559</c:v>
                </c:pt>
                <c:pt idx="37">
                  <c:v>913.814223715526</c:v>
                </c:pt>
                <c:pt idx="38">
                  <c:v>898.163703392599</c:v>
                </c:pt>
                <c:pt idx="39">
                  <c:v>780.437724578842</c:v>
                </c:pt>
                <c:pt idx="40">
                  <c:v>989.646040412525</c:v>
                </c:pt>
                <c:pt idx="41">
                  <c:v>1000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'Index Sensitivity'!$A$11:$A$11</c:f>
              <c:strCache>
                <c:ptCount val="1"/>
                <c:pt idx="0">
                  <c:v>FTSE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Sensitivity'!$B$11:$AQ$11</c:f>
              <c:numCache>
                <c:formatCode>General</c:formatCode>
                <c:ptCount val="42"/>
                <c:pt idx="0">
                  <c:v>1136.16843620263</c:v>
                </c:pt>
                <c:pt idx="1">
                  <c:v>1099.79441246874</c:v>
                </c:pt>
                <c:pt idx="2">
                  <c:v>1149.19996649074</c:v>
                </c:pt>
                <c:pt idx="3">
                  <c:v>1124.4086096817</c:v>
                </c:pt>
                <c:pt idx="4">
                  <c:v>1121.20325698991</c:v>
                </c:pt>
                <c:pt idx="5">
                  <c:v>1104.81805434817</c:v>
                </c:pt>
                <c:pt idx="6">
                  <c:v>1089.74987537028</c:v>
                </c:pt>
                <c:pt idx="7">
                  <c:v>1055.33422050464</c:v>
                </c:pt>
                <c:pt idx="8">
                  <c:v>1060.58720852783</c:v>
                </c:pt>
                <c:pt idx="9">
                  <c:v>1028.92782737789</c:v>
                </c:pt>
                <c:pt idx="10">
                  <c:v>1044.84060443009</c:v>
                </c:pt>
                <c:pt idx="11">
                  <c:v>1047.26315890666</c:v>
                </c:pt>
                <c:pt idx="12">
                  <c:v>1033.56693680072</c:v>
                </c:pt>
                <c:pt idx="13">
                  <c:v>1034.3277617327</c:v>
                </c:pt>
                <c:pt idx="14">
                  <c:v>1048.08990368835</c:v>
                </c:pt>
                <c:pt idx="15">
                  <c:v>1031.74452762248</c:v>
                </c:pt>
                <c:pt idx="16">
                  <c:v>946.747748081801</c:v>
                </c:pt>
                <c:pt idx="17">
                  <c:v>1014.32246067812</c:v>
                </c:pt>
                <c:pt idx="18">
                  <c:v>984.578875160165</c:v>
                </c:pt>
                <c:pt idx="19">
                  <c:v>1032.15103336231</c:v>
                </c:pt>
                <c:pt idx="20">
                  <c:v>1028.5501615723</c:v>
                </c:pt>
                <c:pt idx="21">
                  <c:v>989.760450012841</c:v>
                </c:pt>
                <c:pt idx="22">
                  <c:v>1029.74770550856</c:v>
                </c:pt>
                <c:pt idx="23">
                  <c:v>1016.67772197479</c:v>
                </c:pt>
                <c:pt idx="24">
                  <c:v>973.199461105229</c:v>
                </c:pt>
                <c:pt idx="25">
                  <c:v>970.728840071578</c:v>
                </c:pt>
                <c:pt idx="26">
                  <c:v>966.477009765751</c:v>
                </c:pt>
                <c:pt idx="27">
                  <c:v>922.003084499634</c:v>
                </c:pt>
                <c:pt idx="28">
                  <c:v>900.330560579655</c:v>
                </c:pt>
                <c:pt idx="29">
                  <c:v>805.609229877623</c:v>
                </c:pt>
                <c:pt idx="30">
                  <c:v>824.966319076793</c:v>
                </c:pt>
                <c:pt idx="31">
                  <c:v>847.309028135416</c:v>
                </c:pt>
                <c:pt idx="32">
                  <c:v>778.947397333267</c:v>
                </c:pt>
                <c:pt idx="33">
                  <c:v>920.876953733879</c:v>
                </c:pt>
                <c:pt idx="34">
                  <c:v>1041.95249101499</c:v>
                </c:pt>
                <c:pt idx="35">
                  <c:v>1017.39185367991</c:v>
                </c:pt>
                <c:pt idx="36">
                  <c:v>1011.79553310618</c:v>
                </c:pt>
                <c:pt idx="37">
                  <c:v>1019.78419489204</c:v>
                </c:pt>
                <c:pt idx="38">
                  <c:v>999.673147411891</c:v>
                </c:pt>
                <c:pt idx="39">
                  <c:v>924.796438130788</c:v>
                </c:pt>
                <c:pt idx="40">
                  <c:v>1031.39844841154</c:v>
                </c:pt>
                <c:pt idx="41">
                  <c:v>1000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'Index Sensitivity'!$A$12:$A$12</c:f>
              <c:strCache>
                <c:ptCount val="1"/>
                <c:pt idx="0">
                  <c:v>DAX 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Sensitivity'!$B$12:$AQ$12</c:f>
              <c:numCache>
                <c:formatCode>General</c:formatCode>
                <c:ptCount val="42"/>
                <c:pt idx="0">
                  <c:v>1548.61453853205</c:v>
                </c:pt>
                <c:pt idx="1">
                  <c:v>1443.23568812705</c:v>
                </c:pt>
                <c:pt idx="2">
                  <c:v>1535.28043100481</c:v>
                </c:pt>
                <c:pt idx="3">
                  <c:v>1529.36199509769</c:v>
                </c:pt>
                <c:pt idx="4">
                  <c:v>1512.61866940953</c:v>
                </c:pt>
                <c:pt idx="5">
                  <c:v>1504.50622327476</c:v>
                </c:pt>
                <c:pt idx="6">
                  <c:v>1533.93996955759</c:v>
                </c:pt>
                <c:pt idx="7">
                  <c:v>1440.86748427073</c:v>
                </c:pt>
                <c:pt idx="8">
                  <c:v>1385.38266607496</c:v>
                </c:pt>
                <c:pt idx="9">
                  <c:v>1254.86684556076</c:v>
                </c:pt>
                <c:pt idx="10">
                  <c:v>1276.30676327501</c:v>
                </c:pt>
                <c:pt idx="11">
                  <c:v>1262.97597372165</c:v>
                </c:pt>
                <c:pt idx="12">
                  <c:v>1298.49156612515</c:v>
                </c:pt>
                <c:pt idx="13">
                  <c:v>1339.45776011878</c:v>
                </c:pt>
                <c:pt idx="14">
                  <c:v>1287.572943582</c:v>
                </c:pt>
                <c:pt idx="15">
                  <c:v>1167.23998490322</c:v>
                </c:pt>
                <c:pt idx="16">
                  <c:v>1004.87825109597</c:v>
                </c:pt>
                <c:pt idx="17">
                  <c:v>1094.01478986857</c:v>
                </c:pt>
                <c:pt idx="18">
                  <c:v>1060.4053734587</c:v>
                </c:pt>
                <c:pt idx="19">
                  <c:v>1195.6940993982</c:v>
                </c:pt>
                <c:pt idx="20">
                  <c:v>1208.34221582591</c:v>
                </c:pt>
                <c:pt idx="21">
                  <c:v>1165.61251871545</c:v>
                </c:pt>
                <c:pt idx="22">
                  <c:v>1213.66175744781</c:v>
                </c:pt>
                <c:pt idx="23">
                  <c:v>1317.63876388883</c:v>
                </c:pt>
                <c:pt idx="24">
                  <c:v>1265.86426998353</c:v>
                </c:pt>
                <c:pt idx="25">
                  <c:v>1302.42253567859</c:v>
                </c:pt>
                <c:pt idx="26">
                  <c:v>1288.28962593992</c:v>
                </c:pt>
                <c:pt idx="27">
                  <c:v>1279.17266321321</c:v>
                </c:pt>
                <c:pt idx="28">
                  <c:v>1137.96384237965</c:v>
                </c:pt>
                <c:pt idx="29">
                  <c:v>1058.49422050425</c:v>
                </c:pt>
                <c:pt idx="30">
                  <c:v>1087.98437234303</c:v>
                </c:pt>
                <c:pt idx="31">
                  <c:v>1021.18360423208</c:v>
                </c:pt>
                <c:pt idx="32">
                  <c:v>824.171439710341</c:v>
                </c:pt>
                <c:pt idx="33">
                  <c:v>990.806723874066</c:v>
                </c:pt>
                <c:pt idx="34">
                  <c:v>1098.99672764826</c:v>
                </c:pt>
                <c:pt idx="35">
                  <c:v>1030.90112023093</c:v>
                </c:pt>
                <c:pt idx="36">
                  <c:v>1034.25642131632</c:v>
                </c:pt>
                <c:pt idx="37">
                  <c:v>1028.47236335132</c:v>
                </c:pt>
                <c:pt idx="38">
                  <c:v>956.07749127995</c:v>
                </c:pt>
                <c:pt idx="39">
                  <c:v>875.858836801307</c:v>
                </c:pt>
                <c:pt idx="40">
                  <c:v>1015.85825615588</c:v>
                </c:pt>
                <c:pt idx="41">
                  <c:v>1000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'Index Sensitivity'!$A$13:$A$13</c:f>
              <c:strCache>
                <c:ptCount val="1"/>
                <c:pt idx="0">
                  <c:v>CAC 40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Sensitivity'!$B$13:$AQ$13</c:f>
              <c:numCache>
                <c:formatCode>General</c:formatCode>
                <c:ptCount val="42"/>
                <c:pt idx="0">
                  <c:v>1401.10395411515</c:v>
                </c:pt>
                <c:pt idx="1">
                  <c:v>1341.74718287126</c:v>
                </c:pt>
                <c:pt idx="2">
                  <c:v>1413.53610654415</c:v>
                </c:pt>
                <c:pt idx="3">
                  <c:v>1420.91582021426</c:v>
                </c:pt>
                <c:pt idx="4">
                  <c:v>1403.75967508239</c:v>
                </c:pt>
                <c:pt idx="5">
                  <c:v>1521.3208411222</c:v>
                </c:pt>
                <c:pt idx="6">
                  <c:v>1525.87591871054</c:v>
                </c:pt>
                <c:pt idx="7">
                  <c:v>1484.87646674624</c:v>
                </c:pt>
                <c:pt idx="8">
                  <c:v>1414.22490484449</c:v>
                </c:pt>
                <c:pt idx="9">
                  <c:v>1317.80065013551</c:v>
                </c:pt>
                <c:pt idx="10">
                  <c:v>1339.13275226534</c:v>
                </c:pt>
                <c:pt idx="11">
                  <c:v>1327.67655383137</c:v>
                </c:pt>
                <c:pt idx="12">
                  <c:v>1355.55693190093</c:v>
                </c:pt>
                <c:pt idx="13">
                  <c:v>1388.86886931976</c:v>
                </c:pt>
                <c:pt idx="14">
                  <c:v>1374.2914949363</c:v>
                </c:pt>
                <c:pt idx="15">
                  <c:v>1233.73159763669</c:v>
                </c:pt>
                <c:pt idx="16">
                  <c:v>1081.49591225423</c:v>
                </c:pt>
                <c:pt idx="17">
                  <c:v>1172.21271292689</c:v>
                </c:pt>
                <c:pt idx="18">
                  <c:v>1111.62286134697</c:v>
                </c:pt>
                <c:pt idx="19">
                  <c:v>1249.94744863104</c:v>
                </c:pt>
                <c:pt idx="20">
                  <c:v>1267.31942974257</c:v>
                </c:pt>
                <c:pt idx="21">
                  <c:v>1223.89323063294</c:v>
                </c:pt>
                <c:pt idx="22">
                  <c:v>1272.61961066943</c:v>
                </c:pt>
                <c:pt idx="23">
                  <c:v>1346.29662995578</c:v>
                </c:pt>
                <c:pt idx="24">
                  <c:v>1223.69803983394</c:v>
                </c:pt>
                <c:pt idx="25">
                  <c:v>1253.14932846858</c:v>
                </c:pt>
                <c:pt idx="26">
                  <c:v>1221.41205528404</c:v>
                </c:pt>
                <c:pt idx="27">
                  <c:v>1138.71872255129</c:v>
                </c:pt>
                <c:pt idx="28">
                  <c:v>1050.91664602149</c:v>
                </c:pt>
                <c:pt idx="29">
                  <c:v>901.526241901459</c:v>
                </c:pt>
                <c:pt idx="30">
                  <c:v>934.322049803683</c:v>
                </c:pt>
                <c:pt idx="31">
                  <c:v>926.403684601698</c:v>
                </c:pt>
                <c:pt idx="32">
                  <c:v>825.079014736905</c:v>
                </c:pt>
                <c:pt idx="33">
                  <c:v>1006.18980053002</c:v>
                </c:pt>
                <c:pt idx="34">
                  <c:v>1122.76375156716</c:v>
                </c:pt>
                <c:pt idx="35">
                  <c:v>1065.62727566196</c:v>
                </c:pt>
                <c:pt idx="36">
                  <c:v>1061.43630398715</c:v>
                </c:pt>
                <c:pt idx="37">
                  <c:v>1039.57305766387</c:v>
                </c:pt>
                <c:pt idx="38">
                  <c:v>1004.20598635166</c:v>
                </c:pt>
                <c:pt idx="39">
                  <c:v>878.122114366794</c:v>
                </c:pt>
                <c:pt idx="40">
                  <c:v>1031.03721387656</c:v>
                </c:pt>
                <c:pt idx="41">
                  <c:v>1000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'Index Sensitivity'!$A$14:$A$14</c:f>
              <c:strCache>
                <c:ptCount val="1"/>
                <c:pt idx="0">
                  <c:v>Eurostoxx 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Sensitivity'!$B$14:$AQ$14</c:f>
              <c:numCache>
                <c:formatCode>General</c:formatCode>
                <c:ptCount val="42"/>
                <c:pt idx="0">
                  <c:v>1453.04588322814</c:v>
                </c:pt>
                <c:pt idx="1">
                  <c:v>1371.33738091239</c:v>
                </c:pt>
                <c:pt idx="2">
                  <c:v>1461.72998008207</c:v>
                </c:pt>
                <c:pt idx="3">
                  <c:v>1467.28540231816</c:v>
                </c:pt>
                <c:pt idx="4">
                  <c:v>1468.05332245447</c:v>
                </c:pt>
                <c:pt idx="5">
                  <c:v>1502.29476134482</c:v>
                </c:pt>
                <c:pt idx="6">
                  <c:v>1512.44270595858</c:v>
                </c:pt>
                <c:pt idx="7">
                  <c:v>1456.45652852103</c:v>
                </c:pt>
                <c:pt idx="8">
                  <c:v>1354.17316599074</c:v>
                </c:pt>
                <c:pt idx="9">
                  <c:v>1233.64270115908</c:v>
                </c:pt>
                <c:pt idx="10">
                  <c:v>1252.26776415253</c:v>
                </c:pt>
                <c:pt idx="11">
                  <c:v>1238.62518298097</c:v>
                </c:pt>
                <c:pt idx="12">
                  <c:v>1266.91224112692</c:v>
                </c:pt>
                <c:pt idx="13">
                  <c:v>1319.58976266468</c:v>
                </c:pt>
                <c:pt idx="14">
                  <c:v>1294.38038444002</c:v>
                </c:pt>
                <c:pt idx="15">
                  <c:v>1154.90089030741</c:v>
                </c:pt>
                <c:pt idx="16">
                  <c:v>995.356482925776</c:v>
                </c:pt>
                <c:pt idx="17">
                  <c:v>1075.74212281923</c:v>
                </c:pt>
                <c:pt idx="18">
                  <c:v>1036.35021957716</c:v>
                </c:pt>
                <c:pt idx="19">
                  <c:v>1170.63425403758</c:v>
                </c:pt>
                <c:pt idx="20">
                  <c:v>1191.08312735476</c:v>
                </c:pt>
                <c:pt idx="21">
                  <c:v>1148.66753857599</c:v>
                </c:pt>
                <c:pt idx="22">
                  <c:v>1191.89904249958</c:v>
                </c:pt>
                <c:pt idx="23">
                  <c:v>1291.68666458688</c:v>
                </c:pt>
                <c:pt idx="24">
                  <c:v>1214.29771303784</c:v>
                </c:pt>
                <c:pt idx="25">
                  <c:v>1256.72830025677</c:v>
                </c:pt>
                <c:pt idx="26">
                  <c:v>1219.16320702647</c:v>
                </c:pt>
                <c:pt idx="27">
                  <c:v>1175.64073336373</c:v>
                </c:pt>
                <c:pt idx="28">
                  <c:v>1071.36557797989</c:v>
                </c:pt>
                <c:pt idx="29">
                  <c:v>957.983369729548</c:v>
                </c:pt>
                <c:pt idx="30">
                  <c:v>985.004559525809</c:v>
                </c:pt>
                <c:pt idx="31">
                  <c:v>970.120107508819</c:v>
                </c:pt>
                <c:pt idx="32">
                  <c:v>835.983057761993</c:v>
                </c:pt>
                <c:pt idx="33">
                  <c:v>1008.96906721701</c:v>
                </c:pt>
                <c:pt idx="34">
                  <c:v>1124.42405989777</c:v>
                </c:pt>
                <c:pt idx="35">
                  <c:v>1070.72364474095</c:v>
                </c:pt>
                <c:pt idx="36">
                  <c:v>1064.9222480862</c:v>
                </c:pt>
                <c:pt idx="37">
                  <c:v>1041.99863214226</c:v>
                </c:pt>
                <c:pt idx="38">
                  <c:v>1005.4084375225</c:v>
                </c:pt>
                <c:pt idx="39">
                  <c:v>895.865829953685</c:v>
                </c:pt>
                <c:pt idx="40">
                  <c:v>1019.65395598858</c:v>
                </c:pt>
                <c:pt idx="41">
                  <c:v>1000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'Index Sensitivity'!$A$15:$A$15</c:f>
              <c:strCache>
                <c:ptCount val="1"/>
                <c:pt idx="0">
                  <c:v>Nikkei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Sensitivity'!$B$15:$AQ$15</c:f>
              <c:numCache>
                <c:formatCode>General</c:formatCode>
                <c:ptCount val="42"/>
                <c:pt idx="0">
                  <c:v>1602.9642457141</c:v>
                </c:pt>
                <c:pt idx="1">
                  <c:v>1378.46627627149</c:v>
                </c:pt>
                <c:pt idx="2">
                  <c:v>1713.38993537622</c:v>
                </c:pt>
                <c:pt idx="3">
                  <c:v>1800.84631388544</c:v>
                </c:pt>
                <c:pt idx="4">
                  <c:v>1734.47811081918</c:v>
                </c:pt>
                <c:pt idx="5">
                  <c:v>1645.48588775759</c:v>
                </c:pt>
                <c:pt idx="6">
                  <c:v>1768.93536394915</c:v>
                </c:pt>
                <c:pt idx="7">
                  <c:v>1713.25234473729</c:v>
                </c:pt>
                <c:pt idx="8">
                  <c:v>1469.66170230293</c:v>
                </c:pt>
                <c:pt idx="9">
                  <c:v>1391.09087467333</c:v>
                </c:pt>
                <c:pt idx="10">
                  <c:v>1395.95869125888</c:v>
                </c:pt>
                <c:pt idx="11">
                  <c:v>1416.00266768092</c:v>
                </c:pt>
                <c:pt idx="12">
                  <c:v>1456.64624132171</c:v>
                </c:pt>
                <c:pt idx="13">
                  <c:v>1454.2997512852</c:v>
                </c:pt>
                <c:pt idx="14">
                  <c:v>1228.7404935385</c:v>
                </c:pt>
                <c:pt idx="15">
                  <c:v>1143.39004054104</c:v>
                </c:pt>
                <c:pt idx="16">
                  <c:v>1136.534170679</c:v>
                </c:pt>
                <c:pt idx="17">
                  <c:v>1253.8551670105</c:v>
                </c:pt>
                <c:pt idx="18">
                  <c:v>1156.50803722134</c:v>
                </c:pt>
                <c:pt idx="19">
                  <c:v>1219.09819414477</c:v>
                </c:pt>
                <c:pt idx="20">
                  <c:v>1160.16514382165</c:v>
                </c:pt>
                <c:pt idx="21">
                  <c:v>1137.99289436369</c:v>
                </c:pt>
                <c:pt idx="22">
                  <c:v>1158.9868596558</c:v>
                </c:pt>
                <c:pt idx="23">
                  <c:v>1261.61457794729</c:v>
                </c:pt>
                <c:pt idx="24">
                  <c:v>1290.57653106832</c:v>
                </c:pt>
                <c:pt idx="25">
                  <c:v>1334.16340509664</c:v>
                </c:pt>
                <c:pt idx="26">
                  <c:v>1261.60669058582</c:v>
                </c:pt>
                <c:pt idx="27">
                  <c:v>1278.57634878263</c:v>
                </c:pt>
                <c:pt idx="28">
                  <c:v>1202.56716088289</c:v>
                </c:pt>
                <c:pt idx="29">
                  <c:v>1015.94123389883</c:v>
                </c:pt>
                <c:pt idx="30">
                  <c:v>1023.61738935346</c:v>
                </c:pt>
                <c:pt idx="31">
                  <c:v>976.636758960481</c:v>
                </c:pt>
                <c:pt idx="32">
                  <c:v>828.91830972091</c:v>
                </c:pt>
                <c:pt idx="33">
                  <c:v>930.670092702789</c:v>
                </c:pt>
                <c:pt idx="34">
                  <c:v>1036.60173907557</c:v>
                </c:pt>
                <c:pt idx="35">
                  <c:v>953.312078354802</c:v>
                </c:pt>
                <c:pt idx="36">
                  <c:v>963.497729316271</c:v>
                </c:pt>
                <c:pt idx="37">
                  <c:v>932.282619936095</c:v>
                </c:pt>
                <c:pt idx="38">
                  <c:v>920.356929397598</c:v>
                </c:pt>
                <c:pt idx="39">
                  <c:v>877.020698189237</c:v>
                </c:pt>
                <c:pt idx="40">
                  <c:v>1056.90818935977</c:v>
                </c:pt>
                <c:pt idx="41">
                  <c:v>1000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'Index Sensitivity'!$A$16:$A$16</c:f>
              <c:strCache>
                <c:ptCount val="1"/>
                <c:pt idx="0">
                  <c:v>MOEKS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Sensitivity'!$B$16:$AQ$16</c:f>
              <c:numCache>
                <c:formatCode>General</c:formatCode>
                <c:ptCount val="42"/>
                <c:pt idx="0">
                  <c:v>1136.45580574551</c:v>
                </c:pt>
                <c:pt idx="1">
                  <c:v>1200.8891453006</c:v>
                </c:pt>
                <c:pt idx="2">
                  <c:v>1249.45701050345</c:v>
                </c:pt>
                <c:pt idx="3">
                  <c:v>1251.93440008145</c:v>
                </c:pt>
                <c:pt idx="4">
                  <c:v>1336.54319311761</c:v>
                </c:pt>
                <c:pt idx="5">
                  <c:v>1459.03822985424</c:v>
                </c:pt>
                <c:pt idx="6">
                  <c:v>1413.69436478713</c:v>
                </c:pt>
                <c:pt idx="7">
                  <c:v>1332.99679296829</c:v>
                </c:pt>
                <c:pt idx="8">
                  <c:v>1315.8968659325</c:v>
                </c:pt>
                <c:pt idx="9">
                  <c:v>1346.45275142959</c:v>
                </c:pt>
                <c:pt idx="10">
                  <c:v>1329.16192964892</c:v>
                </c:pt>
                <c:pt idx="11">
                  <c:v>1294.6524018801</c:v>
                </c:pt>
                <c:pt idx="12">
                  <c:v>1335.55054044423</c:v>
                </c:pt>
                <c:pt idx="13">
                  <c:v>1186.67384996521</c:v>
                </c:pt>
                <c:pt idx="14">
                  <c:v>1039.60005429895</c:v>
                </c:pt>
                <c:pt idx="15">
                  <c:v>910.805490981284</c:v>
                </c:pt>
                <c:pt idx="16">
                  <c:v>830.311540223644</c:v>
                </c:pt>
                <c:pt idx="17">
                  <c:v>1037.99653844196</c:v>
                </c:pt>
                <c:pt idx="18">
                  <c:v>935.320618329289</c:v>
                </c:pt>
                <c:pt idx="19">
                  <c:v>1146.85744828873</c:v>
                </c:pt>
                <c:pt idx="20">
                  <c:v>1048.0036651791</c:v>
                </c:pt>
                <c:pt idx="21">
                  <c:v>873.076205182156</c:v>
                </c:pt>
                <c:pt idx="22">
                  <c:v>1308.57923404544</c:v>
                </c:pt>
                <c:pt idx="23">
                  <c:v>1606.59562554087</c:v>
                </c:pt>
                <c:pt idx="24">
                  <c:v>1740.75645224238</c:v>
                </c:pt>
                <c:pt idx="25">
                  <c:v>1714.30268270748</c:v>
                </c:pt>
                <c:pt idx="26">
                  <c:v>1629.75327914751</c:v>
                </c:pt>
                <c:pt idx="27">
                  <c:v>1502.43496852358</c:v>
                </c:pt>
                <c:pt idx="28">
                  <c:v>1395.23696400998</c:v>
                </c:pt>
                <c:pt idx="29">
                  <c:v>1232.6752413758</c:v>
                </c:pt>
                <c:pt idx="30">
                  <c:v>1252.18044219707</c:v>
                </c:pt>
                <c:pt idx="31">
                  <c:v>1163.69436478713</c:v>
                </c:pt>
                <c:pt idx="32">
                  <c:v>1064.26365533742</c:v>
                </c:pt>
                <c:pt idx="33">
                  <c:v>1194.87383978416</c:v>
                </c:pt>
                <c:pt idx="34">
                  <c:v>1292.09017019327</c:v>
                </c:pt>
                <c:pt idx="35">
                  <c:v>1165.38272275296</c:v>
                </c:pt>
                <c:pt idx="36">
                  <c:v>1184.2855446015</c:v>
                </c:pt>
                <c:pt idx="37">
                  <c:v>1173.30273361275</c:v>
                </c:pt>
                <c:pt idx="38">
                  <c:v>1057.30236030747</c:v>
                </c:pt>
                <c:pt idx="39">
                  <c:v>1000.50056844213</c:v>
                </c:pt>
                <c:pt idx="40">
                  <c:v>1050.07381263469</c:v>
                </c:pt>
                <c:pt idx="41">
                  <c:v>1000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'Index Sensitivity'!$A$17:$A$17</c:f>
              <c:strCache>
                <c:ptCount val="1"/>
                <c:pt idx="0">
                  <c:v>CSI 300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Sensitivity'!$B$17:$AQ$17</c:f>
              <c:numCache>
                <c:formatCode>General</c:formatCode>
                <c:ptCount val="42"/>
                <c:pt idx="0">
                  <c:v>976.110512054428</c:v>
                </c:pt>
                <c:pt idx="1">
                  <c:v>1032.98244746754</c:v>
                </c:pt>
                <c:pt idx="2">
                  <c:v>1063.49623212228</c:v>
                </c:pt>
                <c:pt idx="3">
                  <c:v>1081.87989136648</c:v>
                </c:pt>
                <c:pt idx="4">
                  <c:v>1069.5458463744</c:v>
                </c:pt>
                <c:pt idx="5">
                  <c:v>1083.31350781846</c:v>
                </c:pt>
                <c:pt idx="6">
                  <c:v>1092.97188072558</c:v>
                </c:pt>
                <c:pt idx="7">
                  <c:v>1077.27316263823</c:v>
                </c:pt>
                <c:pt idx="8">
                  <c:v>1054.98722412925</c:v>
                </c:pt>
                <c:pt idx="9">
                  <c:v>1138.46757524169</c:v>
                </c:pt>
                <c:pt idx="10">
                  <c:v>1139.94753705312</c:v>
                </c:pt>
                <c:pt idx="11">
                  <c:v>1140.98876279518</c:v>
                </c:pt>
                <c:pt idx="12">
                  <c:v>1154.5092489889</c:v>
                </c:pt>
                <c:pt idx="13">
                  <c:v>1187.19817584665</c:v>
                </c:pt>
                <c:pt idx="14">
                  <c:v>1251.61204608583</c:v>
                </c:pt>
                <c:pt idx="15">
                  <c:v>1191.60098499337</c:v>
                </c:pt>
                <c:pt idx="16">
                  <c:v>1175.59329784309</c:v>
                </c:pt>
                <c:pt idx="17">
                  <c:v>1270.20580429282</c:v>
                </c:pt>
                <c:pt idx="18">
                  <c:v>1385.72933692149</c:v>
                </c:pt>
                <c:pt idx="19">
                  <c:v>1304.65276511863</c:v>
                </c:pt>
                <c:pt idx="20">
                  <c:v>1413.04529177493</c:v>
                </c:pt>
                <c:pt idx="21">
                  <c:v>1399.41975609982</c:v>
                </c:pt>
                <c:pt idx="22">
                  <c:v>1428.37942636804</c:v>
                </c:pt>
                <c:pt idx="23">
                  <c:v>1520.59433288945</c:v>
                </c:pt>
                <c:pt idx="24">
                  <c:v>1503.56086845024</c:v>
                </c:pt>
                <c:pt idx="25">
                  <c:v>1542.26851265383</c:v>
                </c:pt>
                <c:pt idx="26">
                  <c:v>1614.06674349697</c:v>
                </c:pt>
                <c:pt idx="27">
                  <c:v>1559.78705852183</c:v>
                </c:pt>
                <c:pt idx="28">
                  <c:v>1579.97818678416</c:v>
                </c:pt>
                <c:pt idx="29">
                  <c:v>1417.36467927466</c:v>
                </c:pt>
                <c:pt idx="30">
                  <c:v>1463.61425830432</c:v>
                </c:pt>
                <c:pt idx="31">
                  <c:v>1286.53481926855</c:v>
                </c:pt>
                <c:pt idx="32">
                  <c:v>1138.90940100168</c:v>
                </c:pt>
                <c:pt idx="33">
                  <c:v>1299.74942608997</c:v>
                </c:pt>
                <c:pt idx="34">
                  <c:v>1261.09739631771</c:v>
                </c:pt>
                <c:pt idx="35">
                  <c:v>1178.57175960971</c:v>
                </c:pt>
                <c:pt idx="36">
                  <c:v>1227.34252619285</c:v>
                </c:pt>
                <c:pt idx="37">
                  <c:v>1181.98895744569</c:v>
                </c:pt>
                <c:pt idx="38">
                  <c:v>1151.96025421975</c:v>
                </c:pt>
                <c:pt idx="39">
                  <c:v>930.197709303367</c:v>
                </c:pt>
                <c:pt idx="40">
                  <c:v>1062.50135173965</c:v>
                </c:pt>
                <c:pt idx="41">
                  <c:v>1000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'Index Sensitivity'!$A$18:$A$18</c:f>
              <c:strCache>
                <c:ptCount val="1"/>
                <c:pt idx="0">
                  <c:v>TWSE 50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Sensitivity'!$B$18:$AQ$18</c:f>
              <c:numCache>
                <c:formatCode>General</c:formatCode>
                <c:ptCount val="42"/>
                <c:pt idx="0">
                  <c:v>2157.02256275334</c:v>
                </c:pt>
                <c:pt idx="1">
                  <c:v>1931.43636642164</c:v>
                </c:pt>
                <c:pt idx="2">
                  <c:v>2184.76704121307</c:v>
                </c:pt>
                <c:pt idx="3">
                  <c:v>2360.13111150557</c:v>
                </c:pt>
                <c:pt idx="4">
                  <c:v>2265.56037281187</c:v>
                </c:pt>
                <c:pt idx="5">
                  <c:v>1847.09047715153</c:v>
                </c:pt>
                <c:pt idx="6">
                  <c:v>1937.44726482238</c:v>
                </c:pt>
                <c:pt idx="7">
                  <c:v>1748.10761258884</c:v>
                </c:pt>
                <c:pt idx="8">
                  <c:v>1625.63434187714</c:v>
                </c:pt>
                <c:pt idx="9">
                  <c:v>1516.19805812967</c:v>
                </c:pt>
                <c:pt idx="10">
                  <c:v>1466.13520144534</c:v>
                </c:pt>
                <c:pt idx="11">
                  <c:v>1458.27386061621</c:v>
                </c:pt>
                <c:pt idx="12">
                  <c:v>1497.00184557924</c:v>
                </c:pt>
                <c:pt idx="13">
                  <c:v>1546.70239487615</c:v>
                </c:pt>
                <c:pt idx="14">
                  <c:v>1474.98133752216</c:v>
                </c:pt>
                <c:pt idx="15">
                  <c:v>1297.26713239782</c:v>
                </c:pt>
                <c:pt idx="16">
                  <c:v>1227.74909848682</c:v>
                </c:pt>
                <c:pt idx="17">
                  <c:v>1384.05798863473</c:v>
                </c:pt>
                <c:pt idx="18">
                  <c:v>1380.81910648676</c:v>
                </c:pt>
                <c:pt idx="19">
                  <c:v>1681.27527337187</c:v>
                </c:pt>
                <c:pt idx="20">
                  <c:v>1684.40351802905</c:v>
                </c:pt>
                <c:pt idx="21">
                  <c:v>1681.10749344078</c:v>
                </c:pt>
                <c:pt idx="22">
                  <c:v>1728.66094593839</c:v>
                </c:pt>
                <c:pt idx="23">
                  <c:v>1734.45056935755</c:v>
                </c:pt>
                <c:pt idx="24">
                  <c:v>1625.4349512344</c:v>
                </c:pt>
                <c:pt idx="25">
                  <c:v>1693.89402630498</c:v>
                </c:pt>
                <c:pt idx="26">
                  <c:v>1683.06249437694</c:v>
                </c:pt>
                <c:pt idx="27">
                  <c:v>1628.14860925027</c:v>
                </c:pt>
                <c:pt idx="28">
                  <c:v>1447.44232868818</c:v>
                </c:pt>
                <c:pt idx="29">
                  <c:v>1222.22451872692</c:v>
                </c:pt>
                <c:pt idx="30">
                  <c:v>1248.55259414521</c:v>
                </c:pt>
                <c:pt idx="31">
                  <c:v>1081.09363335951</c:v>
                </c:pt>
                <c:pt idx="32">
                  <c:v>924.792037991212</c:v>
                </c:pt>
                <c:pt idx="33">
                  <c:v>1094.84794031898</c:v>
                </c:pt>
                <c:pt idx="34">
                  <c:v>1145.96610845392</c:v>
                </c:pt>
                <c:pt idx="35">
                  <c:v>997.501537982702</c:v>
                </c:pt>
                <c:pt idx="36">
                  <c:v>990.528944469706</c:v>
                </c:pt>
                <c:pt idx="37">
                  <c:v>973.630587497234</c:v>
                </c:pt>
                <c:pt idx="38">
                  <c:v>955.745003683864</c:v>
                </c:pt>
                <c:pt idx="39">
                  <c:v>890.831191504986</c:v>
                </c:pt>
                <c:pt idx="40">
                  <c:v>1027.97669561073</c:v>
                </c:pt>
                <c:pt idx="41">
                  <c:v>1000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'Index Sensitivity'!$A$19:$A$19</c:f>
              <c:strCache>
                <c:ptCount val="1"/>
                <c:pt idx="0">
                  <c:v>SOFIX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Sensitivity'!$B$19:$AQ$19</c:f>
              <c:numCache>
                <c:formatCode>General</c:formatCode>
                <c:ptCount val="42"/>
                <c:pt idx="0">
                  <c:v>1374.48017523253</c:v>
                </c:pt>
                <c:pt idx="1">
                  <c:v>1318.8470207295</c:v>
                </c:pt>
                <c:pt idx="2">
                  <c:v>1376.57534681439</c:v>
                </c:pt>
                <c:pt idx="3">
                  <c:v>1375.16269324783</c:v>
                </c:pt>
                <c:pt idx="4">
                  <c:v>1345.48109583823</c:v>
                </c:pt>
                <c:pt idx="5">
                  <c:v>1277.80070473953</c:v>
                </c:pt>
                <c:pt idx="6">
                  <c:v>1281.65772515158</c:v>
                </c:pt>
                <c:pt idx="7">
                  <c:v>1245.73823053236</c:v>
                </c:pt>
                <c:pt idx="8">
                  <c:v>1177.88324180185</c:v>
                </c:pt>
                <c:pt idx="9">
                  <c:v>1199.50160312371</c:v>
                </c:pt>
                <c:pt idx="10">
                  <c:v>1199.53334814768</c:v>
                </c:pt>
                <c:pt idx="11">
                  <c:v>1180.21650106346</c:v>
                </c:pt>
                <c:pt idx="12">
                  <c:v>1195.78743531951</c:v>
                </c:pt>
                <c:pt idx="13">
                  <c:v>1063.29957779118</c:v>
                </c:pt>
                <c:pt idx="14">
                  <c:v>969.477159455255</c:v>
                </c:pt>
                <c:pt idx="15">
                  <c:v>956.890257452144</c:v>
                </c:pt>
                <c:pt idx="16">
                  <c:v>931.954541125679</c:v>
                </c:pt>
                <c:pt idx="17">
                  <c:v>974.143677978477</c:v>
                </c:pt>
                <c:pt idx="18">
                  <c:v>973.318307355322</c:v>
                </c:pt>
                <c:pt idx="19">
                  <c:v>994.825561093299</c:v>
                </c:pt>
                <c:pt idx="20">
                  <c:v>963.842417701025</c:v>
                </c:pt>
                <c:pt idx="21">
                  <c:v>945.827116599473</c:v>
                </c:pt>
                <c:pt idx="22">
                  <c:v>964.159867940701</c:v>
                </c:pt>
                <c:pt idx="23">
                  <c:v>1008.9838417828</c:v>
                </c:pt>
                <c:pt idx="24">
                  <c:v>929.113361480588</c:v>
                </c:pt>
                <c:pt idx="25">
                  <c:v>898.114345576331</c:v>
                </c:pt>
                <c:pt idx="26">
                  <c:v>885.194120821561</c:v>
                </c:pt>
                <c:pt idx="27">
                  <c:v>797.244531919622</c:v>
                </c:pt>
                <c:pt idx="28">
                  <c:v>710.342528808609</c:v>
                </c:pt>
                <c:pt idx="29">
                  <c:v>678.629249865084</c:v>
                </c:pt>
                <c:pt idx="30">
                  <c:v>674.534141773277</c:v>
                </c:pt>
                <c:pt idx="31">
                  <c:v>719.437478175296</c:v>
                </c:pt>
                <c:pt idx="32">
                  <c:v>665.613790038412</c:v>
                </c:pt>
                <c:pt idx="33">
                  <c:v>851.401542808165</c:v>
                </c:pt>
                <c:pt idx="34">
                  <c:v>901.780895844576</c:v>
                </c:pt>
                <c:pt idx="35">
                  <c:v>905.653788768611</c:v>
                </c:pt>
                <c:pt idx="36">
                  <c:v>918.462905939494</c:v>
                </c:pt>
                <c:pt idx="37">
                  <c:v>933.002126916606</c:v>
                </c:pt>
                <c:pt idx="38">
                  <c:v>911.701215834418</c:v>
                </c:pt>
                <c:pt idx="39">
                  <c:v>943.557347385797</c:v>
                </c:pt>
                <c:pt idx="40">
                  <c:v>991.063775753151</c:v>
                </c:pt>
                <c:pt idx="41">
                  <c:v>1000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'Index Sensitivity'!$A$20:$A$20</c:f>
              <c:strCache>
                <c:ptCount val="1"/>
                <c:pt idx="0">
                  <c:v>BELEX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Sensitivity'!$B$20:$AQ$20</c:f>
              <c:numCache>
                <c:formatCode>General</c:formatCode>
                <c:ptCount val="42"/>
                <c:pt idx="0">
                  <c:v>1534.64005307973</c:v>
                </c:pt>
                <c:pt idx="1">
                  <c:v>1401.63662501382</c:v>
                </c:pt>
                <c:pt idx="2">
                  <c:v>1413.38604445427</c:v>
                </c:pt>
                <c:pt idx="3">
                  <c:v>1396.12130930001</c:v>
                </c:pt>
                <c:pt idx="4">
                  <c:v>1362.54561539312</c:v>
                </c:pt>
                <c:pt idx="5">
                  <c:v>1379.83799624019</c:v>
                </c:pt>
                <c:pt idx="6">
                  <c:v>1368.39267942055</c:v>
                </c:pt>
                <c:pt idx="7">
                  <c:v>1277.89450403627</c:v>
                </c:pt>
                <c:pt idx="8">
                  <c:v>1210.41136790888</c:v>
                </c:pt>
                <c:pt idx="9">
                  <c:v>1231.6847285193</c:v>
                </c:pt>
                <c:pt idx="10">
                  <c:v>1225.93442441668</c:v>
                </c:pt>
                <c:pt idx="11">
                  <c:v>1218.17980758598</c:v>
                </c:pt>
                <c:pt idx="12">
                  <c:v>1251.36846179365</c:v>
                </c:pt>
                <c:pt idx="13">
                  <c:v>1201.75826606215</c:v>
                </c:pt>
                <c:pt idx="14">
                  <c:v>1232.01647683291</c:v>
                </c:pt>
                <c:pt idx="15">
                  <c:v>1139.84573703417</c:v>
                </c:pt>
                <c:pt idx="16">
                  <c:v>1143.66084264072</c:v>
                </c:pt>
                <c:pt idx="17">
                  <c:v>1171.7765122194</c:v>
                </c:pt>
                <c:pt idx="18">
                  <c:v>1160.59382948137</c:v>
                </c:pt>
                <c:pt idx="19">
                  <c:v>1161.85170850382</c:v>
                </c:pt>
                <c:pt idx="20">
                  <c:v>1162.57049651664</c:v>
                </c:pt>
                <c:pt idx="21">
                  <c:v>1168.80460024328</c:v>
                </c:pt>
                <c:pt idx="22">
                  <c:v>1171.47240959858</c:v>
                </c:pt>
                <c:pt idx="23">
                  <c:v>1134.55158686277</c:v>
                </c:pt>
                <c:pt idx="24">
                  <c:v>1109.71193188101</c:v>
                </c:pt>
                <c:pt idx="25">
                  <c:v>1117.2315603229</c:v>
                </c:pt>
                <c:pt idx="26">
                  <c:v>1077.42176268937</c:v>
                </c:pt>
                <c:pt idx="27">
                  <c:v>1042.79553245604</c:v>
                </c:pt>
                <c:pt idx="28">
                  <c:v>1031.97224372443</c:v>
                </c:pt>
                <c:pt idx="29">
                  <c:v>957.82649563198</c:v>
                </c:pt>
                <c:pt idx="30">
                  <c:v>951.633860444543</c:v>
                </c:pt>
                <c:pt idx="31">
                  <c:v>920.394227579343</c:v>
                </c:pt>
                <c:pt idx="32">
                  <c:v>879.865641932987</c:v>
                </c:pt>
                <c:pt idx="33">
                  <c:v>1089.55822182904</c:v>
                </c:pt>
                <c:pt idx="34">
                  <c:v>1092.46101957315</c:v>
                </c:pt>
                <c:pt idx="35">
                  <c:v>1038.20634745107</c:v>
                </c:pt>
                <c:pt idx="36">
                  <c:v>1048.42143094106</c:v>
                </c:pt>
                <c:pt idx="37">
                  <c:v>1011.30708835563</c:v>
                </c:pt>
                <c:pt idx="38">
                  <c:v>1011.27944266283</c:v>
                </c:pt>
                <c:pt idx="39">
                  <c:v>1052.87238748203</c:v>
                </c:pt>
                <c:pt idx="40">
                  <c:v>1005.03151608979</c:v>
                </c:pt>
                <c:pt idx="41">
                  <c:v>1000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'Index Sensitivity'!$A$21:$A$21</c:f>
              <c:strCache>
                <c:ptCount val="1"/>
                <c:pt idx="0">
                  <c:v>ATHEX</c:v>
                </c:pt>
              </c:strCache>
            </c:strRef>
          </c:tx>
          <c:spPr>
            <a:solidFill>
              <a:srgbClr val="cccccc"/>
            </a:solidFill>
            <a:ln w="28800">
              <a:solidFill>
                <a:srgbClr val="ccccc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Sensitivity'!$B$21:$AQ$21</c:f>
              <c:numCache>
                <c:formatCode>General</c:formatCode>
                <c:ptCount val="42"/>
                <c:pt idx="0">
                  <c:v>1925.80280492036</c:v>
                </c:pt>
                <c:pt idx="1">
                  <c:v>1824.88275522425</c:v>
                </c:pt>
                <c:pt idx="2">
                  <c:v>2018.50172929049</c:v>
                </c:pt>
                <c:pt idx="3">
                  <c:v>1971.97877841577</c:v>
                </c:pt>
                <c:pt idx="4">
                  <c:v>1903.80331979002</c:v>
                </c:pt>
                <c:pt idx="5">
                  <c:v>1976.15369978622</c:v>
                </c:pt>
                <c:pt idx="6">
                  <c:v>1914.20144835074</c:v>
                </c:pt>
                <c:pt idx="7">
                  <c:v>1929.19982539203</c:v>
                </c:pt>
                <c:pt idx="8">
                  <c:v>1735.93342511445</c:v>
                </c:pt>
                <c:pt idx="9">
                  <c:v>1514.96479858523</c:v>
                </c:pt>
                <c:pt idx="10">
                  <c:v>1641.58915639726</c:v>
                </c:pt>
                <c:pt idx="11">
                  <c:v>1667.65163471117</c:v>
                </c:pt>
                <c:pt idx="12">
                  <c:v>1659.57601602812</c:v>
                </c:pt>
                <c:pt idx="13">
                  <c:v>1734.1369777151</c:v>
                </c:pt>
                <c:pt idx="14">
                  <c:v>1426.46318122293</c:v>
                </c:pt>
                <c:pt idx="15">
                  <c:v>1247.19899712345</c:v>
                </c:pt>
                <c:pt idx="16">
                  <c:v>1065.80817747333</c:v>
                </c:pt>
                <c:pt idx="17">
                  <c:v>1132.48379839495</c:v>
                </c:pt>
                <c:pt idx="18">
                  <c:v>1087.18086475717</c:v>
                </c:pt>
                <c:pt idx="19">
                  <c:v>1190.88232989714</c:v>
                </c:pt>
                <c:pt idx="20">
                  <c:v>1263.64684418477</c:v>
                </c:pt>
                <c:pt idx="21">
                  <c:v>1211.68977983726</c:v>
                </c:pt>
                <c:pt idx="22">
                  <c:v>1297.71218786027</c:v>
                </c:pt>
                <c:pt idx="23">
                  <c:v>1198.81244193725</c:v>
                </c:pt>
                <c:pt idx="24">
                  <c:v>1172.49252879353</c:v>
                </c:pt>
                <c:pt idx="25">
                  <c:v>1219.49117446247</c:v>
                </c:pt>
                <c:pt idx="26">
                  <c:v>1197.70994929653</c:v>
                </c:pt>
                <c:pt idx="27">
                  <c:v>1162.43578120278</c:v>
                </c:pt>
                <c:pt idx="28">
                  <c:v>1083.67751250798</c:v>
                </c:pt>
                <c:pt idx="29">
                  <c:v>835.667036029683</c:v>
                </c:pt>
                <c:pt idx="30">
                  <c:v>882.732838610747</c:v>
                </c:pt>
                <c:pt idx="31">
                  <c:v>863.033477720694</c:v>
                </c:pt>
                <c:pt idx="32">
                  <c:v>758.82833573979</c:v>
                </c:pt>
                <c:pt idx="33">
                  <c:v>1037.35043596029</c:v>
                </c:pt>
                <c:pt idx="34">
                  <c:v>1287.49314439855</c:v>
                </c:pt>
                <c:pt idx="35">
                  <c:v>1207.16228467815</c:v>
                </c:pt>
                <c:pt idx="36">
                  <c:v>1184.82141857784</c:v>
                </c:pt>
                <c:pt idx="37">
                  <c:v>1244.92125852053</c:v>
                </c:pt>
                <c:pt idx="38">
                  <c:v>1045.38128336859</c:v>
                </c:pt>
                <c:pt idx="39">
                  <c:v>888.956045801014</c:v>
                </c:pt>
                <c:pt idx="40">
                  <c:v>1019.85046394233</c:v>
                </c:pt>
                <c:pt idx="41">
                  <c:v>1000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'Index Sensitivity'!$A$22:$A$22</c:f>
              <c:strCache>
                <c:ptCount val="1"/>
                <c:pt idx="0">
                  <c:v>CROBEX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'Index Sensitivity'!$B$1:$AQ$1</c:f>
              <c:strCache>
                <c:ptCount val="42"/>
                <c:pt idx="0">
                  <c:v>13.09.24 TRD</c:v>
                </c:pt>
                <c:pt idx="1">
                  <c:v>05.08.24 JPY</c:v>
                </c:pt>
                <c:pt idx="2">
                  <c:v>31.07.24</c:v>
                </c:pt>
                <c:pt idx="3">
                  <c:v>17.07.24 REPL</c:v>
                </c:pt>
                <c:pt idx="4">
                  <c:v>24Q2 (30.06)</c:v>
                </c:pt>
                <c:pt idx="5">
                  <c:v>23.04.24 OKTA</c:v>
                </c:pt>
                <c:pt idx="6">
                  <c:v>24Q1 (31.03)</c:v>
                </c:pt>
                <c:pt idx="7">
                  <c:v>22.02.24 MPT</c:v>
                </c:pt>
                <c:pt idx="8">
                  <c:v>23Q4 (31.12)</c:v>
                </c:pt>
                <c:pt idx="9">
                  <c:v>09.10.23 ISR/GAZA</c:v>
                </c:pt>
                <c:pt idx="10">
                  <c:v>23Q3 (30.09)</c:v>
                </c:pt>
                <c:pt idx="11">
                  <c:v>26.09.23 KMB/SBT</c:v>
                </c:pt>
                <c:pt idx="12">
                  <c:v>13.09.23 TRD</c:v>
                </c:pt>
                <c:pt idx="13">
                  <c:v>23Q2 (30.06)</c:v>
                </c:pt>
                <c:pt idx="14">
                  <c:v>23Q1 (31.03)</c:v>
                </c:pt>
                <c:pt idx="15">
                  <c:v>22Q4 (31.12)</c:v>
                </c:pt>
                <c:pt idx="16">
                  <c:v>22Q3 (30.09)</c:v>
                </c:pt>
                <c:pt idx="17">
                  <c:v>13.09.22 TRD</c:v>
                </c:pt>
                <c:pt idx="18">
                  <c:v>22Q2 (30.06)</c:v>
                </c:pt>
                <c:pt idx="19">
                  <c:v>22Q1 (31.03)</c:v>
                </c:pt>
                <c:pt idx="20">
                  <c:v>25.02.22 UKR</c:v>
                </c:pt>
                <c:pt idx="21">
                  <c:v>24.02.22 UKR</c:v>
                </c:pt>
                <c:pt idx="22">
                  <c:v>23.02.22 UKR</c:v>
                </c:pt>
                <c:pt idx="23">
                  <c:v>21Q4 (31.12)</c:v>
                </c:pt>
                <c:pt idx="24">
                  <c:v>21Q3 (30.09)</c:v>
                </c:pt>
                <c:pt idx="25">
                  <c:v>13.09.21 TRD</c:v>
                </c:pt>
                <c:pt idx="26">
                  <c:v>21Q2 (30.06)</c:v>
                </c:pt>
                <c:pt idx="27">
                  <c:v>21Q1 (31.03)</c:v>
                </c:pt>
                <c:pt idx="28">
                  <c:v>20Q4 (31.12)</c:v>
                </c:pt>
                <c:pt idx="29">
                  <c:v>20Q3 (30.09)</c:v>
                </c:pt>
                <c:pt idx="30">
                  <c:v>18.09.20 TRD</c:v>
                </c:pt>
                <c:pt idx="31">
                  <c:v>20Q2 (30.06)</c:v>
                </c:pt>
                <c:pt idx="32">
                  <c:v>20Q1 (31.03)</c:v>
                </c:pt>
                <c:pt idx="33">
                  <c:v>05.03.20 COVID</c:v>
                </c:pt>
                <c:pt idx="34">
                  <c:v>19Q4 (30.12)</c:v>
                </c:pt>
                <c:pt idx="35">
                  <c:v>19Q3 (30.09)</c:v>
                </c:pt>
                <c:pt idx="36">
                  <c:v>13.09.19 TRD</c:v>
                </c:pt>
                <c:pt idx="37">
                  <c:v>19Q2 (30.06)</c:v>
                </c:pt>
                <c:pt idx="38">
                  <c:v>19Q1 (31.03)</c:v>
                </c:pt>
                <c:pt idx="39">
                  <c:v>18Q4 (31.12)</c:v>
                </c:pt>
                <c:pt idx="40">
                  <c:v>18Q3 (30.09)</c:v>
                </c:pt>
                <c:pt idx="41">
                  <c:v>13.09.18 TRD</c:v>
                </c:pt>
              </c:strCache>
            </c:strRef>
          </c:cat>
          <c:val>
            <c:numRef>
              <c:f>'Index Sensitivity'!$B$22:$AQ$22</c:f>
              <c:numCache>
                <c:formatCode>General</c:formatCode>
                <c:ptCount val="42"/>
                <c:pt idx="0">
                  <c:v>1735.41662704224</c:v>
                </c:pt>
                <c:pt idx="1">
                  <c:v>1728.23668143865</c:v>
                </c:pt>
                <c:pt idx="2">
                  <c:v>1763.14738383704</c:v>
                </c:pt>
                <c:pt idx="3">
                  <c:v>1667.29748749453</c:v>
                </c:pt>
                <c:pt idx="4">
                  <c:v>1613.29098274911</c:v>
                </c:pt>
                <c:pt idx="5">
                  <c:v>1607.96546018221</c:v>
                </c:pt>
                <c:pt idx="6">
                  <c:v>1629.20098141773</c:v>
                </c:pt>
                <c:pt idx="7">
                  <c:v>1567.48197881203</c:v>
                </c:pt>
                <c:pt idx="8">
                  <c:v>1452.65039846321</c:v>
                </c:pt>
                <c:pt idx="9">
                  <c:v>1358.25551096487</c:v>
                </c:pt>
                <c:pt idx="10">
                  <c:v>1404.11206421059</c:v>
                </c:pt>
                <c:pt idx="11">
                  <c:v>1417.3402818723</c:v>
                </c:pt>
                <c:pt idx="12">
                  <c:v>1416.41782528482</c:v>
                </c:pt>
                <c:pt idx="13">
                  <c:v>1304.36312456017</c:v>
                </c:pt>
                <c:pt idx="14">
                  <c:v>1212.38374194039</c:v>
                </c:pt>
                <c:pt idx="15">
                  <c:v>1099.48266352207</c:v>
                </c:pt>
                <c:pt idx="16">
                  <c:v>1072.39857732469</c:v>
                </c:pt>
                <c:pt idx="17">
                  <c:v>1129.0107841832</c:v>
                </c:pt>
                <c:pt idx="18">
                  <c:v>1133.81326435514</c:v>
                </c:pt>
                <c:pt idx="19">
                  <c:v>1198.06189018012</c:v>
                </c:pt>
                <c:pt idx="20">
                  <c:v>1171.37721817525</c:v>
                </c:pt>
                <c:pt idx="21">
                  <c:v>1142.53380755844</c:v>
                </c:pt>
                <c:pt idx="22">
                  <c:v>1221.6083078152</c:v>
                </c:pt>
                <c:pt idx="23">
                  <c:v>1200.43935561177</c:v>
                </c:pt>
                <c:pt idx="24">
                  <c:v>1168.32455256101</c:v>
                </c:pt>
                <c:pt idx="25">
                  <c:v>1143.64646138045</c:v>
                </c:pt>
                <c:pt idx="26">
                  <c:v>1158.60547387641</c:v>
                </c:pt>
                <c:pt idx="27">
                  <c:v>1119.34876466896</c:v>
                </c:pt>
                <c:pt idx="28">
                  <c:v>1034.49226848242</c:v>
                </c:pt>
                <c:pt idx="29">
                  <c:v>952.650398463206</c:v>
                </c:pt>
                <c:pt idx="30">
                  <c:v>948.941552389828</c:v>
                </c:pt>
                <c:pt idx="31">
                  <c:v>963.082716777298</c:v>
                </c:pt>
                <c:pt idx="32">
                  <c:v>872.311086596801</c:v>
                </c:pt>
                <c:pt idx="33">
                  <c:v>1055.01455008844</c:v>
                </c:pt>
                <c:pt idx="34">
                  <c:v>1141.07879871427</c:v>
                </c:pt>
                <c:pt idx="35">
                  <c:v>1109.02105483386</c:v>
                </c:pt>
                <c:pt idx="36">
                  <c:v>1043.73585408068</c:v>
                </c:pt>
                <c:pt idx="37">
                  <c:v>1048.62392300816</c:v>
                </c:pt>
                <c:pt idx="38">
                  <c:v>991.831028776842</c:v>
                </c:pt>
                <c:pt idx="39">
                  <c:v>967.219506628374</c:v>
                </c:pt>
                <c:pt idx="40">
                  <c:v>989.862487399433</c:v>
                </c:pt>
                <c:pt idx="41">
                  <c:v>1000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3411782"/>
        <c:axId val="49070642"/>
      </c:lineChart>
      <c:catAx>
        <c:axId val="53411782"/>
        <c:scaling>
          <c:orientation val="maxMin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9070642"/>
        <c:crossesAt val="0"/>
        <c:auto val="1"/>
        <c:lblAlgn val="ctr"/>
        <c:lblOffset val="100"/>
        <c:noMultiLvlLbl val="0"/>
      </c:catAx>
      <c:valAx>
        <c:axId val="49070642"/>
        <c:scaling>
          <c:orientation val="minMax"/>
          <c:max val="2600"/>
          <c:min val="700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3411782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022438902431402"/>
          <c:y val="0.00905059281382931"/>
          <c:w val="0.938808675542221"/>
          <c:h val="0.088333785862974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03280489719039"/>
          <c:y val="0.0326588569400071"/>
          <c:w val="0.637262596138754"/>
          <c:h val="0.924387646432375"/>
        </c:manualLayout>
      </c:layout>
      <c:lineChart>
        <c:grouping val="standard"/>
        <c:varyColors val="0"/>
        <c:ser>
          <c:idx val="0"/>
          <c:order val="0"/>
          <c:tx>
            <c:strRef>
              <c:f>'Seasonality Charts'!$H$1:$H$1</c:f>
              <c:strCache>
                <c:ptCount val="1"/>
                <c:pt idx="0">
                  <c:v>MBI10 (reg)</c:v>
                </c:pt>
              </c:strCache>
            </c:strRef>
          </c:tx>
          <c:spPr>
            <a:solidFill>
              <a:srgbClr val="000000"/>
            </a:solidFill>
            <a:ln w="64080">
              <a:solidFill>
                <a:srgbClr val="000000"/>
              </a:solidFill>
              <a:custDash>
                <a:ds d="28652" sp="28652"/>
                <a:ds d="28652" sp="28652"/>
              </a:custDash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Charts'!$H$2:$H$5</c:f>
              <c:numCache>
                <c:formatCode>General</c:formatCode>
                <c:ptCount val="4"/>
                <c:pt idx="0">
                  <c:v>-0.023569107528977</c:v>
                </c:pt>
                <c:pt idx="1">
                  <c:v>-0.0125736494118436</c:v>
                </c:pt>
                <c:pt idx="2">
                  <c:v>0.0095817280003031</c:v>
                </c:pt>
                <c:pt idx="3">
                  <c:v>0.0265610289405173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'Seasonality Charts'!$J$1:$J$1</c:f>
              <c:strCache>
                <c:ptCount val="1"/>
                <c:pt idx="0">
                  <c:v>MI wo. MBI</c:v>
                </c:pt>
              </c:strCache>
            </c:strRef>
          </c:tx>
          <c:spPr>
            <a:solidFill>
              <a:srgbClr val="000000"/>
            </a:solidFill>
            <a:ln w="64080">
              <a:solidFill>
                <a:srgbClr val="000000"/>
              </a:solidFill>
              <a:custDash>
                <a:ds d="100000" sp="50000"/>
              </a:custDash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Charts'!$J$2:$J$5</c:f>
              <c:numCache>
                <c:formatCode>General</c:formatCode>
                <c:ptCount val="4"/>
                <c:pt idx="0">
                  <c:v>0.0111255148640055</c:v>
                </c:pt>
                <c:pt idx="1">
                  <c:v>-0.0131873032788807</c:v>
                </c:pt>
                <c:pt idx="2">
                  <c:v>-0.000367711717758512</c:v>
                </c:pt>
                <c:pt idx="3">
                  <c:v>0.00242950013263388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'Seasonality Charts'!$B$6:$B$6</c:f>
              <c:strCache>
                <c:ptCount val="1"/>
                <c:pt idx="0">
                  <c:v>S&amp;P 500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Charts'!$B$7:$B$10</c:f>
              <c:numCache>
                <c:formatCode>General</c:formatCode>
                <c:ptCount val="4"/>
                <c:pt idx="0">
                  <c:v>-0.0116874992937901</c:v>
                </c:pt>
                <c:pt idx="1">
                  <c:v>0.00369097743315627</c:v>
                </c:pt>
                <c:pt idx="2">
                  <c:v>-0.0269595160884075</c:v>
                </c:pt>
                <c:pt idx="3">
                  <c:v>0.0349560379490415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'Seasonality Charts'!$C$6:$C$6</c:f>
              <c:strCache>
                <c:ptCount val="1"/>
                <c:pt idx="0">
                  <c:v>DOW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Charts'!$C$7:$C$10</c:f>
              <c:numCache>
                <c:formatCode>General</c:formatCode>
                <c:ptCount val="4"/>
                <c:pt idx="0">
                  <c:v>-0.0148021507253966</c:v>
                </c:pt>
                <c:pt idx="1">
                  <c:v>-0.000400306473546275</c:v>
                </c:pt>
                <c:pt idx="2">
                  <c:v>-0.0303663809087871</c:v>
                </c:pt>
                <c:pt idx="3">
                  <c:v>0.0455688381077298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'Seasonality Charts'!$D$6:$D$6</c:f>
              <c:strCache>
                <c:ptCount val="1"/>
                <c:pt idx="0">
                  <c:v>RUT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Charts'!$D$7:$D$10</c:f>
              <c:numCache>
                <c:formatCode>General</c:formatCode>
                <c:ptCount val="4"/>
                <c:pt idx="0">
                  <c:v>-0.0190306272527836</c:v>
                </c:pt>
                <c:pt idx="1">
                  <c:v>0.00132884773981534</c:v>
                </c:pt>
                <c:pt idx="2">
                  <c:v>-0.0414178903525504</c:v>
                </c:pt>
                <c:pt idx="3">
                  <c:v>0.0591196698655191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'Seasonality Charts'!$E$6:$E$6</c:f>
              <c:strCache>
                <c:ptCount val="1"/>
                <c:pt idx="0">
                  <c:v>FTSE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Charts'!$E$7:$E$10</c:f>
              <c:numCache>
                <c:formatCode>General</c:formatCode>
                <c:ptCount val="4"/>
                <c:pt idx="0">
                  <c:v>-0.0149273992158836</c:v>
                </c:pt>
                <c:pt idx="1">
                  <c:v>0.00248386962049607</c:v>
                </c:pt>
                <c:pt idx="2">
                  <c:v>-0.0188453825634938</c:v>
                </c:pt>
                <c:pt idx="3">
                  <c:v>0.031288912158881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'Seasonality Charts'!$F$6:$F$6</c:f>
              <c:strCache>
                <c:ptCount val="1"/>
                <c:pt idx="0">
                  <c:v>DAX 40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Charts'!$F$7:$F$10</c:f>
              <c:numCache>
                <c:formatCode>General</c:formatCode>
                <c:ptCount val="4"/>
                <c:pt idx="0">
                  <c:v>-0.0170647897311675</c:v>
                </c:pt>
                <c:pt idx="1">
                  <c:v>0.012995394330485</c:v>
                </c:pt>
                <c:pt idx="2">
                  <c:v>-0.027532497855113</c:v>
                </c:pt>
                <c:pt idx="3">
                  <c:v>0.0316018932557955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'Seasonality Charts'!$G$6:$G$6</c:f>
              <c:strCache>
                <c:ptCount val="1"/>
                <c:pt idx="0">
                  <c:v>CAC 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Charts'!$G$7:$G$10</c:f>
              <c:numCache>
                <c:formatCode>General</c:formatCode>
                <c:ptCount val="4"/>
                <c:pt idx="0">
                  <c:v>-0.00734350099956882</c:v>
                </c:pt>
                <c:pt idx="1">
                  <c:v>0.000865138354436468</c:v>
                </c:pt>
                <c:pt idx="2">
                  <c:v>-0.0355524770135394</c:v>
                </c:pt>
                <c:pt idx="3">
                  <c:v>0.0420308396586715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'Seasonality Charts'!$H$6:$H$6</c:f>
              <c:strCache>
                <c:ptCount val="1"/>
                <c:pt idx="0">
                  <c:v>EuroStxx 50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Charts'!$H$7:$H$10</c:f>
              <c:numCache>
                <c:formatCode>General</c:formatCode>
                <c:ptCount val="4"/>
                <c:pt idx="0">
                  <c:v>-0.00742999244379483</c:v>
                </c:pt>
                <c:pt idx="1">
                  <c:v>0.00485768738489356</c:v>
                </c:pt>
                <c:pt idx="2">
                  <c:v>-0.0334270062528088</c:v>
                </c:pt>
                <c:pt idx="3">
                  <c:v>0.0359993113117098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98903"/>
        <c:axId val="73324706"/>
      </c:lineChart>
      <c:catAx>
        <c:axId val="198903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3324706"/>
        <c:crosses val="autoZero"/>
        <c:auto val="1"/>
        <c:lblAlgn val="ctr"/>
        <c:lblOffset val="100"/>
        <c:noMultiLvlLbl val="0"/>
      </c:catAx>
      <c:valAx>
        <c:axId val="73324706"/>
        <c:scaling>
          <c:orientation val="minMax"/>
          <c:max val="0.06"/>
          <c:min val="-0.041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98903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758493526873284"/>
          <c:y val="0.058079015850485"/>
          <c:w val="0.22361710474696"/>
          <c:h val="0.899455878873906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03485419712241"/>
          <c:y val="0.0418292682926829"/>
          <c:w val="0.654150957913365"/>
          <c:h val="0.915"/>
        </c:manualLayout>
      </c:layout>
      <c:lineChart>
        <c:grouping val="standard"/>
        <c:varyColors val="0"/>
        <c:ser>
          <c:idx val="0"/>
          <c:order val="0"/>
          <c:tx>
            <c:strRef>
              <c:f>'Seasonality Charts'!$H$1:$H$1</c:f>
              <c:strCache>
                <c:ptCount val="1"/>
                <c:pt idx="0">
                  <c:v>MBI10 (reg)</c:v>
                </c:pt>
              </c:strCache>
            </c:strRef>
          </c:tx>
          <c:spPr>
            <a:solidFill>
              <a:srgbClr val="000000"/>
            </a:solidFill>
            <a:ln w="64080">
              <a:solidFill>
                <a:srgbClr val="000000"/>
              </a:solidFill>
              <a:custDash>
                <a:ds d="28652" sp="28652"/>
                <a:ds d="28652" sp="28652"/>
              </a:custDash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Charts'!$H$2:$H$5</c:f>
              <c:numCache>
                <c:formatCode>General</c:formatCode>
                <c:ptCount val="4"/>
                <c:pt idx="0">
                  <c:v>-0.023569107528977</c:v>
                </c:pt>
                <c:pt idx="1">
                  <c:v>-0.0125736494118436</c:v>
                </c:pt>
                <c:pt idx="2">
                  <c:v>0.0095817280003031</c:v>
                </c:pt>
                <c:pt idx="3">
                  <c:v>0.0265610289405173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'Seasonality Charts'!$J$1:$J$1</c:f>
              <c:strCache>
                <c:ptCount val="1"/>
                <c:pt idx="0">
                  <c:v>MI wo. MBI</c:v>
                </c:pt>
              </c:strCache>
            </c:strRef>
          </c:tx>
          <c:spPr>
            <a:solidFill>
              <a:srgbClr val="000000"/>
            </a:solidFill>
            <a:ln w="64080">
              <a:solidFill>
                <a:srgbClr val="000000"/>
              </a:solidFill>
              <a:custDash>
                <a:ds d="100000" sp="50000"/>
              </a:custDash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Charts'!$J$2:$J$5</c:f>
              <c:numCache>
                <c:formatCode>General</c:formatCode>
                <c:ptCount val="4"/>
                <c:pt idx="0">
                  <c:v>0.0111255148640055</c:v>
                </c:pt>
                <c:pt idx="1">
                  <c:v>-0.0131873032788807</c:v>
                </c:pt>
                <c:pt idx="2">
                  <c:v>-0.000367711717758512</c:v>
                </c:pt>
                <c:pt idx="3">
                  <c:v>0.00242950013263388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'Seasonality Charts'!$I$6:$I$6</c:f>
              <c:strCache>
                <c:ptCount val="1"/>
                <c:pt idx="0">
                  <c:v>Nikkei 225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Charts'!$I$7:$I$10</c:f>
              <c:numCache>
                <c:formatCode>General</c:formatCode>
                <c:ptCount val="4"/>
                <c:pt idx="0">
                  <c:v>-0.0221316949878907</c:v>
                </c:pt>
                <c:pt idx="1">
                  <c:v>0.0156862460971746</c:v>
                </c:pt>
                <c:pt idx="2">
                  <c:v>-0.00870875318662057</c:v>
                </c:pt>
                <c:pt idx="3">
                  <c:v>0.0151542020773364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'Seasonality Charts'!$J$6:$J$6</c:f>
              <c:strCache>
                <c:ptCount val="1"/>
                <c:pt idx="0">
                  <c:v>MOEX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Charts'!$J$7:$J$10</c:f>
              <c:numCache>
                <c:formatCode>General</c:formatCode>
                <c:ptCount val="4"/>
                <c:pt idx="0">
                  <c:v>-0.0364040029624639</c:v>
                </c:pt>
                <c:pt idx="1">
                  <c:v>-0.00523935659480168</c:v>
                </c:pt>
                <c:pt idx="2">
                  <c:v>0.00446923724252657</c:v>
                </c:pt>
                <c:pt idx="3">
                  <c:v>0.0371741223147387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'Seasonality Charts'!$K$6:$K$6</c:f>
              <c:strCache>
                <c:ptCount val="1"/>
                <c:pt idx="0">
                  <c:v>CSI 30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Charts'!$K$7:$K$10</c:f>
              <c:numCache>
                <c:formatCode>General</c:formatCode>
                <c:ptCount val="4"/>
                <c:pt idx="0">
                  <c:v>-0.0134862005298291</c:v>
                </c:pt>
                <c:pt idx="1">
                  <c:v>0.0200367815495629</c:v>
                </c:pt>
                <c:pt idx="2">
                  <c:v>-0.017718407704298</c:v>
                </c:pt>
                <c:pt idx="3">
                  <c:v>0.0111678266845644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'Seasonality Charts'!$L$6:$L$6</c:f>
              <c:strCache>
                <c:ptCount val="1"/>
                <c:pt idx="0">
                  <c:v>TWSE 50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Charts'!$L$7:$L$10</c:f>
              <c:numCache>
                <c:formatCode>General</c:formatCode>
                <c:ptCount val="4"/>
                <c:pt idx="0">
                  <c:v>0.0142225566448165</c:v>
                </c:pt>
                <c:pt idx="1">
                  <c:v>0.00394183650917845</c:v>
                </c:pt>
                <c:pt idx="2">
                  <c:v>-0.0419187121577651</c:v>
                </c:pt>
                <c:pt idx="3">
                  <c:v>0.0237543190037698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1108191"/>
        <c:axId val="76668099"/>
      </c:lineChart>
      <c:catAx>
        <c:axId val="5110819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6668099"/>
        <c:crosses val="autoZero"/>
        <c:auto val="1"/>
        <c:lblAlgn val="ctr"/>
        <c:lblOffset val="100"/>
        <c:noMultiLvlLbl val="0"/>
      </c:catAx>
      <c:valAx>
        <c:axId val="76668099"/>
        <c:scaling>
          <c:orientation val="minMax"/>
          <c:max val="0.0375"/>
          <c:min val="-0.0425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1108191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773694934307595"/>
          <c:y val="0.0548579787882482"/>
          <c:w val="0.208388955244854"/>
          <c:h val="0.913202486895038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00487300649734"/>
          <c:y val="0.0362265084075173"/>
          <c:w val="0.61370348493798"/>
          <c:h val="0.908382789317507"/>
        </c:manualLayout>
      </c:layout>
      <c:lineChart>
        <c:grouping val="standard"/>
        <c:varyColors val="0"/>
        <c:ser>
          <c:idx val="0"/>
          <c:order val="0"/>
          <c:tx>
            <c:strRef>
              <c:f>'Seasonality Charts'!$H$1:$H$1</c:f>
              <c:strCache>
                <c:ptCount val="1"/>
                <c:pt idx="0">
                  <c:v>MBI10 (reg)</c:v>
                </c:pt>
              </c:strCache>
            </c:strRef>
          </c:tx>
          <c:spPr>
            <a:solidFill>
              <a:srgbClr val="000000"/>
            </a:solidFill>
            <a:ln w="64080">
              <a:solidFill>
                <a:srgbClr val="000000"/>
              </a:solidFill>
              <a:custDash>
                <a:ds d="28652" sp="28652"/>
                <a:ds d="28652" sp="28652"/>
              </a:custDash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Charts'!$H$2:$H$5</c:f>
              <c:numCache>
                <c:formatCode>General</c:formatCode>
                <c:ptCount val="4"/>
                <c:pt idx="0">
                  <c:v>-0.023569107528977</c:v>
                </c:pt>
                <c:pt idx="1">
                  <c:v>-0.0125736494118436</c:v>
                </c:pt>
                <c:pt idx="2">
                  <c:v>0.0095817280003031</c:v>
                </c:pt>
                <c:pt idx="3">
                  <c:v>0.0265610289405173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'Seasonality Charts'!$J$1:$J$1</c:f>
              <c:strCache>
                <c:ptCount val="1"/>
                <c:pt idx="0">
                  <c:v>MI wo. MBI</c:v>
                </c:pt>
              </c:strCache>
            </c:strRef>
          </c:tx>
          <c:spPr>
            <a:solidFill>
              <a:srgbClr val="000000"/>
            </a:solidFill>
            <a:ln w="64080">
              <a:solidFill>
                <a:srgbClr val="000000"/>
              </a:solidFill>
              <a:custDash>
                <a:ds d="100000" sp="50000"/>
              </a:custDash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Charts'!$J$2:$J$5</c:f>
              <c:numCache>
                <c:formatCode>General</c:formatCode>
                <c:ptCount val="4"/>
                <c:pt idx="0">
                  <c:v>0.0111255148640055</c:v>
                </c:pt>
                <c:pt idx="1">
                  <c:v>-0.0131873032788807</c:v>
                </c:pt>
                <c:pt idx="2">
                  <c:v>-0.000367711717758512</c:v>
                </c:pt>
                <c:pt idx="3">
                  <c:v>0.00242950013263388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'Seasonality Charts'!$M$6:$M$6</c:f>
              <c:strCache>
                <c:ptCount val="1"/>
                <c:pt idx="0">
                  <c:v>SOFIX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Charts'!$M$7:$M$10</c:f>
              <c:numCache>
                <c:formatCode>General</c:formatCode>
                <c:ptCount val="4"/>
                <c:pt idx="0">
                  <c:v>-0.0342938418430518</c:v>
                </c:pt>
                <c:pt idx="1">
                  <c:v>0.0135730978882993</c:v>
                </c:pt>
                <c:pt idx="2">
                  <c:v>0.00682821037556236</c:v>
                </c:pt>
                <c:pt idx="3">
                  <c:v>0.0138925335791904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'Seasonality Charts'!$N$6:$N$6</c:f>
              <c:strCache>
                <c:ptCount val="1"/>
                <c:pt idx="0">
                  <c:v>BELEX 15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Charts'!$N$7:$N$10</c:f>
              <c:numCache>
                <c:formatCode>General</c:formatCode>
                <c:ptCount val="4"/>
                <c:pt idx="0">
                  <c:v>-0.00925263911229202</c:v>
                </c:pt>
                <c:pt idx="1">
                  <c:v>-0.00605612803716227</c:v>
                </c:pt>
                <c:pt idx="2">
                  <c:v>0.0028306153264217</c:v>
                </c:pt>
                <c:pt idx="3">
                  <c:v>0.0124781518230319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'Seasonality Charts'!$O$6:$O$6</c:f>
              <c:strCache>
                <c:ptCount val="1"/>
                <c:pt idx="0">
                  <c:v>ATHEX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Charts'!$O$7:$O$10</c:f>
              <c:numCache>
                <c:formatCode>General</c:formatCode>
                <c:ptCount val="4"/>
                <c:pt idx="0">
                  <c:v>-0.0393896760207793</c:v>
                </c:pt>
                <c:pt idx="1">
                  <c:v>0.028581587271131</c:v>
                </c:pt>
                <c:pt idx="2">
                  <c:v>-0.0349367956739413</c:v>
                </c:pt>
                <c:pt idx="3">
                  <c:v>0.0457448844235894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'Seasonality Charts'!$P$6:$P$6</c:f>
              <c:strCache>
                <c:ptCount val="1"/>
                <c:pt idx="0">
                  <c:v>CROBEX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Charts'!$A$7:$A$10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'Seasonality Charts'!$P$7:$P$10</c:f>
              <c:numCache>
                <c:formatCode>General</c:formatCode>
                <c:ptCount val="4"/>
                <c:pt idx="0">
                  <c:v>-0.0181672729048727</c:v>
                </c:pt>
                <c:pt idx="1">
                  <c:v>0.00696953377706766</c:v>
                </c:pt>
                <c:pt idx="2">
                  <c:v>-0.00181542027917025</c:v>
                </c:pt>
                <c:pt idx="3">
                  <c:v>0.0130131594069755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0282421"/>
        <c:axId val="5349925"/>
      </c:lineChart>
      <c:catAx>
        <c:axId val="9028242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349925"/>
        <c:crosses val="autoZero"/>
        <c:auto val="1"/>
        <c:lblAlgn val="ctr"/>
        <c:lblOffset val="100"/>
        <c:noMultiLvlLbl val="0"/>
      </c:catAx>
      <c:valAx>
        <c:axId val="5349925"/>
        <c:scaling>
          <c:orientation val="minMax"/>
          <c:max val="0.0425"/>
          <c:min val="-0.035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0282421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731084372923895"/>
          <c:y val="0.0780063678667646"/>
          <c:w val="0.252306783789769"/>
          <c:h val="0.853171687484693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03478478478478"/>
          <c:y val="0.042042042042042"/>
          <c:w val="0.646709209209209"/>
          <c:h val="0.915471026582138"/>
        </c:manualLayout>
      </c:layout>
      <c:lineChart>
        <c:grouping val="standard"/>
        <c:varyColors val="0"/>
        <c:ser>
          <c:idx val="0"/>
          <c:order val="0"/>
          <c:tx>
            <c:strRef>
              <c:f>'Seasonality Charts'!$B$33:$B$33</c:f>
              <c:strCache>
                <c:ptCount val="1"/>
                <c:pt idx="0">
                  <c:v>MI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Charts'!$A$34:$A$38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TRD</c:v>
                </c:pt>
                <c:pt idx="3">
                  <c:v>Q3</c:v>
                </c:pt>
                <c:pt idx="4">
                  <c:v>Q4</c:v>
                </c:pt>
              </c:strCache>
            </c:strRef>
          </c:cat>
          <c:val>
            <c:numRef>
              <c:f>'Seasonality Charts'!$B$34:$B$38</c:f>
              <c:numCache>
                <c:formatCode>General</c:formatCode>
                <c:ptCount val="5"/>
                <c:pt idx="0">
                  <c:v>-0.00787834383428221</c:v>
                </c:pt>
                <c:pt idx="1">
                  <c:v>0.00163980297972044</c:v>
                </c:pt>
                <c:pt idx="2">
                  <c:v>0.0273562461339791</c:v>
                </c:pt>
                <c:pt idx="3">
                  <c:v>-0.0172392971187438</c:v>
                </c:pt>
                <c:pt idx="4">
                  <c:v>-0.00387840816066154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'Seasonality Charts'!$C$33:$C$33</c:f>
              <c:strCache>
                <c:ptCount val="1"/>
                <c:pt idx="0">
                  <c:v>60th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Charts'!$A$34:$A$38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TRD</c:v>
                </c:pt>
                <c:pt idx="3">
                  <c:v>Q3</c:v>
                </c:pt>
                <c:pt idx="4">
                  <c:v>Q4</c:v>
                </c:pt>
              </c:strCache>
            </c:strRef>
          </c:cat>
          <c:val>
            <c:numRef>
              <c:f>'Seasonality Charts'!$C$34:$C$38</c:f>
              <c:numCache>
                <c:formatCode>General</c:formatCode>
                <c:ptCount val="5"/>
                <c:pt idx="0">
                  <c:v>-0.00611204602735205</c:v>
                </c:pt>
                <c:pt idx="1">
                  <c:v>0.00210971017526163</c:v>
                </c:pt>
                <c:pt idx="2">
                  <c:v>0.0251841491262202</c:v>
                </c:pt>
                <c:pt idx="3">
                  <c:v>-0.0167827576346331</c:v>
                </c:pt>
                <c:pt idx="4">
                  <c:v>-0.00439905563949661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'Seasonality Charts'!$D$33:$D$33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Charts'!$A$34:$A$38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TRD</c:v>
                </c:pt>
                <c:pt idx="3">
                  <c:v>Q3</c:v>
                </c:pt>
                <c:pt idx="4">
                  <c:v>Q4</c:v>
                </c:pt>
              </c:strCache>
            </c:strRef>
          </c:cat>
          <c:val>
            <c:numRef>
              <c:f>'Seasonality Charts'!$D$34:$D$38</c:f>
              <c:numCache>
                <c:formatCode>General</c:formatCode>
                <c:ptCount val="5"/>
                <c:pt idx="0">
                  <c:v>-0.00127194422287369</c:v>
                </c:pt>
                <c:pt idx="1">
                  <c:v>-0.0291550888227095</c:v>
                </c:pt>
                <c:pt idx="2">
                  <c:v>0.0407016922276267</c:v>
                </c:pt>
                <c:pt idx="3">
                  <c:v>-0.0161103304247485</c:v>
                </c:pt>
                <c:pt idx="4">
                  <c:v>0.00583567124270501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'Seasonality Charts'!$E$33:$E$33</c:f>
              <c:strCache>
                <c:ptCount val="1"/>
                <c:pt idx="0">
                  <c:v>Heavy Industry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Charts'!$A$34:$A$38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TRD</c:v>
                </c:pt>
                <c:pt idx="3">
                  <c:v>Q3</c:v>
                </c:pt>
                <c:pt idx="4">
                  <c:v>Q4</c:v>
                </c:pt>
              </c:strCache>
            </c:strRef>
          </c:cat>
          <c:val>
            <c:numRef>
              <c:f>'Seasonality Charts'!$E$34:$E$38</c:f>
              <c:numCache>
                <c:formatCode>General</c:formatCode>
                <c:ptCount val="5"/>
                <c:pt idx="0">
                  <c:v>0.0550568137927914</c:v>
                </c:pt>
                <c:pt idx="1">
                  <c:v>0.00771519937372001</c:v>
                </c:pt>
                <c:pt idx="2">
                  <c:v>-0.0277507161147963</c:v>
                </c:pt>
                <c:pt idx="3">
                  <c:v>-0.0301273508437936</c:v>
                </c:pt>
                <c:pt idx="4">
                  <c:v>-0.00489394620792139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'Seasonality Charts'!$F$33:$F$33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Charts'!$A$34:$A$38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TRD</c:v>
                </c:pt>
                <c:pt idx="3">
                  <c:v>Q3</c:v>
                </c:pt>
                <c:pt idx="4">
                  <c:v>Q4</c:v>
                </c:pt>
              </c:strCache>
            </c:strRef>
          </c:cat>
          <c:val>
            <c:numRef>
              <c:f>'Seasonality Charts'!$F$34:$F$38</c:f>
              <c:numCache>
                <c:formatCode>General</c:formatCode>
                <c:ptCount val="5"/>
                <c:pt idx="0">
                  <c:v>-0.0220662560508684</c:v>
                </c:pt>
                <c:pt idx="1">
                  <c:v>0.0240236987491611</c:v>
                </c:pt>
                <c:pt idx="2">
                  <c:v>0.0225413176376804</c:v>
                </c:pt>
                <c:pt idx="3">
                  <c:v>-0.0116038414784982</c:v>
                </c:pt>
                <c:pt idx="4">
                  <c:v>-0.0128949188574747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'Seasonality Charts'!$G$33:$G$33</c:f>
              <c:strCache>
                <c:ptCount val="1"/>
                <c:pt idx="0">
                  <c:v>MBI (reg)</c:v>
                </c:pt>
              </c:strCache>
            </c:strRef>
          </c:tx>
          <c:spPr>
            <a:solidFill>
              <a:srgbClr val="000000"/>
            </a:solidFill>
            <a:ln w="28800">
              <a:solidFill>
                <a:srgbClr val="000000"/>
              </a:solidFill>
              <a:custDash>
                <a:ds d="63750" sp="63750"/>
                <a:ds d="63750" sp="63750"/>
              </a:custDash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Charts'!$A$34:$A$38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TRD</c:v>
                </c:pt>
                <c:pt idx="3">
                  <c:v>Q3</c:v>
                </c:pt>
                <c:pt idx="4">
                  <c:v>Q4</c:v>
                </c:pt>
              </c:strCache>
            </c:strRef>
          </c:cat>
          <c:val>
            <c:numRef>
              <c:f>'Seasonality Charts'!$G$34:$G$38</c:f>
              <c:numCache>
                <c:formatCode>General</c:formatCode>
                <c:ptCount val="5"/>
                <c:pt idx="0">
                  <c:v>-0.0225323666936008</c:v>
                </c:pt>
                <c:pt idx="1">
                  <c:v>-0.00517902278320359</c:v>
                </c:pt>
                <c:pt idx="2">
                  <c:v>0.0233975815826644</c:v>
                </c:pt>
                <c:pt idx="3">
                  <c:v>-0.00420498595512964</c:v>
                </c:pt>
                <c:pt idx="4">
                  <c:v>0.00851879384926946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'Seasonality Charts'!$H$33:$H$33</c:f>
              <c:strCache>
                <c:ptCount val="1"/>
                <c:pt idx="0">
                  <c:v>MBI (cap)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Charts'!$A$34:$A$38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TRD</c:v>
                </c:pt>
                <c:pt idx="3">
                  <c:v>Q3</c:v>
                </c:pt>
                <c:pt idx="4">
                  <c:v>Q4</c:v>
                </c:pt>
              </c:strCache>
            </c:strRef>
          </c:cat>
          <c:val>
            <c:numRef>
              <c:f>'Seasonality Charts'!$H$34:$H$38</c:f>
              <c:numCache>
                <c:formatCode>General</c:formatCode>
                <c:ptCount val="5"/>
                <c:pt idx="0">
                  <c:v>-0.0111221073355254</c:v>
                </c:pt>
                <c:pt idx="1">
                  <c:v>0.00138695849348747</c:v>
                </c:pt>
                <c:pt idx="2">
                  <c:v>0.0274734614674771</c:v>
                </c:pt>
                <c:pt idx="3">
                  <c:v>-0.0144784253386581</c:v>
                </c:pt>
                <c:pt idx="4">
                  <c:v>-0.00325988728678062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'Seasonality Charts'!$I$33:$I$33</c:f>
              <c:strCache>
                <c:ptCount val="1"/>
                <c:pt idx="0">
                  <c:v>MI wo. MBI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Charts'!$A$34:$A$38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TRD</c:v>
                </c:pt>
                <c:pt idx="3">
                  <c:v>Q3</c:v>
                </c:pt>
                <c:pt idx="4">
                  <c:v>Q4</c:v>
                </c:pt>
              </c:strCache>
            </c:strRef>
          </c:cat>
          <c:val>
            <c:numRef>
              <c:f>'Seasonality Charts'!$I$34:$I$38</c:f>
              <c:numCache>
                <c:formatCode>General</c:formatCode>
                <c:ptCount val="5"/>
                <c:pt idx="0">
                  <c:v>0.0155808633570613</c:v>
                </c:pt>
                <c:pt idx="1">
                  <c:v>-0.00663153185805276</c:v>
                </c:pt>
                <c:pt idx="2">
                  <c:v>-0.00535866624231307</c:v>
                </c:pt>
                <c:pt idx="3">
                  <c:v>-0.000897221204523513</c:v>
                </c:pt>
                <c:pt idx="4">
                  <c:v>-0.00269344405217176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'Seasonality Charts'!$J$33:$J$33</c:f>
              <c:strCache>
                <c:ptCount val="1"/>
                <c:pt idx="0">
                  <c:v>Light Industry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Charts'!$A$34:$A$38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TRD</c:v>
                </c:pt>
                <c:pt idx="3">
                  <c:v>Q3</c:v>
                </c:pt>
                <c:pt idx="4">
                  <c:v>Q4</c:v>
                </c:pt>
              </c:strCache>
            </c:strRef>
          </c:cat>
          <c:val>
            <c:numRef>
              <c:f>'Seasonality Charts'!$J$34:$J$38</c:f>
              <c:numCache>
                <c:formatCode>General</c:formatCode>
                <c:ptCount val="5"/>
                <c:pt idx="0">
                  <c:v>0.0550568137927914</c:v>
                </c:pt>
                <c:pt idx="1">
                  <c:v>0.00771519937372001</c:v>
                </c:pt>
                <c:pt idx="2">
                  <c:v>-0.0277507161147963</c:v>
                </c:pt>
                <c:pt idx="3">
                  <c:v>-0.0301273508437936</c:v>
                </c:pt>
                <c:pt idx="4">
                  <c:v>-0.00489394620792139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3466603"/>
        <c:axId val="82094425"/>
      </c:lineChart>
      <c:catAx>
        <c:axId val="23466603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2094425"/>
        <c:crossesAt val="0"/>
        <c:auto val="1"/>
        <c:lblAlgn val="ctr"/>
        <c:lblOffset val="100"/>
        <c:noMultiLvlLbl val="0"/>
      </c:catAx>
      <c:valAx>
        <c:axId val="82094425"/>
        <c:scaling>
          <c:orientation val="minMax"/>
          <c:min val="-0.03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3466603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77763182585851"/>
          <c:y val="0.0226817878585724"/>
          <c:w val="0.209232501407394"/>
          <c:h val="0.922726261952413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06526631657914"/>
          <c:y val="0.0439084037349933"/>
          <c:w val="0.826144036009002"/>
          <c:h val="0.719875500222321"/>
        </c:manualLayout>
      </c:layout>
      <c:lineChart>
        <c:grouping val="standard"/>
        <c:varyColors val="0"/>
        <c:ser>
          <c:idx val="0"/>
          <c:order val="0"/>
          <c:tx>
            <c:strRef>
              <c:f>'Seasonality Charts'!$B$47:$B$47</c:f>
              <c:strCache>
                <c:ptCount val="1"/>
                <c:pt idx="0">
                  <c:v>MI</c:v>
                </c:pt>
              </c:strCache>
            </c:strRef>
          </c:tx>
          <c:spPr>
            <a:solidFill>
              <a:srgbClr val="004586">
                <a:alpha val="50000"/>
              </a:srgbClr>
            </a:solidFill>
            <a:ln w="28800">
              <a:solidFill>
                <a:srgbClr val="004586">
                  <a:alpha val="50000"/>
                </a:srgbClr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Charts'!$A$48:$A$49</c:f>
              <c:strCache>
                <c:ptCount val="2"/>
                <c:pt idx="0">
                  <c:v>TRD Before</c:v>
                </c:pt>
                <c:pt idx="1">
                  <c:v>TRD After</c:v>
                </c:pt>
              </c:strCache>
            </c:strRef>
          </c:cat>
          <c:val>
            <c:numRef>
              <c:f>'Seasonality Charts'!$B$48:$B$49</c:f>
              <c:numCache>
                <c:formatCode>General</c:formatCode>
                <c:ptCount val="2"/>
                <c:pt idx="0">
                  <c:v>0.0273562461339791</c:v>
                </c:pt>
                <c:pt idx="1">
                  <c:v>0.0226447671002726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'Seasonality Charts'!$C$47:$C$47</c:f>
              <c:strCache>
                <c:ptCount val="1"/>
                <c:pt idx="0">
                  <c:v>60th</c:v>
                </c:pt>
              </c:strCache>
            </c:strRef>
          </c:tx>
          <c:spPr>
            <a:solidFill>
              <a:srgbClr val="ff0000">
                <a:alpha val="50000"/>
              </a:srgbClr>
            </a:solidFill>
            <a:ln w="28800">
              <a:solidFill>
                <a:srgbClr val="ff0000">
                  <a:alpha val="50000"/>
                </a:srgbClr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Charts'!$A$48:$A$49</c:f>
              <c:strCache>
                <c:ptCount val="2"/>
                <c:pt idx="0">
                  <c:v>TRD Before</c:v>
                </c:pt>
                <c:pt idx="1">
                  <c:v>TRD After</c:v>
                </c:pt>
              </c:strCache>
            </c:strRef>
          </c:cat>
          <c:val>
            <c:numRef>
              <c:f>'Seasonality Charts'!$C$48:$C$49</c:f>
              <c:numCache>
                <c:formatCode>General</c:formatCode>
                <c:ptCount val="2"/>
                <c:pt idx="0">
                  <c:v>0.0251841491262202</c:v>
                </c:pt>
                <c:pt idx="1">
                  <c:v>0.0208960606516576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'Seasonality Charts'!$D$47:$D$47</c:f>
              <c:strCache>
                <c:ptCount val="1"/>
                <c:pt idx="0">
                  <c:v>Finance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prstDash val="dashDot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Charts'!$A$48:$A$49</c:f>
              <c:strCache>
                <c:ptCount val="2"/>
                <c:pt idx="0">
                  <c:v>TRD Before</c:v>
                </c:pt>
                <c:pt idx="1">
                  <c:v>TRD After</c:v>
                </c:pt>
              </c:strCache>
            </c:strRef>
          </c:cat>
          <c:val>
            <c:numRef>
              <c:f>'Seasonality Charts'!$D$48:$D$49</c:f>
              <c:numCache>
                <c:formatCode>General</c:formatCode>
                <c:ptCount val="2"/>
                <c:pt idx="0">
                  <c:v>0.0407016922276267</c:v>
                </c:pt>
                <c:pt idx="1">
                  <c:v>0.0308794642938772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'Seasonality Charts'!$E$47:$E$47</c:f>
              <c:strCache>
                <c:ptCount val="1"/>
                <c:pt idx="0">
                  <c:v>Heavy Industry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prstDash val="dot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Charts'!$A$48:$A$49</c:f>
              <c:strCache>
                <c:ptCount val="2"/>
                <c:pt idx="0">
                  <c:v>TRD Before</c:v>
                </c:pt>
                <c:pt idx="1">
                  <c:v>TRD After</c:v>
                </c:pt>
              </c:strCache>
            </c:strRef>
          </c:cat>
          <c:val>
            <c:numRef>
              <c:f>'Seasonality Charts'!$E$48:$E$49</c:f>
              <c:numCache>
                <c:formatCode>General</c:formatCode>
                <c:ptCount val="2"/>
                <c:pt idx="0">
                  <c:v>-0.0277507161147963</c:v>
                </c:pt>
                <c:pt idx="1">
                  <c:v>-0.0449058419376909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'Seasonality Charts'!$F$47:$F$47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Charts'!$A$48:$A$49</c:f>
              <c:strCache>
                <c:ptCount val="2"/>
                <c:pt idx="0">
                  <c:v>TRD Before</c:v>
                </c:pt>
                <c:pt idx="1">
                  <c:v>TRD After</c:v>
                </c:pt>
              </c:strCache>
            </c:strRef>
          </c:cat>
          <c:val>
            <c:numRef>
              <c:f>'Seasonality Charts'!$F$48:$F$49</c:f>
              <c:numCache>
                <c:formatCode>General</c:formatCode>
                <c:ptCount val="2"/>
                <c:pt idx="0">
                  <c:v>0.0225413176376804</c:v>
                </c:pt>
                <c:pt idx="1">
                  <c:v>0.0245379806606389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'Seasonality Charts'!$G$47:$G$47</c:f>
              <c:strCache>
                <c:ptCount val="1"/>
                <c:pt idx="0">
                  <c:v>MBI (reg)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Charts'!$A$48:$A$49</c:f>
              <c:strCache>
                <c:ptCount val="2"/>
                <c:pt idx="0">
                  <c:v>TRD Before</c:v>
                </c:pt>
                <c:pt idx="1">
                  <c:v>TRD After</c:v>
                </c:pt>
              </c:strCache>
            </c:strRef>
          </c:cat>
          <c:val>
            <c:numRef>
              <c:f>'Seasonality Charts'!$G$48:$G$49</c:f>
              <c:numCache>
                <c:formatCode>General</c:formatCode>
                <c:ptCount val="2"/>
                <c:pt idx="0">
                  <c:v>0.0233975815826644</c:v>
                </c:pt>
                <c:pt idx="1">
                  <c:v>0.0184321226486347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'Seasonality Charts'!$H$47:$H$47</c:f>
              <c:strCache>
                <c:ptCount val="1"/>
                <c:pt idx="0">
                  <c:v>MBI (cap)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Charts'!$A$48:$A$49</c:f>
              <c:strCache>
                <c:ptCount val="2"/>
                <c:pt idx="0">
                  <c:v>TRD Before</c:v>
                </c:pt>
                <c:pt idx="1">
                  <c:v>TRD After</c:v>
                </c:pt>
              </c:strCache>
            </c:strRef>
          </c:cat>
          <c:val>
            <c:numRef>
              <c:f>'Seasonality Charts'!$H$48:$H$49</c:f>
              <c:numCache>
                <c:formatCode>General</c:formatCode>
                <c:ptCount val="2"/>
                <c:pt idx="0">
                  <c:v>0.0274734614674771</c:v>
                </c:pt>
                <c:pt idx="1">
                  <c:v>0.0254237635840968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'Seasonality Charts'!$I$47:$I$47</c:f>
              <c:strCache>
                <c:ptCount val="1"/>
                <c:pt idx="0">
                  <c:v>MI wo. MBI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Charts'!$A$48:$A$49</c:f>
              <c:strCache>
                <c:ptCount val="2"/>
                <c:pt idx="0">
                  <c:v>TRD Before</c:v>
                </c:pt>
                <c:pt idx="1">
                  <c:v>TRD After</c:v>
                </c:pt>
              </c:strCache>
            </c:strRef>
          </c:cat>
          <c:val>
            <c:numRef>
              <c:f>'Seasonality Charts'!$I$48:$I$49</c:f>
              <c:numCache>
                <c:formatCode>General</c:formatCode>
                <c:ptCount val="2"/>
                <c:pt idx="0">
                  <c:v>-0.00535866624231307</c:v>
                </c:pt>
                <c:pt idx="1">
                  <c:v>-0.00541616987098204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'Seasonality Charts'!$J$47:$J$47</c:f>
              <c:strCache>
                <c:ptCount val="1"/>
                <c:pt idx="0">
                  <c:v>Light Industry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prstDash val="sysDot"/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Charts'!$A$48:$A$49</c:f>
              <c:strCache>
                <c:ptCount val="2"/>
                <c:pt idx="0">
                  <c:v>TRD Before</c:v>
                </c:pt>
                <c:pt idx="1">
                  <c:v>TRD After</c:v>
                </c:pt>
              </c:strCache>
            </c:strRef>
          </c:cat>
          <c:val>
            <c:numRef>
              <c:f>'Seasonality Charts'!$J$48:$J$49</c:f>
              <c:numCache>
                <c:formatCode>General</c:formatCode>
                <c:ptCount val="2"/>
                <c:pt idx="0">
                  <c:v>-0.0277507161147963</c:v>
                </c:pt>
                <c:pt idx="1">
                  <c:v>0.026051933674256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4471557"/>
        <c:axId val="65399756"/>
      </c:lineChart>
      <c:catAx>
        <c:axId val="2447155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1836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5399756"/>
        <c:crossesAt val="0"/>
        <c:auto val="1"/>
        <c:lblAlgn val="ctr"/>
        <c:lblOffset val="100"/>
        <c:noMultiLvlLbl val="0"/>
      </c:catAx>
      <c:valAx>
        <c:axId val="6539975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4471557"/>
        <c:crossesAt val="0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0223138946184137"/>
          <c:y val="0.837204133792644"/>
          <c:w val="0.955247202950184"/>
          <c:h val="0.13601511279031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189047261815454"/>
          <c:y val="0.0417963539350823"/>
          <c:w val="0.791760440110028"/>
          <c:h val="0.7925744775455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'Seasonality Charts'!$A$50:$A$50</c:f>
              <c:strCache>
                <c:ptCount val="1"/>
                <c:pt idx="0">
                  <c:v>Effect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'Seasonality Charts'!$B$47:$J$47</c:f>
              <c:strCache>
                <c:ptCount val="9"/>
                <c:pt idx="0">
                  <c:v>MI</c:v>
                </c:pt>
                <c:pt idx="1">
                  <c:v>60th</c:v>
                </c:pt>
                <c:pt idx="2">
                  <c:v>Finance</c:v>
                </c:pt>
                <c:pt idx="3">
                  <c:v>Heavy Industry</c:v>
                </c:pt>
                <c:pt idx="4">
                  <c:v>Services</c:v>
                </c:pt>
                <c:pt idx="5">
                  <c:v>MBI (reg)</c:v>
                </c:pt>
                <c:pt idx="6">
                  <c:v>MBI (cap)</c:v>
                </c:pt>
                <c:pt idx="7">
                  <c:v>MI wo. MBI</c:v>
                </c:pt>
                <c:pt idx="8">
                  <c:v>Light Industry</c:v>
                </c:pt>
              </c:strCache>
            </c:strRef>
          </c:cat>
          <c:val>
            <c:numRef>
              <c:f>'Seasonality Charts'!$B$50:$J$50</c:f>
              <c:numCache>
                <c:formatCode>General</c:formatCode>
                <c:ptCount val="9"/>
                <c:pt idx="0">
                  <c:v>-0.0047114790337065</c:v>
                </c:pt>
                <c:pt idx="1">
                  <c:v>-0.0042880884745626</c:v>
                </c:pt>
                <c:pt idx="2">
                  <c:v>-0.0098222279337495</c:v>
                </c:pt>
                <c:pt idx="3">
                  <c:v>-0.0171551258228946</c:v>
                </c:pt>
                <c:pt idx="4">
                  <c:v>0.0019966630229585</c:v>
                </c:pt>
                <c:pt idx="5">
                  <c:v>-0.0049654589340297</c:v>
                </c:pt>
                <c:pt idx="6">
                  <c:v>-0.00204969788338028</c:v>
                </c:pt>
                <c:pt idx="7">
                  <c:v>5.75036286689697E-005</c:v>
                </c:pt>
                <c:pt idx="8">
                  <c:v>0.0538026497890523</c:v>
                </c:pt>
              </c:numCache>
            </c:numRef>
          </c:val>
        </c:ser>
        <c:gapWidth val="100"/>
        <c:overlap val="0"/>
        <c:axId val="43620361"/>
        <c:axId val="30881921"/>
      </c:barChart>
      <c:catAx>
        <c:axId val="4362036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0881921"/>
        <c:crossesAt val="0"/>
        <c:auto val="1"/>
        <c:lblAlgn val="ctr"/>
        <c:lblOffset val="100"/>
        <c:noMultiLvlLbl val="0"/>
      </c:catAx>
      <c:valAx>
        <c:axId val="3088192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3620361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85230326895431"/>
          <c:y val="0.926547394154906"/>
          <c:w val="0.134570910681918"/>
          <c:h val="0.0733414823869319"/>
        </c:manualLayout>
      </c:layout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chart" Target="../charts/chart1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5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5" Type="http://schemas.openxmlformats.org/officeDocument/2006/relationships/chart" Target="../charts/chart20.xml"/><Relationship Id="rId6" Type="http://schemas.openxmlformats.org/officeDocument/2006/relationships/chart" Target="../charts/chart21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.w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804600</xdr:colOff>
      <xdr:row>18</xdr:row>
      <xdr:rowOff>360</xdr:rowOff>
    </xdr:from>
    <xdr:to>
      <xdr:col>13</xdr:col>
      <xdr:colOff>673200</xdr:colOff>
      <xdr:row>37</xdr:row>
      <xdr:rowOff>150480</xdr:rowOff>
    </xdr:to>
    <xdr:graphicFrame>
      <xdr:nvGraphicFramePr>
        <xdr:cNvPr id="0" name=""/>
        <xdr:cNvGraphicFramePr/>
      </xdr:nvGraphicFramePr>
      <xdr:xfrm>
        <a:off x="6287040" y="2926440"/>
        <a:ext cx="5757840" cy="3238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175320</xdr:colOff>
      <xdr:row>39</xdr:row>
      <xdr:rowOff>93960</xdr:rowOff>
    </xdr:from>
    <xdr:to>
      <xdr:col>14</xdr:col>
      <xdr:colOff>43920</xdr:colOff>
      <xdr:row>59</xdr:row>
      <xdr:rowOff>81720</xdr:rowOff>
    </xdr:to>
    <xdr:graphicFrame>
      <xdr:nvGraphicFramePr>
        <xdr:cNvPr id="1" name=""/>
        <xdr:cNvGraphicFramePr/>
      </xdr:nvGraphicFramePr>
      <xdr:xfrm>
        <a:off x="6470640" y="6433920"/>
        <a:ext cx="5757840" cy="3238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43</xdr:col>
      <xdr:colOff>150120</xdr:colOff>
      <xdr:row>2</xdr:row>
      <xdr:rowOff>63720</xdr:rowOff>
    </xdr:from>
    <xdr:to>
      <xdr:col>50</xdr:col>
      <xdr:colOff>219240</xdr:colOff>
      <xdr:row>27</xdr:row>
      <xdr:rowOff>115920</xdr:rowOff>
    </xdr:to>
    <xdr:graphicFrame>
      <xdr:nvGraphicFramePr>
        <xdr:cNvPr id="2" name=""/>
        <xdr:cNvGraphicFramePr/>
      </xdr:nvGraphicFramePr>
      <xdr:xfrm>
        <a:off x="38617920" y="226440"/>
        <a:ext cx="57585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43</xdr:col>
      <xdr:colOff>114480</xdr:colOff>
      <xdr:row>29</xdr:row>
      <xdr:rowOff>41040</xdr:rowOff>
    </xdr:from>
    <xdr:to>
      <xdr:col>50</xdr:col>
      <xdr:colOff>522720</xdr:colOff>
      <xdr:row>66</xdr:row>
      <xdr:rowOff>47160</xdr:rowOff>
    </xdr:to>
    <xdr:graphicFrame>
      <xdr:nvGraphicFramePr>
        <xdr:cNvPr id="3" name=""/>
        <xdr:cNvGraphicFramePr/>
      </xdr:nvGraphicFramePr>
      <xdr:xfrm>
        <a:off x="38582280" y="3715200"/>
        <a:ext cx="6097680" cy="602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43</xdr:col>
      <xdr:colOff>245880</xdr:colOff>
      <xdr:row>66</xdr:row>
      <xdr:rowOff>120600</xdr:rowOff>
    </xdr:from>
    <xdr:to>
      <xdr:col>50</xdr:col>
      <xdr:colOff>654120</xdr:colOff>
      <xdr:row>102</xdr:row>
      <xdr:rowOff>8280</xdr:rowOff>
    </xdr:to>
    <xdr:graphicFrame>
      <xdr:nvGraphicFramePr>
        <xdr:cNvPr id="4" name=""/>
        <xdr:cNvGraphicFramePr/>
      </xdr:nvGraphicFramePr>
      <xdr:xfrm>
        <a:off x="38713680" y="9809280"/>
        <a:ext cx="6097680" cy="602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43</xdr:col>
      <xdr:colOff>184680</xdr:colOff>
      <xdr:row>103</xdr:row>
      <xdr:rowOff>41760</xdr:rowOff>
    </xdr:from>
    <xdr:to>
      <xdr:col>50</xdr:col>
      <xdr:colOff>592920</xdr:colOff>
      <xdr:row>140</xdr:row>
      <xdr:rowOff>19800</xdr:rowOff>
    </xdr:to>
    <xdr:graphicFrame>
      <xdr:nvGraphicFramePr>
        <xdr:cNvPr id="5" name=""/>
        <xdr:cNvGraphicFramePr/>
      </xdr:nvGraphicFramePr>
      <xdr:xfrm>
        <a:off x="38652480" y="16026120"/>
        <a:ext cx="6097680" cy="602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43</xdr:col>
      <xdr:colOff>147960</xdr:colOff>
      <xdr:row>141</xdr:row>
      <xdr:rowOff>3600</xdr:rowOff>
    </xdr:from>
    <xdr:to>
      <xdr:col>50</xdr:col>
      <xdr:colOff>556200</xdr:colOff>
      <xdr:row>178</xdr:row>
      <xdr:rowOff>9360</xdr:rowOff>
    </xdr:to>
    <xdr:graphicFrame>
      <xdr:nvGraphicFramePr>
        <xdr:cNvPr id="6" name=""/>
        <xdr:cNvGraphicFramePr/>
      </xdr:nvGraphicFramePr>
      <xdr:xfrm>
        <a:off x="38615760" y="22192920"/>
        <a:ext cx="6097680" cy="602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43</xdr:col>
      <xdr:colOff>417240</xdr:colOff>
      <xdr:row>1</xdr:row>
      <xdr:rowOff>10800</xdr:rowOff>
    </xdr:from>
    <xdr:to>
      <xdr:col>50</xdr:col>
      <xdr:colOff>486360</xdr:colOff>
      <xdr:row>47</xdr:row>
      <xdr:rowOff>64440</xdr:rowOff>
    </xdr:to>
    <xdr:graphicFrame>
      <xdr:nvGraphicFramePr>
        <xdr:cNvPr id="7" name=""/>
        <xdr:cNvGraphicFramePr/>
      </xdr:nvGraphicFramePr>
      <xdr:xfrm>
        <a:off x="35936640" y="173520"/>
        <a:ext cx="5758560" cy="7954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170640</xdr:colOff>
      <xdr:row>11</xdr:row>
      <xdr:rowOff>96840</xdr:rowOff>
    </xdr:from>
    <xdr:to>
      <xdr:col>5</xdr:col>
      <xdr:colOff>693360</xdr:colOff>
      <xdr:row>30</xdr:row>
      <xdr:rowOff>50040</xdr:rowOff>
    </xdr:to>
    <xdr:graphicFrame>
      <xdr:nvGraphicFramePr>
        <xdr:cNvPr id="8" name=""/>
        <xdr:cNvGraphicFramePr/>
      </xdr:nvGraphicFramePr>
      <xdr:xfrm>
        <a:off x="170640" y="1884960"/>
        <a:ext cx="4586760" cy="3042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799920</xdr:colOff>
      <xdr:row>12</xdr:row>
      <xdr:rowOff>67320</xdr:rowOff>
    </xdr:from>
    <xdr:to>
      <xdr:col>11</xdr:col>
      <xdr:colOff>601560</xdr:colOff>
      <xdr:row>30</xdr:row>
      <xdr:rowOff>92880</xdr:rowOff>
    </xdr:to>
    <xdr:graphicFrame>
      <xdr:nvGraphicFramePr>
        <xdr:cNvPr id="9" name=""/>
        <xdr:cNvGraphicFramePr/>
      </xdr:nvGraphicFramePr>
      <xdr:xfrm>
        <a:off x="4863960" y="2018160"/>
        <a:ext cx="4678560" cy="2951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708120</xdr:colOff>
      <xdr:row>12</xdr:row>
      <xdr:rowOff>67680</xdr:rowOff>
    </xdr:from>
    <xdr:to>
      <xdr:col>17</xdr:col>
      <xdr:colOff>707040</xdr:colOff>
      <xdr:row>30</xdr:row>
      <xdr:rowOff>52920</xdr:rowOff>
    </xdr:to>
    <xdr:graphicFrame>
      <xdr:nvGraphicFramePr>
        <xdr:cNvPr id="11" name=""/>
        <xdr:cNvGraphicFramePr/>
      </xdr:nvGraphicFramePr>
      <xdr:xfrm>
        <a:off x="9649080" y="2018520"/>
        <a:ext cx="4875480" cy="2911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657000</xdr:colOff>
      <xdr:row>31</xdr:row>
      <xdr:rowOff>15840</xdr:rowOff>
    </xdr:from>
    <xdr:to>
      <xdr:col>17</xdr:col>
      <xdr:colOff>721440</xdr:colOff>
      <xdr:row>51</xdr:row>
      <xdr:rowOff>1080</xdr:rowOff>
    </xdr:to>
    <xdr:graphicFrame>
      <xdr:nvGraphicFramePr>
        <xdr:cNvPr id="12" name=""/>
        <xdr:cNvGraphicFramePr/>
      </xdr:nvGraphicFramePr>
      <xdr:xfrm>
        <a:off x="8785080" y="5055120"/>
        <a:ext cx="575388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317520</xdr:colOff>
      <xdr:row>52</xdr:row>
      <xdr:rowOff>16560</xdr:rowOff>
    </xdr:from>
    <xdr:to>
      <xdr:col>7</xdr:col>
      <xdr:colOff>386280</xdr:colOff>
      <xdr:row>72</xdr:row>
      <xdr:rowOff>3600</xdr:rowOff>
    </xdr:to>
    <xdr:graphicFrame>
      <xdr:nvGraphicFramePr>
        <xdr:cNvPr id="13" name=""/>
        <xdr:cNvGraphicFramePr/>
      </xdr:nvGraphicFramePr>
      <xdr:xfrm>
        <a:off x="317520" y="8469720"/>
        <a:ext cx="575820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8</xdr:col>
      <xdr:colOff>47880</xdr:colOff>
      <xdr:row>52</xdr:row>
      <xdr:rowOff>45360</xdr:rowOff>
    </xdr:from>
    <xdr:to>
      <xdr:col>15</xdr:col>
      <xdr:colOff>116280</xdr:colOff>
      <xdr:row>72</xdr:row>
      <xdr:rowOff>32400</xdr:rowOff>
    </xdr:to>
    <xdr:graphicFrame>
      <xdr:nvGraphicFramePr>
        <xdr:cNvPr id="14" name=""/>
        <xdr:cNvGraphicFramePr/>
      </xdr:nvGraphicFramePr>
      <xdr:xfrm>
        <a:off x="6550200" y="8498520"/>
        <a:ext cx="575820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c:userShapes xmlns:cdr="http://schemas.openxmlformats.org/drawingml/2006/chartDrawing" xmlns:a="http://schemas.openxmlformats.org/drawingml/2006/main" xmlns:c="http://schemas.openxmlformats.org/drawingml/2006/chart" xmlns:r="http://schemas.openxmlformats.org/officeDocument/2006/relationships">
  <cdr:relSizeAnchor>
    <cdr:from>
      <cdr:x>0</cdr:x>
      <cdr:y>0</cdr:y>
    </cdr:from>
    <cdr:to>
      <cdr:x>0.00577056243748557</cdr:x>
      <cdr:y>0.0104878048780488</cdr:y>
    </cdr:to>
    <cdr:pic>
      <cdr:nvPicPr>
        <cdr:cNvPr id="10" name="" descr=""/>
        <cdr:cNvPicPr/>
      </cdr:nvPicPr>
      <cdr:blipFill>
        <a:blip r:embed="rId1"/>
        <a:stretch/>
      </cdr:blipFill>
      <cdr:spPr>
        <a:xfrm>
          <a:off x="0" y="0"/>
          <a:ext cx="27000" cy="30960"/>
        </a:xfrm>
        <a:prstGeom prst="rect">
          <a:avLst/>
        </a:prstGeom>
        <a:ln w="0">
          <a:noFill/>
        </a:ln>
      </cdr:spPr>
    </cdr:pic>
  </cdr:relSizeAnchor>
</c:userShape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13.09.2024mk.xls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05.08.2024mk.xls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1.07.2024mk.xls" TargetMode="External"/>
</Relationships>
</file>

<file path=xl/externalLinks/_rels/externalLink4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17.07.2024mk.xls" TargetMode="External"/>
</Relationships>
</file>

<file path=xl/externalLinks/_rels/externalLink5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8.06.2024mk.xls" TargetMode="External"/>
</Relationships>
</file>

<file path=xl/externalLinks/_rels/externalLink6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3.04.2024mk.xls" TargetMode="External"/>
</Relationships>
</file>

<file path=xl/externalLinks/_rels/externalLink7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9.03.2024mk.xls" TargetMode="External"/>
</Relationships>
</file>

<file path=xl/externalLinks/_rels/externalLink8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2.02.2024mk.xls" TargetMode="External"/>
</Relationships>
</file>

<file path=xl/externalLinks/_rels/externalLink9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8.12.2023mk.xls" TargetMode="External"/>
</Relationships>
</file>

<file path=xl/externalLinks/_rels/externalLink10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09.10.2023mk.xls" TargetMode="External"/>
</Relationships>
</file>

<file path=xl/externalLinks/_rels/externalLink11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9.09.2023mk.xls" TargetMode="External"/>
</Relationships>
</file>

<file path=xl/externalLinks/_rels/externalLink12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6.09.2023mk.xls" TargetMode="External"/>
</Relationships>
</file>

<file path=xl/externalLinks/_rels/externalLink13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13.09.2023mk.xls" TargetMode="External"/>
</Relationships>
</file>

<file path=xl/externalLinks/_rels/externalLink14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06.2023mk.xls" TargetMode="External"/>
</Relationships>
</file>

<file path=xl/externalLinks/_rels/externalLink15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1.03.2023mk.xls" TargetMode="External"/>
</Relationships>
</file>

<file path=xl/externalLinks/_rels/externalLink16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9.12.2022mk.xls" TargetMode="External"/>
</Relationships>
</file>

<file path=xl/externalLinks/_rels/externalLink17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09.2022mk.xls" TargetMode="External"/>
</Relationships>
</file>

<file path=xl/externalLinks/_rels/externalLink18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13.09.2022mk.xls" TargetMode="External"/>
</Relationships>
</file>

<file path=xl/externalLinks/_rels/externalLink19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06.2022mk.xls" TargetMode="External"/>
</Relationships>
</file>

<file path=xl/externalLinks/_rels/externalLink20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1.03.2022mk.xls" TargetMode="External"/>
</Relationships>
</file>

<file path=xl/externalLinks/_rels/externalLink21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5.02.2022mk.xls" TargetMode="External"/>
</Relationships>
</file>

<file path=xl/externalLinks/_rels/externalLink22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4.02.2022mk.xls" TargetMode="External"/>
</Relationships>
</file>

<file path=xl/externalLinks/_rels/externalLink23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3.02.2022mk.xls" TargetMode="External"/>
</Relationships>
</file>

<file path=xl/externalLinks/_rels/externalLink24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12.2021mk.xls" TargetMode="External"/>
</Relationships>
</file>

<file path=xl/externalLinks/_rels/externalLink25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09.2021mk.xls" TargetMode="External"/>
</Relationships>
</file>

<file path=xl/externalLinks/_rels/externalLink26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13.09.2021mk.xls" TargetMode="External"/>
</Relationships>
</file>

<file path=xl/externalLinks/_rels/externalLink27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06.2021mk.xls" TargetMode="External"/>
</Relationships>
</file>

<file path=xl/externalLinks/_rels/externalLink28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1.03.2021mk.xls" TargetMode="External"/>
</Relationships>
</file>

<file path=xl/externalLinks/_rels/externalLink29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12.2020mk.xls" TargetMode="External"/>
</Relationships>
</file>

<file path=xl/externalLinks/_rels/externalLink30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09.2020mk.xls" TargetMode="External"/>
</Relationships>
</file>

<file path=xl/externalLinks/_rels/externalLink31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18.09.2020mk.xls" TargetMode="External"/>
</Relationships>
</file>

<file path=xl/externalLinks/_rels/externalLink32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06.2020mk.xls" TargetMode="External"/>
</Relationships>
</file>

<file path=xl/externalLinks/_rels/externalLink33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1.03.2020mk.xls" TargetMode="External"/>
</Relationships>
</file>

<file path=xl/externalLinks/_rels/externalLink34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05.03.2020mk.xls" TargetMode="External"/>
</Relationships>
</file>

<file path=xl/externalLinks/_rels/externalLink35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12.2019mk.xls" TargetMode="External"/>
</Relationships>
</file>

<file path=xl/externalLinks/_rels/externalLink36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30.09.2019mk.xls" TargetMode="External"/>
</Relationships>
</file>

<file path=xl/externalLinks/_rels/externalLink37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13.09.2019mk.xls" TargetMode="External"/>
</Relationships>
</file>

<file path=xl/externalLinks/_rels/externalLink38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8.06.2019mk.xls" TargetMode="External"/>
</Relationships>
</file>

<file path=xl/externalLinks/_rels/externalLink39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9.03.2019mk.xls" TargetMode="External"/>
</Relationships>
</file>

<file path=xl/externalLinks/_rels/externalLink40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8.12.2018mk.xls" TargetMode="External"/>
</Relationships>
</file>

<file path=xl/externalLinks/_rels/externalLink41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28.09.2018mk.xls" TargetMode="External"/>
</Relationships>
</file>

<file path=xl/externalLinks/_rels/externalLink42.xml.rels><?xml version="1.0" encoding="UTF-8"?>
<Relationships xmlns="http://schemas.openxmlformats.org/package/2006/relationships"><Relationship Id="rId1" Type="http://schemas.openxmlformats.org/officeDocument/2006/relationships/externalLinkPath" Target="&#1051;&#1080;&#1089;&#1090;&#1080;/13.09.2018mk.xls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МАКЕДОНСКА БЕРЗА НА ХАРТИИ ОД ВРЕДНОСТ</v>
          </cell>
        </row>
        <row r="2">
          <cell r="A2" t="str">
            <v>Дневна официјална листа број 171 од 13.09.2024</v>
          </cell>
        </row>
        <row r="3">
          <cell r="A3" t="str">
            <v>Хартија од вредност</v>
          </cell>
        </row>
        <row r="4">
          <cell r="A4" t="str">
            <v>Официјален пазар</v>
          </cell>
        </row>
        <row r="5">
          <cell r="A5" t="str">
            <v>Супер котација - обични акции</v>
          </cell>
        </row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Фершпед Скопје</v>
          </cell>
        </row>
        <row r="10">
          <cell r="A10" t="str">
            <v>Гранит Скопје</v>
          </cell>
        </row>
        <row r="11">
          <cell r="A11" t="str">
            <v>Интернешнел Хотелс АД Скопје</v>
          </cell>
        </row>
        <row r="12">
          <cell r="A12" t="str">
            <v>ДС Смитх АД Скопје</v>
          </cell>
        </row>
        <row r="13">
          <cell r="A13" t="str">
            <v>Макотекс Скопје</v>
          </cell>
        </row>
        <row r="14">
          <cell r="A14" t="str">
            <v>Макошпед Скопје</v>
          </cell>
        </row>
        <row r="15">
          <cell r="A15" t="str">
            <v>Хотели Метропол Охрид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Р.Македонија - државна обврзница DO2023/19-1125</v>
          </cell>
        </row>
        <row r="37">
          <cell r="A37" t="str">
            <v>Р. Македонија - државна обврзница DO2023/12-0725</v>
          </cell>
        </row>
        <row r="38">
          <cell r="A38" t="str">
            <v>Р. Македонија - државна обврзница DO2021/05-0428</v>
          </cell>
        </row>
        <row r="39">
          <cell r="A39" t="str">
            <v>Р. Македонија - државна обврзница DO2021/06-0428dk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Р.Македонија државна обврзница DO2022/16-1237</v>
          </cell>
        </row>
        <row r="44">
          <cell r="A44" t="str">
            <v>Р.Македонија - државна обврзница DO2024/01-0126</v>
          </cell>
        </row>
        <row r="45">
          <cell r="A45" t="str">
            <v>Р.Македонија - државна обврзница DO2024/02-0127</v>
          </cell>
        </row>
        <row r="46">
          <cell r="A46" t="str">
            <v>Р. Македонија - државна обврзница DO2014/23-1024</v>
          </cell>
        </row>
        <row r="47">
          <cell r="A47" t="str">
            <v>Р. Македонија - државна обврзница DO2017/35-1132dk</v>
          </cell>
        </row>
        <row r="48">
          <cell r="A48" t="str">
            <v>Р. Македонија - државна обврзница DO2022/03-0337</v>
          </cell>
        </row>
        <row r="49">
          <cell r="A49" t="str">
            <v>Р. Македонија - државна обврзница DO2023/04-0338</v>
          </cell>
        </row>
        <row r="50">
          <cell r="A50" t="str">
            <v>Р. Македонија - државна обврзница DO2016/26-1131dk</v>
          </cell>
        </row>
        <row r="51">
          <cell r="A51" t="str">
            <v>Р. Македонија - државна обврзница DO2015/44-1230dk</v>
          </cell>
        </row>
        <row r="52">
          <cell r="A52" t="str">
            <v>Р. Македонија - државна обврзница DO2020/15-1235dk</v>
          </cell>
        </row>
        <row r="53">
          <cell r="A53" t="str">
            <v>Р. Македонија - државна обврзница DO2021/04-0336</v>
          </cell>
        </row>
        <row r="54">
          <cell r="A54" t="str">
            <v>Р. Македонија - државна обврзница DO2017/14-0532dk</v>
          </cell>
        </row>
        <row r="55">
          <cell r="A55" t="str">
            <v>Р. Македонија - државна обврзница DO2015/19-0630dk</v>
          </cell>
        </row>
        <row r="56">
          <cell r="A56" t="str">
            <v>Р.Македонија - државна обврзница DO2022/09-0837</v>
          </cell>
        </row>
        <row r="57">
          <cell r="A57" t="str">
            <v>Р.Македонија - државна обврзница DO2022/10-0837dk</v>
          </cell>
        </row>
        <row r="58">
          <cell r="A58" t="str">
            <v>Р. Македонија - државна обврзница DO2023/14-0838</v>
          </cell>
        </row>
        <row r="59">
          <cell r="A59" t="str">
            <v>Р. Македонија - државна обврзница DO2014/38-1224</v>
          </cell>
        </row>
        <row r="60">
          <cell r="A60" t="str">
            <v>Р. Македонија - државна обврзница DO2020/03-0325</v>
          </cell>
        </row>
        <row r="61">
          <cell r="A61" t="str">
            <v>Р. Македонија - државна обврзница ДО2021/13-0836</v>
          </cell>
        </row>
        <row r="62">
          <cell r="A62" t="str">
            <v>Р.Македонија - државна обврзница DO2024/16-0939</v>
          </cell>
        </row>
        <row r="63">
          <cell r="A63" t="str">
            <v>Р. Македонија - државна обврзница DO2017/30-1032dk</v>
          </cell>
        </row>
        <row r="64">
          <cell r="A64" t="str">
            <v>Р. Македонија - државна обврзница DO2020/12-1125</v>
          </cell>
        </row>
        <row r="65">
          <cell r="A65" t="str">
            <v>Р. Македонија - државна обврзница DO2019/16-1234dk</v>
          </cell>
        </row>
        <row r="66">
          <cell r="A66" t="str">
            <v>Р. Македонија - државна обврзница DO2017/12-0432dk</v>
          </cell>
        </row>
        <row r="67">
          <cell r="A67" t="str">
            <v>Р.Македонија - државна обврзница DO2024/12-0629</v>
          </cell>
        </row>
        <row r="68">
          <cell r="A68" t="str">
            <v>Р.Македонија - државна обврзница DO2024/13-0639</v>
          </cell>
        </row>
        <row r="69">
          <cell r="A69" t="str">
            <v>Р. Македонија - државна обврзница DO2017/19-0732dk</v>
          </cell>
        </row>
        <row r="70">
          <cell r="A70" t="str">
            <v>Р. Македонија - државна обврзница DO2015/30-0825dk</v>
          </cell>
        </row>
        <row r="71">
          <cell r="A71" t="str">
            <v>Р. Македонија - државна обврзница DO2015/31-0830dk</v>
          </cell>
        </row>
        <row r="72">
          <cell r="A72" t="str">
            <v>Р. Македонија - државна обврзница DO2020/07-0850dk</v>
          </cell>
        </row>
        <row r="73">
          <cell r="A73" t="str">
            <v>Р.Македонија - државна обврзница DO2024/06-0329</v>
          </cell>
        </row>
        <row r="74">
          <cell r="A74" t="str">
            <v>Р.Македонија - државна обврзница DO2024/07-0339</v>
          </cell>
        </row>
        <row r="75">
          <cell r="A75" t="str">
            <v>Р. Македонија - државна обврзница DO2016/11-0426dk</v>
          </cell>
        </row>
        <row r="76">
          <cell r="A76" t="str">
            <v>Р. Македонија - државна обврзница DO2015/17-0530dk</v>
          </cell>
        </row>
        <row r="77">
          <cell r="A77" t="str">
            <v>Р. Македонија - државна обврзница DO2018/12-0633</v>
          </cell>
        </row>
        <row r="78">
          <cell r="A78" t="str">
            <v>Р. Македонија - државна обврзница DO2017/26-0932dk</v>
          </cell>
        </row>
        <row r="79">
          <cell r="A79" t="str">
            <v>Р.Македонија - државна обврзница DO2023/15-0938</v>
          </cell>
        </row>
        <row r="80">
          <cell r="A80" t="str">
            <v>Р.Македонија - државна обврзница DO2023/16-0938dk</v>
          </cell>
        </row>
        <row r="81">
          <cell r="A81" t="str">
            <v>Р. Македонија - државна обврзница DO2019/15-1134</v>
          </cell>
        </row>
        <row r="82">
          <cell r="A82" t="str">
            <v>Р. Македонија - државна обврзница DO2017/38-1232dk</v>
          </cell>
        </row>
        <row r="83">
          <cell r="A83" t="str">
            <v>Р.Македонија - државна обврзница DO2024/04-0239</v>
          </cell>
        </row>
        <row r="84">
          <cell r="A84" t="str">
            <v>Р.Македонија - државна обврзница DO2024/05-0239</v>
          </cell>
        </row>
        <row r="85">
          <cell r="A85" t="str">
            <v>Р. Македонија - државна обврзница DO2018/10-0333dk</v>
          </cell>
        </row>
        <row r="86">
          <cell r="A86" t="str">
            <v>Р. Македонија - државна обврзница DO2017/16-0632dk</v>
          </cell>
        </row>
        <row r="87">
          <cell r="A87" t="str">
            <v>Р. Македонија - државна обврзница DO2016/15-0731dk</v>
          </cell>
        </row>
        <row r="88">
          <cell r="A88" t="str">
            <v>Р. Македонија - државна обврзница DO2019/11-0834dk</v>
          </cell>
        </row>
        <row r="89">
          <cell r="A89" t="str">
            <v>Р.Македонија - државна обврзница DO2024/15-0839</v>
          </cell>
        </row>
        <row r="90">
          <cell r="A90" t="str">
            <v>Р. Македонија - државна обврзница DO2015/40-1030dk</v>
          </cell>
        </row>
        <row r="91">
          <cell r="A91" t="str">
            <v>Р. Македонија - државна обврзница DO2023/02-0238</v>
          </cell>
        </row>
        <row r="92">
          <cell r="A92" t="str">
            <v>Р. Македонија - државна обврзница DO2017/08-0332dk</v>
          </cell>
        </row>
        <row r="93">
          <cell r="A93" t="str">
            <v>Р. Македонија - државна обврзница DO2016/13-0631dk</v>
          </cell>
        </row>
        <row r="94">
          <cell r="A94" t="str">
            <v>Р. Македонија - државна обврзница DO2015/23-0725</v>
          </cell>
        </row>
        <row r="95">
          <cell r="A95" t="str">
            <v>Р. Македонија - државна обврзница DO2015/24-0725dk</v>
          </cell>
        </row>
        <row r="96">
          <cell r="A96" t="str">
            <v>Р. Македонија - државна обврзница DO2015/25-0730dk</v>
          </cell>
        </row>
        <row r="97">
          <cell r="A97" t="str">
            <v>Р. Македонија - државна обврзница DO2018/17-0833dk</v>
          </cell>
        </row>
        <row r="98">
          <cell r="A98" t="str">
            <v>Р.Македонија државна обврзница DO2022/13-0937</v>
          </cell>
        </row>
        <row r="99">
          <cell r="A99" t="str">
            <v>Р.Македонија државна обврзница DO2022/12-0937dk</v>
          </cell>
        </row>
        <row r="100">
          <cell r="A100" t="str">
            <v>Р.Македонија - државна обврзница DO2024/10-0526</v>
          </cell>
        </row>
        <row r="101">
          <cell r="A101" t="str">
            <v>Р.Македонија - државна обврзница DO2024/11-0539</v>
          </cell>
        </row>
        <row r="102">
          <cell r="A102" t="str">
            <v>Р. Македонија - државна обврзница DO2017/22-0832dk</v>
          </cell>
        </row>
        <row r="103">
          <cell r="A103" t="str">
            <v>Р. Македонија - државна обврзница DO2018/02-0128</v>
          </cell>
        </row>
        <row r="104">
          <cell r="A104" t="str">
            <v>Р. Македонија - државна обврзница DO2018/03-0133dk</v>
          </cell>
        </row>
        <row r="105">
          <cell r="A105" t="str">
            <v>Р.Македонија - државна обврзница DO2024/03-0139</v>
          </cell>
        </row>
        <row r="106">
          <cell r="A106" t="str">
            <v>Р. Македонија - државна обврзница DO2016/05-0226</v>
          </cell>
        </row>
        <row r="107">
          <cell r="A107" t="str">
            <v>Р. Македонија - државна обврзница DO2016/06-0226dk</v>
          </cell>
        </row>
        <row r="108">
          <cell r="A108" t="str">
            <v>Р. Македонија - државна обврзница DO2016/07-0231dk</v>
          </cell>
        </row>
        <row r="109">
          <cell r="A109" t="str">
            <v>Р. Македонија - државна обврзница DO2023/06-0538</v>
          </cell>
        </row>
        <row r="110">
          <cell r="A110" t="str">
            <v>Р.Македонија - државна обврзница DO2024/14-0739</v>
          </cell>
        </row>
        <row r="111">
          <cell r="A111" t="str">
            <v>Р. Македонија - државна обврзница DO2017/02-0132dk</v>
          </cell>
        </row>
        <row r="112">
          <cell r="A112" t="str">
            <v>Р. Македонија - државна обврзница DO2023/01-0138</v>
          </cell>
        </row>
        <row r="113">
          <cell r="A113" t="str">
            <v>Р. Македонија - државна обврзница DO2015/05-0230dk</v>
          </cell>
        </row>
        <row r="114">
          <cell r="A114" t="str">
            <v>Р. Македонија - државна обврзница DO2015/09-0325</v>
          </cell>
        </row>
        <row r="115">
          <cell r="A115" t="str">
            <v>Р. Македонија - државна обврзница DO2015/10-0330dk</v>
          </cell>
        </row>
        <row r="116">
          <cell r="A116" t="str">
            <v>Р.Македонија - државна обврзница DO2024/08-0439</v>
          </cell>
        </row>
        <row r="117">
          <cell r="A117" t="str">
            <v>Р.Македонија - државна обврзница DO2024/09-0439dk</v>
          </cell>
        </row>
        <row r="118">
          <cell r="A118" t="str">
            <v>Р. Македонија - државна обврзница DO2022/05-0537</v>
          </cell>
        </row>
        <row r="119">
          <cell r="A119" t="str">
            <v>Р. Македонија - државна обврзница DO2022/01-0137</v>
          </cell>
        </row>
        <row r="120">
          <cell r="A120" t="str">
            <v>Р. Македонија - државна обврзница DO2020/02-0235</v>
          </cell>
        </row>
        <row r="121">
          <cell r="A121" t="str">
            <v>Р. Македонија - државна обврзница DO2023/11-0738</v>
          </cell>
        </row>
        <row r="122">
          <cell r="A122" t="str">
            <v>Р. Македонија - државна обврзница DO2022/14-1037</v>
          </cell>
        </row>
        <row r="123">
          <cell r="A123" t="str">
            <v>Р. Македонија - државна обврзница DO2016/01-0126dk</v>
          </cell>
        </row>
        <row r="124">
          <cell r="A124" t="str">
            <v>Р. Македонија - државна обврзница DO2016/02-0131dk</v>
          </cell>
        </row>
        <row r="125">
          <cell r="A125" t="str">
            <v>Р. Македонија - државна обврзница DO2021/01-0136</v>
          </cell>
        </row>
        <row r="126">
          <cell r="A126" t="str">
            <v>Р. Македонија - државна обврзница DO2016/12-0431dk</v>
          </cell>
        </row>
        <row r="127">
          <cell r="A127" t="str">
            <v>Р. Македонија - државна обврзница DO2022/04-0437dk</v>
          </cell>
        </row>
        <row r="128">
          <cell r="A128" t="str">
            <v>Р. Македонија - државна обврзница DO2021/09-0526</v>
          </cell>
        </row>
        <row r="129">
          <cell r="A129" t="str">
            <v>Р. Македонија - државна обврзница DO2016/23-1031dk</v>
          </cell>
        </row>
        <row r="130">
          <cell r="A130" t="str">
            <v>Р. Македонија - државна обврзница DO2021/15-1036</v>
          </cell>
        </row>
        <row r="131">
          <cell r="A131" t="str">
            <v>Р.Македонија - државна обврзница DO2023/21-1226</v>
          </cell>
        </row>
        <row r="132">
          <cell r="A132" t="str">
            <v>Р.Македонија - државна обврзница DO2023/22-1238</v>
          </cell>
        </row>
        <row r="133">
          <cell r="A133" t="str">
            <v>Р. Македонија - државна обврзница DO2018/08-0233dk</v>
          </cell>
        </row>
        <row r="134">
          <cell r="A134" t="str">
            <v>Р. Македонија - државна обврзница DO2021/07-0436</v>
          </cell>
        </row>
        <row r="135">
          <cell r="A135" t="str">
            <v>Р. Македонија - државна обврзница DO2021/08-0436dk</v>
          </cell>
        </row>
        <row r="136">
          <cell r="A136" t="str">
            <v>Р.Македонија - државна обврзница DO2023/08-0638</v>
          </cell>
        </row>
        <row r="137">
          <cell r="A137" t="str">
            <v>Р.Македонија - државна обврзница DO2023/09-0638dk</v>
          </cell>
        </row>
        <row r="138">
          <cell r="A138" t="str">
            <v>Р. Македонија - државна обврзница DO2020/08-1030</v>
          </cell>
        </row>
        <row r="139">
          <cell r="A139" t="str">
            <v>Р. Македонија - државна обврзница DO2020/09-1030dk</v>
          </cell>
        </row>
        <row r="140">
          <cell r="A140" t="str">
            <v>Р.Македонија - државна обврзница DO2023/03-225</v>
          </cell>
        </row>
        <row r="141">
          <cell r="A141" t="str">
            <v>Р. Македонија - државна обврзница DO2017/06-0232dk</v>
          </cell>
        </row>
        <row r="142">
          <cell r="A142" t="str">
            <v>Р. Македонија - државна обврзница DO2015/15-0430dk</v>
          </cell>
        </row>
        <row r="143">
          <cell r="A143" t="str">
            <v>Р. Македонија - државна обврзница DO2019/09-0534</v>
          </cell>
        </row>
        <row r="144">
          <cell r="A144" t="str">
            <v>Р.Македонија - државна обврзница DO2022/06-0637</v>
          </cell>
        </row>
        <row r="145">
          <cell r="A145" t="str">
            <v>Р.Македонија - државна обврзница DO2022/07-0637dk</v>
          </cell>
        </row>
        <row r="146">
          <cell r="A146" t="str">
            <v>Р. Македонија - државна обврзница DO2021/14-0936</v>
          </cell>
        </row>
        <row r="147">
          <cell r="A147" t="str">
            <v>Р. Македонија - државна обврзница DO2014/27-1024</v>
          </cell>
        </row>
        <row r="148">
          <cell r="A148" t="str">
            <v>Р. Македонија - државна обврзница DO2014/28-1024dk</v>
          </cell>
        </row>
        <row r="149">
          <cell r="A149" t="str">
            <v>Р.Македонија - државна обврзница DO2023/20-1138</v>
          </cell>
        </row>
        <row r="150">
          <cell r="A150" t="str">
            <v>Р. Македонија - државна обврзница DO2021/17-1224</v>
          </cell>
        </row>
        <row r="151">
          <cell r="A151" t="str">
            <v>Р. Македонија - државна обврзница DO2016/08-0331dk</v>
          </cell>
        </row>
        <row r="152">
          <cell r="A152" t="str">
            <v>Р. Македонија - државна обврзница DO2021/10-0636</v>
          </cell>
        </row>
        <row r="153">
          <cell r="A153" t="str">
            <v>Р. Македонија - државна обврзница DO2021/11-0636dk</v>
          </cell>
        </row>
        <row r="154">
          <cell r="A154" t="str">
            <v>Р. Македонија - државна обврзница DO2017/24-0832dk</v>
          </cell>
        </row>
        <row r="155">
          <cell r="A155" t="str">
            <v>Р. Македонија - државна обврзница DO2015/37-0930dk</v>
          </cell>
        </row>
        <row r="156">
          <cell r="A156" t="str">
            <v>Р. Македонија - државна обврзница DO2019/13-1024</v>
          </cell>
        </row>
        <row r="157">
          <cell r="A157" t="str">
            <v>Р.Македонија државна обврзница DO2022/15-1137</v>
          </cell>
        </row>
        <row r="158">
          <cell r="A158" t="str">
            <v>Р. Македонија - државна обврзница DO2015/45-1225dk</v>
          </cell>
        </row>
        <row r="159">
          <cell r="A159" t="str">
            <v>Р. Македонија - државна обврзница DO2019/06-0449dk</v>
          </cell>
        </row>
        <row r="160">
          <cell r="A160" t="str">
            <v>Р. Македонија - државна обврзница DO2020/06-0635</v>
          </cell>
        </row>
        <row r="161">
          <cell r="A161" t="str">
            <v>Р. Македонија - државна обврзница DO2019/10-0749dk</v>
          </cell>
        </row>
        <row r="162">
          <cell r="A162" t="str">
            <v>Р. Македонија - државна обврзница DO2016/17-0826</v>
          </cell>
        </row>
        <row r="163">
          <cell r="A163" t="str">
            <v>Р. Македонија - државна обврзница DO2016/18-0826dk</v>
          </cell>
        </row>
        <row r="164">
          <cell r="A164" t="str">
            <v>Р. Македонија - државна обврзница DO2016/19-0831dk</v>
          </cell>
        </row>
        <row r="165">
          <cell r="A165" t="str">
            <v>Р. Македонија - државна обврзница DО2022/11-0837dk</v>
          </cell>
        </row>
        <row r="166">
          <cell r="A166" t="str">
            <v>Р. Македонија - државна обврзница DO2018/23-1048dk</v>
          </cell>
        </row>
        <row r="167">
          <cell r="A167" t="str">
            <v>Р. Македонија - државна обврзница DO2021/16-1136dk</v>
          </cell>
        </row>
        <row r="168">
          <cell r="A168" t="str">
            <v>Р. Македонија - државна обврзница DO2018/15-0748dk</v>
          </cell>
        </row>
        <row r="169">
          <cell r="A169" t="str">
            <v>Р. Македонија - државна обврзница DO2019/12-0934</v>
          </cell>
        </row>
        <row r="170">
          <cell r="A170" t="str">
            <v>Р. Македонија - државна обврзница DO2017/32-1032dk</v>
          </cell>
        </row>
        <row r="171">
          <cell r="A171" t="str">
            <v>Р. Македонија - државна обврзница DO2015/42-1125dk</v>
          </cell>
        </row>
        <row r="172">
          <cell r="A172" t="str">
            <v>Р. Македонија - државна обврзница DO2015/43-1130dk</v>
          </cell>
        </row>
        <row r="173">
          <cell r="A173" t="str">
            <v>Р. Македонија - државна обврзница DO2017/20-0732dk</v>
          </cell>
        </row>
        <row r="174">
          <cell r="A174" t="str">
            <v>Р. Македонија - државна обврзница DO2023/13-0738</v>
          </cell>
        </row>
        <row r="175">
          <cell r="A175" t="str">
            <v>Р. Македонија - државна обврзница DO2015/32-0825</v>
          </cell>
        </row>
        <row r="176">
          <cell r="A176" t="str">
            <v>Р. Македонија - државна обврзница DO2015/33-0830dk</v>
          </cell>
        </row>
        <row r="177">
          <cell r="A177" t="str">
            <v>Р. Македонија - државна обврзница DO2018/19-0933</v>
          </cell>
        </row>
        <row r="178">
          <cell r="A178" t="str">
            <v>Р. Македонија - државна обврзница DO2018/20-0933dk</v>
          </cell>
        </row>
        <row r="179">
          <cell r="A179" t="str">
            <v>Р. Македонија - државна обврзница DO2015/18-0525dk</v>
          </cell>
        </row>
        <row r="180">
          <cell r="A180" t="str">
            <v>Р. Македонија - државна обврзница DO2018/13-0633dk</v>
          </cell>
        </row>
        <row r="181">
          <cell r="A181" t="str">
            <v>Р. Македонија - државна обврзница DO2017/27-0932dk</v>
          </cell>
        </row>
        <row r="182">
          <cell r="A182" t="str">
            <v>Р.Македонија - државна обврзница DO2023/17-0938</v>
          </cell>
        </row>
        <row r="183">
          <cell r="A183" t="str">
            <v>Р. Македонија - државна обврзница DO2016/03-0131dk</v>
          </cell>
        </row>
        <row r="184">
          <cell r="A184" t="str">
            <v>Р. Македонија - државна обврзница DO2017/17-0632dk</v>
          </cell>
        </row>
        <row r="185">
          <cell r="A185" t="str">
            <v>Р. Македонија - државна обврзница DO2016/21-0931dk</v>
          </cell>
        </row>
        <row r="186">
          <cell r="A186" t="str">
            <v>Р. Македонија - државна обврзница DO2018/27-1133dk</v>
          </cell>
        </row>
        <row r="187">
          <cell r="A187" t="str">
            <v>Р. Македонија - државна обврзница DO2016/29-1231dk</v>
          </cell>
        </row>
        <row r="188">
          <cell r="A188" t="str">
            <v>Р. Македонија - државна обврзница DO2017/10-0332dk</v>
          </cell>
        </row>
        <row r="189">
          <cell r="A189" t="str">
            <v>Р. Македонија - државна обврзница DO2016/14-0631dk</v>
          </cell>
        </row>
        <row r="190">
          <cell r="A190" t="str">
            <v>Р. Македонија - државна обврзница DO2015/27-0725dk</v>
          </cell>
        </row>
        <row r="191">
          <cell r="A191" t="str">
            <v>Р. Македонија - државна обврзница DO2015/28-0730dk</v>
          </cell>
        </row>
        <row r="192">
          <cell r="A192" t="str">
            <v>Р. Македонија - државна обврзница DO2017/36-1132dk</v>
          </cell>
        </row>
        <row r="193">
          <cell r="A193" t="str">
            <v>Р. Македонија - државна обврзница DO2016/09-0326</v>
          </cell>
        </row>
        <row r="194">
          <cell r="A194" t="str">
            <v>Р. Македонија - државна обврзница DO2015/38-0925dk</v>
          </cell>
        </row>
        <row r="195">
          <cell r="A195" t="str">
            <v>Р. Македонија - државна обврзница DO2015/39-0930dk</v>
          </cell>
        </row>
        <row r="196">
          <cell r="A196" t="str">
            <v>Р. Македонија - државна обврзница DO2015/46-1225dk</v>
          </cell>
        </row>
        <row r="197">
          <cell r="A197" t="str">
            <v>Р. Македонија - државна обврзница DO2018/04-0133</v>
          </cell>
        </row>
        <row r="198">
          <cell r="A198" t="str">
            <v>Р. Македонија - државна обврзница DO2018/05-0133dk</v>
          </cell>
        </row>
        <row r="199">
          <cell r="A199" t="str">
            <v>Р. Македонија - државна обврзница DO2015/20-0625</v>
          </cell>
        </row>
        <row r="200">
          <cell r="A200" t="str">
            <v>Р. Македонија - државна обврзница DO2015/21-0625dk</v>
          </cell>
        </row>
        <row r="201">
          <cell r="A201" t="str">
            <v>Р. Македонија - државна обврзница DO2015/22-0630dk</v>
          </cell>
        </row>
        <row r="202">
          <cell r="A202" t="str">
            <v>Р. Македонија - државна обврзница DO2017/05-0132dk</v>
          </cell>
        </row>
        <row r="203">
          <cell r="A203" t="str">
            <v>Р. Македонија - државна обврзница DO2015/08-0230dk</v>
          </cell>
        </row>
        <row r="204">
          <cell r="A204" t="str">
            <v>Р. Македонија - државна обврзница DO2015/12-0325</v>
          </cell>
        </row>
        <row r="205">
          <cell r="A205" t="str">
            <v>Р. Македонија - државна обврзница DO2015/13-0330dk</v>
          </cell>
        </row>
        <row r="206">
          <cell r="A206" t="str">
            <v>Р. Македонија - државна обврзница DO2018/11-0448dk</v>
          </cell>
        </row>
        <row r="207">
          <cell r="A207" t="str">
            <v>Р.Македонија - државна обврзница DO2023/07-0538dk</v>
          </cell>
        </row>
        <row r="208">
          <cell r="A208" t="str">
            <v>Р. Македонија - државна обврзница DO2022/02-0125</v>
          </cell>
        </row>
        <row r="209">
          <cell r="A209" t="str">
            <v>Р. Македонија - државна обврзница DO2015/34-0825</v>
          </cell>
        </row>
        <row r="210">
          <cell r="A210" t="str">
            <v>Р. Македонија - државна обврзница DO2015/35-0825dk</v>
          </cell>
        </row>
        <row r="211">
          <cell r="A211" t="str">
            <v>Р. Македонија - државна обврзница DO2015/36-0830dk</v>
          </cell>
        </row>
        <row r="212">
          <cell r="A212" t="str">
            <v>Р. Македонија - државна обврзница DO2016/04-0131dk</v>
          </cell>
        </row>
        <row r="213">
          <cell r="A213" t="str">
            <v>Р. Македонија - државна обврзница DO2019/04-0234</v>
          </cell>
        </row>
        <row r="214">
          <cell r="A214" t="str">
            <v>Р. Македонија - државна обврзница DO2016/16-0731dk</v>
          </cell>
        </row>
        <row r="215">
          <cell r="A215" t="str">
            <v>Р.Македонија - државна обврзница DO2023/23-1238dk</v>
          </cell>
        </row>
        <row r="216">
          <cell r="A216" t="str">
            <v>Р. Македонија - државна обврзница DO2015/03-0125</v>
          </cell>
        </row>
        <row r="217">
          <cell r="A217" t="str">
            <v>Р. Македонија - државна обврзница DO2015/04-0125dk</v>
          </cell>
        </row>
        <row r="218">
          <cell r="A218" t="str">
            <v>Р. Македонија - државна обврзница DO2017/18-0632dk</v>
          </cell>
        </row>
        <row r="219">
          <cell r="A219" t="str">
            <v>Р. Македонија - државна обврзница DO2023/10-0638dk</v>
          </cell>
        </row>
        <row r="220">
          <cell r="A220" t="str">
            <v>Р. Македонија - државна обврзница DO2016/22-0931dk</v>
          </cell>
        </row>
        <row r="221">
          <cell r="A221" t="str">
            <v>Р. Македонија - државна обврзница DO2015/41-1030dk</v>
          </cell>
        </row>
        <row r="222">
          <cell r="A222" t="str">
            <v>Р. Македонија - државна обврзница DO2020/10-1035</v>
          </cell>
        </row>
        <row r="223">
          <cell r="A223" t="str">
            <v>Р. Македонија - државна обврзница DO2022/17-1237</v>
          </cell>
        </row>
        <row r="224">
          <cell r="A224" t="str">
            <v>Р. Македонија - државна обврзница DO2022/18-1237dk</v>
          </cell>
        </row>
        <row r="225">
          <cell r="A225" t="str">
            <v>Р. Македонија - државна обврзница DO2020/01-0150dk</v>
          </cell>
        </row>
        <row r="226">
          <cell r="A226" t="str">
            <v>Р. Македонија - државна обврзница DO2017/11-0332dk</v>
          </cell>
        </row>
        <row r="227">
          <cell r="A227" t="str">
            <v>Р. Македонија - државна обврзница DO2023/05-0338</v>
          </cell>
        </row>
        <row r="228">
          <cell r="A228" t="str">
            <v>Р. Македонија - државна обврзница DO2023/06-0338dk</v>
          </cell>
        </row>
        <row r="229">
          <cell r="A229" t="str">
            <v>Р. Македонија - државна обврзница DO2020/04-0450dk</v>
          </cell>
        </row>
        <row r="230">
          <cell r="A230" t="str">
            <v>Р. Македонија - државна обврзница DO2022/08-0637</v>
          </cell>
        </row>
        <row r="231">
          <cell r="A231" t="str">
            <v>Р. Македонија - државна обврзница DO2015/29-0730dk</v>
          </cell>
        </row>
        <row r="232">
          <cell r="A232" t="str">
            <v>Р. Македонија - државна обврзница DO2014/30-1024dk</v>
          </cell>
        </row>
        <row r="233">
          <cell r="A233" t="str">
            <v>Р. Македонија - државна обврзница DO2017/37-1132dk</v>
          </cell>
        </row>
        <row r="234">
          <cell r="A234" t="str">
            <v>Р. Македонија - државна обврзница DO2019/02-0149dk</v>
          </cell>
        </row>
        <row r="235">
          <cell r="A235" t="str">
            <v>Р. Македонија - државна обврзница DO2016/10-0331dk</v>
          </cell>
        </row>
        <row r="236">
          <cell r="A236" t="str">
            <v>Р. Македонија - државна обврзница DO2019/14-1049dk</v>
          </cell>
        </row>
        <row r="237">
          <cell r="A237" t="str">
            <v>Р. Македонија - денационализација 14</v>
          </cell>
        </row>
        <row r="238">
          <cell r="A238" t="str">
            <v>Р. Македонија - денационализација 15</v>
          </cell>
        </row>
        <row r="239">
          <cell r="A239" t="str">
            <v>Р. Македонија - денационализација 16</v>
          </cell>
        </row>
        <row r="240">
          <cell r="A240" t="str">
            <v>Р. Македонија - денационализација 17</v>
          </cell>
        </row>
        <row r="241">
          <cell r="A241" t="str">
            <v>Р. Македонија - денационализација 18</v>
          </cell>
        </row>
        <row r="242">
          <cell r="A242" t="str">
            <v>Р. Македонија - денационализација 19</v>
          </cell>
        </row>
        <row r="243">
          <cell r="A243" t="str">
            <v>Р. Македонија - денационализација 20</v>
          </cell>
        </row>
        <row r="244">
          <cell r="A244" t="str">
            <v>Р. Македонија - денационализација 21</v>
          </cell>
        </row>
        <row r="245">
          <cell r="A245" t="str">
            <v>Р. Македонија - денационализација 22</v>
          </cell>
        </row>
        <row r="246">
          <cell r="A246" t="str">
            <v>Р.Македонија - структурни обврзници општина Виница</v>
          </cell>
        </row>
        <row r="247">
          <cell r="A247" t="str">
            <v>Р.Македонија - структурни обврзници општина Желино</v>
          </cell>
        </row>
        <row r="248">
          <cell r="A248" t="str">
            <v>Р.Македонија - структурни обврзници општина Тетово</v>
          </cell>
        </row>
        <row r="249">
          <cell r="A249" t="str">
            <v>СН Осигурителен Брокер АД Битола - корпоративна обврзница I емисија</v>
          </cell>
        </row>
        <row r="250">
          <cell r="A250" t="str">
            <v>ТТК банка АД Скопје - корпоративна обврзница I емисија</v>
          </cell>
        </row>
        <row r="251">
          <cell r="A251" t="str">
            <v>ТТК банка АД Скопје - корпоративна обврзница II емисија</v>
          </cell>
        </row>
        <row r="252">
          <cell r="A252" t="str">
            <v>Р.Македонија - државна обврзница DO2023/18-1025</v>
          </cell>
        </row>
        <row r="253">
          <cell r="A253" t="str">
            <v>Берзанска котација - други хартии од вредност</v>
          </cell>
        </row>
        <row r="254">
          <cell r="A254" t="str">
            <v>Универзална Инвестициона Банка Скопје - перпетуални обврзници - втора емисија</v>
          </cell>
        </row>
        <row r="255">
          <cell r="A255" t="str">
            <v>Универзална Инвестициона Банка Скопје - перпетуални обврзници - трета емисија</v>
          </cell>
        </row>
        <row r="256">
          <cell r="A256" t="str">
            <v>Задолжителна котација - обични акции</v>
          </cell>
        </row>
        <row r="257">
          <cell r="A257" t="str">
            <v>Адинг Скопје</v>
          </cell>
        </row>
        <row r="258">
          <cell r="A258" t="str">
            <v>Агромеханика Скопје</v>
          </cell>
        </row>
        <row r="259">
          <cell r="A259" t="str">
            <v>Ангропромет-Тиквешанка Кавадарци</v>
          </cell>
        </row>
        <row r="260">
          <cell r="A260" t="str">
            <v>Аутомакедонија Скопје</v>
          </cell>
        </row>
        <row r="261">
          <cell r="A261" t="str">
            <v>Рудници Бањани Скопје</v>
          </cell>
        </row>
        <row r="262">
          <cell r="A262" t="str">
            <v>Кристал 1923 АД Велес</v>
          </cell>
        </row>
        <row r="263">
          <cell r="A263" t="str">
            <v>БИМ Свети Николе</v>
          </cell>
        </row>
        <row r="264">
          <cell r="A264" t="str">
            <v>ФЗЦ 11 Октомври Куманово</v>
          </cell>
        </row>
        <row r="265">
          <cell r="A265" t="str">
            <v>Централна кооперативна банка Скопје</v>
          </cell>
        </row>
        <row r="266">
          <cell r="A266" t="str">
            <v>Дебарски бањи Дебар</v>
          </cell>
        </row>
        <row r="267">
          <cell r="A267" t="str">
            <v>Димко Митрев Велес</v>
          </cell>
        </row>
        <row r="268">
          <cell r="A268" t="str">
            <v>Европа Скопје</v>
          </cell>
        </row>
        <row r="269">
          <cell r="A269" t="str">
            <v>Факом Скопје</v>
          </cell>
        </row>
        <row r="270">
          <cell r="A270" t="str">
            <v>Фустеларко Борец Битола</v>
          </cell>
        </row>
        <row r="271">
          <cell r="A271" t="str">
            <v>Герас Цунев конфекција Струмица</v>
          </cell>
        </row>
        <row r="272">
          <cell r="A272" t="str">
            <v>Герас Цунев трговија Струмица</v>
          </cell>
        </row>
        <row r="273">
          <cell r="A273" t="str">
            <v>Грозд Струмица</v>
          </cell>
        </row>
        <row r="274">
          <cell r="A274" t="str">
            <v>Градски Трговски Центар Скопје</v>
          </cell>
        </row>
        <row r="275">
          <cell r="A275" t="str">
            <v>Интерпромет Тетово</v>
          </cell>
        </row>
        <row r="276">
          <cell r="A276" t="str">
            <v>Македонија осигурување АД Скопје - Виена Иншуренс Груп</v>
          </cell>
        </row>
        <row r="277">
          <cell r="A277" t="str">
            <v>Кланица со ладилник Струмица</v>
          </cell>
        </row>
        <row r="278">
          <cell r="A278" t="str">
            <v>Фруктал МАК Скопје</v>
          </cell>
        </row>
        <row r="279">
          <cell r="A279" t="str">
            <v>Карпош Скопје</v>
          </cell>
        </row>
        <row r="280">
          <cell r="A280" t="str">
            <v>Лотарија на Македонија Скопје</v>
          </cell>
        </row>
        <row r="281">
          <cell r="A281" t="str">
            <v>Пелистерка АД Скопје</v>
          </cell>
        </row>
        <row r="282">
          <cell r="A282" t="str">
            <v>Макпромет Штип</v>
          </cell>
        </row>
        <row r="283">
          <cell r="A283" t="str">
            <v>Мермерен комбинат Прилеп</v>
          </cell>
        </row>
        <row r="284">
          <cell r="A284" t="str">
            <v>Мода Свети Николе</v>
          </cell>
        </row>
        <row r="285">
          <cell r="A285" t="str">
            <v>Вабтек МЗТ Скопје</v>
          </cell>
        </row>
        <row r="286">
          <cell r="A286" t="str">
            <v>МЗТ Пумпи Скопје</v>
          </cell>
        </row>
        <row r="287">
          <cell r="A287" t="str">
            <v>Огражден Струмица</v>
          </cell>
        </row>
        <row r="288">
          <cell r="A288" t="str">
            <v>Нова стоковна куќа Струмица</v>
          </cell>
        </row>
        <row r="289">
          <cell r="A289" t="str">
            <v>Оилко КДА Скопје</v>
          </cell>
        </row>
        <row r="290">
          <cell r="A290" t="str">
            <v>ОКТА Скопје</v>
          </cell>
        </row>
        <row r="291">
          <cell r="A291" t="str">
            <v>Оранжерии Хамзали Струмица</v>
          </cell>
        </row>
        <row r="292">
          <cell r="A292" t="str">
            <v>Пекабеско Скопје</v>
          </cell>
        </row>
        <row r="293">
          <cell r="A293" t="str">
            <v>Попова Кула Демир Капија</v>
          </cell>
        </row>
        <row r="294">
          <cell r="A294" t="str">
            <v>Прилепска Пиварница Прилеп</v>
          </cell>
        </row>
        <row r="295">
          <cell r="A295" t="str">
            <v>Раде Кончар Скопје</v>
          </cell>
        </row>
        <row r="296">
          <cell r="A296" t="str">
            <v>РЖ Економика Скопје</v>
          </cell>
        </row>
        <row r="297">
          <cell r="A297" t="str">
            <v>Либерти АД Скопје</v>
          </cell>
        </row>
        <row r="298">
          <cell r="A298" t="str">
            <v>РЖ Техничка контрола Скопје</v>
          </cell>
        </row>
        <row r="299">
          <cell r="A299" t="str">
            <v>РЖ Уготур Скопје</v>
          </cell>
        </row>
        <row r="300">
          <cell r="A300" t="str">
            <v>Современ дом Прилеп</v>
          </cell>
        </row>
        <row r="301">
          <cell r="A301" t="str">
            <v>Силекс Кратово</v>
          </cell>
        </row>
        <row r="302">
          <cell r="A302" t="str">
            <v>Славеј Скопје</v>
          </cell>
        </row>
        <row r="303">
          <cell r="A303" t="str">
            <v>Струмичко поле с.Василево</v>
          </cell>
        </row>
        <row r="304">
          <cell r="A304" t="str">
            <v>Сигурносно стакло Прилеп</v>
          </cell>
        </row>
        <row r="305">
          <cell r="A305" t="str">
            <v>Стопанска банка Скопје</v>
          </cell>
        </row>
        <row r="306">
          <cell r="A306" t="str">
            <v>Стокопромет Скопје</v>
          </cell>
        </row>
        <row r="307">
          <cell r="A307" t="str">
            <v>ТЕАЛ-Алумина Тетово</v>
          </cell>
        </row>
        <row r="308">
          <cell r="A308" t="str">
            <v>Технокомерц Скопје</v>
          </cell>
        </row>
        <row r="309">
          <cell r="A309" t="str">
            <v>Македонски Телеком Скопје</v>
          </cell>
        </row>
        <row r="310">
          <cell r="A310" t="str">
            <v>ГД-Тиквеш Кавадарци</v>
          </cell>
        </row>
        <row r="311">
          <cell r="A311" t="str">
            <v>НЛБ Банка АД Скопје</v>
          </cell>
        </row>
        <row r="312">
          <cell r="A312" t="str">
            <v>Транскоп-Патнички сооб. Битола</v>
          </cell>
        </row>
        <row r="313">
          <cell r="A313" t="str">
            <v>Трготекстил малопродажба Скопје</v>
          </cell>
        </row>
        <row r="314">
          <cell r="A314" t="str">
            <v>Универзална Инвестициона Банка Скопје</v>
          </cell>
        </row>
        <row r="315">
          <cell r="A315" t="str">
            <v>Цементарница УСЈЕ Скопје</v>
          </cell>
        </row>
        <row r="316">
          <cell r="A316" t="str">
            <v>Триглав осигурување Скопје</v>
          </cell>
        </row>
        <row r="317">
          <cell r="A317" t="str">
            <v>Ветекс Велес</v>
          </cell>
        </row>
        <row r="318">
          <cell r="A318" t="str">
            <v>ЖАС Скопје</v>
          </cell>
        </row>
        <row r="319">
          <cell r="A319" t="str">
            <v>Жито Караорман Кичево</v>
          </cell>
        </row>
        <row r="320">
          <cell r="A320" t="str">
            <v>Жито Полог Тетово</v>
          </cell>
        </row>
        <row r="321">
          <cell r="A321" t="str">
            <v>Задолжителна котација - приоритетни акции</v>
          </cell>
        </row>
        <row r="322">
          <cell r="A322" t="str">
            <v>Стопанска банка Скопје</v>
          </cell>
        </row>
        <row r="323">
          <cell r="A323" t="str">
            <v>Редовен пазар</v>
          </cell>
        </row>
        <row r="324">
          <cell r="A324" t="str">
            <v>Пазар на акционерски друштва со посебни обврски за известување - обични акции</v>
          </cell>
        </row>
        <row r="325">
          <cell r="A325" t="str">
            <v>Шпаркасе банка Македонија АД Скопје</v>
          </cell>
        </row>
        <row r="326">
          <cell r="A326" t="str">
            <v>Слободен пазар - обични акции</v>
          </cell>
        </row>
        <row r="327">
          <cell r="A327" t="str">
            <v>ЗИК Градиште Куманово</v>
          </cell>
        </row>
        <row r="328">
          <cell r="A328" t="str">
            <v>Квасара Битола</v>
          </cell>
        </row>
        <row r="329">
          <cell r="A329" t="str">
            <v>АрцелорМиттал (ХРМ) АД Скопје - долгорочно суспендирано од котација</v>
          </cell>
        </row>
        <row r="330">
          <cell r="A330" t="str">
            <v>БЛОКОВИ</v>
          </cell>
        </row>
        <row r="331">
          <cell r="A331" t="str">
            <v>Официјален пазар</v>
          </cell>
        </row>
        <row r="332">
          <cell r="A332" t="str">
            <v>Берзанска котација - обични акции</v>
          </cell>
        </row>
        <row r="333">
          <cell r="A333" t="str">
            <v>ЗК Пелагонија Битола</v>
          </cell>
        </row>
        <row r="334">
          <cell r="A334" t="str">
            <v>Задолжителна котација - обични акции</v>
          </cell>
        </row>
        <row r="335">
          <cell r="A335" t="str">
            <v>Жито Полог Тетово</v>
          </cell>
        </row>
        <row r="336">
          <cell r="A336" t="str">
            <v>Вкупен промет на сите пазарни сегменти: 167.919.746,00</v>
          </cell>
        </row>
        <row r="337">
          <cell r="A337" t="str">
            <v>МБИ10</v>
          </cell>
        </row>
        <row r="338">
          <cell r="A338" t="str">
            <v>ОМБ</v>
          </cell>
        </row>
        <row r="339">
          <cell r="A339" t="str">
            <v>1 EUR = 61,4950 МКД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  <cell r="B6">
            <v>23459.94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  <cell r="B8">
            <v>22010.9</v>
          </cell>
        </row>
        <row r="9">
          <cell r="A9" t="str">
            <v>Фершпед Скопје</v>
          </cell>
        </row>
        <row r="10">
          <cell r="A10" t="str">
            <v>Гранит Скопје</v>
          </cell>
          <cell r="B10">
            <v>1440.36</v>
          </cell>
        </row>
        <row r="11">
          <cell r="A11" t="str">
            <v>Интернешнел Хотелс АД Скопје</v>
          </cell>
          <cell r="B11">
            <v>4005</v>
          </cell>
        </row>
        <row r="12">
          <cell r="A12" t="str">
            <v>ДС Смитх АД Скопје</v>
          </cell>
        </row>
        <row r="13">
          <cell r="A13" t="str">
            <v>Макотекс Скопје</v>
          </cell>
          <cell r="B13">
            <v>20</v>
          </cell>
        </row>
        <row r="14">
          <cell r="A14" t="str">
            <v>Макошпед Скопје</v>
          </cell>
          <cell r="B14">
            <v>231</v>
          </cell>
        </row>
        <row r="15">
          <cell r="A15" t="str">
            <v>Хотели Метропол Охрид</v>
          </cell>
          <cell r="B15">
            <v>315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  <cell r="B30">
            <v>3616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Р.Македонија - државна обврзница DO2023/19-1125</v>
          </cell>
        </row>
        <row r="37">
          <cell r="A37" t="str">
            <v>Р. Македонија - државна обврзница DO2023/12-0725</v>
          </cell>
        </row>
        <row r="38">
          <cell r="A38" t="str">
            <v>Р. Македонија - државна обврзница DO2021/05-0428</v>
          </cell>
        </row>
        <row r="39">
          <cell r="A39" t="str">
            <v>Р. Македонија - државна обврзница DO2021/06-0428dk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Р.Македонија државна обврзница DO2022/16-1237</v>
          </cell>
        </row>
        <row r="44">
          <cell r="A44" t="str">
            <v>Р.Македонија - државна обврзница DO2024/01-0126</v>
          </cell>
        </row>
        <row r="45">
          <cell r="A45" t="str">
            <v>Р.Македонија - државна обврзница DO2024/02-0127</v>
          </cell>
        </row>
        <row r="46">
          <cell r="A46" t="str">
            <v>Р. Македонија - државна обврзница DO2014/23-1024</v>
          </cell>
        </row>
        <row r="47">
          <cell r="A47" t="str">
            <v>Р. Македонија - државна обврзница DO2017/35-1132dk</v>
          </cell>
        </row>
        <row r="48">
          <cell r="A48" t="str">
            <v>Р. Македонија - државна обврзница DO2022/03-0337</v>
          </cell>
        </row>
        <row r="49">
          <cell r="A49" t="str">
            <v>Р. Македонија - државна обврзница DO2023/04-0338</v>
          </cell>
        </row>
        <row r="50">
          <cell r="A50" t="str">
            <v>Р. Македонија - државна обврзница DO2016/26-1131dk</v>
          </cell>
        </row>
        <row r="51">
          <cell r="A51" t="str">
            <v>Р. Македонија - државна обврзница DO2015/44-1230dk</v>
          </cell>
        </row>
        <row r="52">
          <cell r="A52" t="str">
            <v>Р. Македонија - државна обврзница DO2020/15-1235dk</v>
          </cell>
        </row>
        <row r="53">
          <cell r="A53" t="str">
            <v>Р. Македонија - државна обврзница DO2021/04-0336</v>
          </cell>
        </row>
        <row r="54">
          <cell r="A54" t="str">
            <v>Р. Македонија - државна обврзница DO2017/14-0532dk</v>
          </cell>
        </row>
        <row r="55">
          <cell r="A55" t="str">
            <v>Р. Македонија - државна обврзница DO2015/19-0630dk</v>
          </cell>
        </row>
        <row r="56">
          <cell r="A56" t="str">
            <v>Р.Македонија - државна обврзница DO2022/09-0837</v>
          </cell>
        </row>
        <row r="57">
          <cell r="A57" t="str">
            <v>Р.Македонија - државна обврзница DO2022/10-0837dk</v>
          </cell>
        </row>
        <row r="58">
          <cell r="A58" t="str">
            <v>Р. Македонија - државна обврзница DO2023/14-0838</v>
          </cell>
        </row>
        <row r="59">
          <cell r="A59" t="str">
            <v>Р. Македонија - државна обврзница DO2014/19-0924dk</v>
          </cell>
        </row>
        <row r="60">
          <cell r="A60" t="str">
            <v>Р. Македонија - државна обврзница DO2014/38-1224</v>
          </cell>
        </row>
        <row r="61">
          <cell r="A61" t="str">
            <v>Р. Македонија - државна обврзница DO2020/03-0325</v>
          </cell>
        </row>
        <row r="62">
          <cell r="A62" t="str">
            <v>Р. Македонија - државна обврзница ДО2021/13-0836</v>
          </cell>
        </row>
        <row r="63">
          <cell r="A63" t="str">
            <v>Р. Македонија - државна обврзница DO2017/30-1032dk</v>
          </cell>
        </row>
        <row r="64">
          <cell r="A64" t="str">
            <v>Р. Македонија - државна обврзница DO2020/12-1125</v>
          </cell>
        </row>
        <row r="65">
          <cell r="A65" t="str">
            <v>Р. Македонија - државна обврзница DO2019/16-1234dk</v>
          </cell>
        </row>
        <row r="66">
          <cell r="A66" t="str">
            <v>Р. Македонија - државна обврзница DO2017/12-0432dk</v>
          </cell>
        </row>
        <row r="67">
          <cell r="A67" t="str">
            <v>Р.Македонија - државна обврзница DO2024/12-0629</v>
          </cell>
        </row>
        <row r="68">
          <cell r="A68" t="str">
            <v>Р.Македонија - државна обврзница DO2024/13-0639</v>
          </cell>
        </row>
        <row r="69">
          <cell r="A69" t="str">
            <v>Р. Македонија - државна обврзница DO2017/19-0732dk</v>
          </cell>
        </row>
        <row r="70">
          <cell r="A70" t="str">
            <v>Р. Македонија - државна обврзница DO2015/30-0825dk</v>
          </cell>
        </row>
        <row r="71">
          <cell r="A71" t="str">
            <v>Р. Македонија - државна обврзница DO2015/31-0830dk</v>
          </cell>
        </row>
        <row r="72">
          <cell r="A72" t="str">
            <v>Р. Македонија - државна обврзница DO2020/07-0850dk</v>
          </cell>
        </row>
        <row r="73">
          <cell r="A73" t="str">
            <v>Р.Македонија - државна обврзница DO2024/06-0329</v>
          </cell>
        </row>
        <row r="74">
          <cell r="A74" t="str">
            <v>Р.Македонија - државна обврзница DO2024/07-0339</v>
          </cell>
        </row>
        <row r="75">
          <cell r="A75" t="str">
            <v>Р. Македонија - државна обврзница DO2016/11-0426dk</v>
          </cell>
        </row>
        <row r="76">
          <cell r="A76" t="str">
            <v>Р. Македонија - државна обврзница DO2015/17-0530dk</v>
          </cell>
        </row>
        <row r="77">
          <cell r="A77" t="str">
            <v>Р. Македонија - државна обврзница DO2018/12-0633</v>
          </cell>
        </row>
        <row r="78">
          <cell r="A78" t="str">
            <v>Р. Македонија - државна обврзница DO2017/26-0932dk</v>
          </cell>
        </row>
        <row r="79">
          <cell r="A79" t="str">
            <v>Р.Македонија - државна обврзница DO2023/15-0938</v>
          </cell>
        </row>
        <row r="80">
          <cell r="A80" t="str">
            <v>Р.Македонија - државна обврзница DO2023/16-0938dk</v>
          </cell>
        </row>
        <row r="81">
          <cell r="A81" t="str">
            <v>Р. Македонија - државна обврзница DO2019/15-1134</v>
          </cell>
        </row>
        <row r="82">
          <cell r="A82" t="str">
            <v>Р. Македонија - државна обврзница DO2017/38-1232dk</v>
          </cell>
        </row>
        <row r="83">
          <cell r="A83" t="str">
            <v>Р.Македонија - државна обврзница DO2024/04-0239</v>
          </cell>
        </row>
        <row r="84">
          <cell r="A84" t="str">
            <v>Р.Македонија - државна обврзница DO2024/05-0239</v>
          </cell>
        </row>
        <row r="85">
          <cell r="A85" t="str">
            <v>Р. Македонија - државна обврзница DO2018/10-0333dk</v>
          </cell>
        </row>
        <row r="86">
          <cell r="A86" t="str">
            <v>Р. Македонија - државна обврзница DO2017/16-0632dk</v>
          </cell>
        </row>
        <row r="87">
          <cell r="A87" t="str">
            <v>Р. Македонија - државна обврзница DO2016/15-0731dk</v>
          </cell>
        </row>
        <row r="88">
          <cell r="A88" t="str">
            <v>Р. Македонија - државна обврзница DO2019/11-0834dk</v>
          </cell>
        </row>
        <row r="89">
          <cell r="A89" t="str">
            <v>Р. Македонија - државна обврзница DO2015/40-1030dk</v>
          </cell>
        </row>
        <row r="90">
          <cell r="A90" t="str">
            <v>Р. Македонија - државна обврзница DO2023/02-0238</v>
          </cell>
        </row>
        <row r="91">
          <cell r="A91" t="str">
            <v>Р. Македонија - државна обврзница DO2017/08-0332dk</v>
          </cell>
        </row>
        <row r="92">
          <cell r="A92" t="str">
            <v>Р. Македонија - државна обврзница DO2016/13-0631dk</v>
          </cell>
        </row>
        <row r="93">
          <cell r="A93" t="str">
            <v>Р. Македонија - државна обврзница DO2015/23-0725</v>
          </cell>
        </row>
        <row r="94">
          <cell r="A94" t="str">
            <v>Р. Македонија - државна обврзница DO2015/24-0725dk</v>
          </cell>
        </row>
        <row r="95">
          <cell r="A95" t="str">
            <v>Р. Македонија - државна обврзница DO2015/25-0730dk</v>
          </cell>
        </row>
        <row r="96">
          <cell r="A96" t="str">
            <v>Р. Македонија - државна обврзница DO2018/17-0833dk</v>
          </cell>
        </row>
        <row r="97">
          <cell r="A97" t="str">
            <v>Р.Македонија државна обврзница DO2022/13-0937</v>
          </cell>
        </row>
        <row r="98">
          <cell r="A98" t="str">
            <v>Р.Македонија државна обврзница DO2022/12-0937dk</v>
          </cell>
        </row>
        <row r="99">
          <cell r="A99" t="str">
            <v>Р.Македонија - државна обврзница DO2024/10-0526</v>
          </cell>
        </row>
        <row r="100">
          <cell r="A100" t="str">
            <v>Р.Македонија - државна обврзница DO2024/11-0539</v>
          </cell>
        </row>
        <row r="101">
          <cell r="A101" t="str">
            <v>Р. Македонија - државна обврзница DO2017/22-0832dk</v>
          </cell>
        </row>
        <row r="102">
          <cell r="A102" t="str">
            <v>Р. Македонија - државна обврзница DO2018/02-0128</v>
          </cell>
        </row>
        <row r="103">
          <cell r="A103" t="str">
            <v>Р. Македонија - државна обврзница DO2018/03-0133dk</v>
          </cell>
        </row>
        <row r="104">
          <cell r="A104" t="str">
            <v>Р.Македонија - државна обврзница DO2024/03-0139</v>
          </cell>
        </row>
        <row r="105">
          <cell r="A105" t="str">
            <v>Р. Македонија - државна обврзница DO2016/05-0226</v>
          </cell>
        </row>
        <row r="106">
          <cell r="A106" t="str">
            <v>Р. Македонија - државна обврзница DO2016/06-0226dk</v>
          </cell>
        </row>
        <row r="107">
          <cell r="A107" t="str">
            <v>Р. Македонија - државна обврзница DO2016/07-0231dk</v>
          </cell>
        </row>
        <row r="108">
          <cell r="A108" t="str">
            <v>Р. Македонија - државна обврзница DO2023/06-0538</v>
          </cell>
        </row>
        <row r="109">
          <cell r="A109" t="str">
            <v>Р.Македонија - државна обврзница DO2024/14-0739</v>
          </cell>
        </row>
        <row r="110">
          <cell r="A110" t="str">
            <v>Р. Македонија - државна обврзница DO2017/02-0132dk</v>
          </cell>
        </row>
        <row r="111">
          <cell r="A111" t="str">
            <v>Р. Македонија - државна обврзница DO2023/01-0138</v>
          </cell>
        </row>
        <row r="112">
          <cell r="A112" t="str">
            <v>Р. Македонија - државна обврзница DO2015/05-0230dk</v>
          </cell>
        </row>
        <row r="113">
          <cell r="A113" t="str">
            <v>Р. Македонија - државна обврзница DO2015/09-0325</v>
          </cell>
        </row>
        <row r="114">
          <cell r="A114" t="str">
            <v>Р. Македонија - државна обврзница DO2015/10-0330dk</v>
          </cell>
        </row>
        <row r="115">
          <cell r="A115" t="str">
            <v>Р.Македонија - државна обврзница DO2024/08-0439</v>
          </cell>
        </row>
        <row r="116">
          <cell r="A116" t="str">
            <v>Р.Македонија - државна обврзница DO2024/09-0439dk</v>
          </cell>
        </row>
        <row r="117">
          <cell r="A117" t="str">
            <v>Р. Македонија - државна обврзница DO2022/05-0537</v>
          </cell>
        </row>
        <row r="118">
          <cell r="A118" t="str">
            <v>Р. Македонија - државна обврзница DO2022/01-0137</v>
          </cell>
        </row>
        <row r="119">
          <cell r="A119" t="str">
            <v>Р. Македонија - државна обврзница DO2020/02-0235</v>
          </cell>
        </row>
        <row r="120">
          <cell r="A120" t="str">
            <v>Р. Македонија - државна обврзница DO2023/11-0738</v>
          </cell>
        </row>
        <row r="121">
          <cell r="A121" t="str">
            <v>Р. Македонија - државна обврзница DO2022/14-1037</v>
          </cell>
        </row>
        <row r="122">
          <cell r="A122" t="str">
            <v>Р. Македонија - државна обврзница DO2016/01-0126dk</v>
          </cell>
        </row>
        <row r="123">
          <cell r="A123" t="str">
            <v>Р. Македонија - државна обврзница DO2016/02-0131dk</v>
          </cell>
        </row>
        <row r="124">
          <cell r="A124" t="str">
            <v>Р. Македонија - државна обврзница DO2021/01-0136</v>
          </cell>
        </row>
        <row r="125">
          <cell r="A125" t="str">
            <v>Р. Македонија - државна обврзница DO2016/12-0431dk</v>
          </cell>
        </row>
        <row r="126">
          <cell r="A126" t="str">
            <v>Р. Македонија - државна обврзница DO2022/04-0437dk</v>
          </cell>
        </row>
        <row r="127">
          <cell r="A127" t="str">
            <v>Р. Македонија - државна обврзница DO2021/09-0526</v>
          </cell>
        </row>
        <row r="128">
          <cell r="A128" t="str">
            <v>Р. Македонија - државна обврзница DO2016/23-1031dk</v>
          </cell>
        </row>
        <row r="129">
          <cell r="A129" t="str">
            <v>Р. Македонија - државна обврзница DO2021/15-1036</v>
          </cell>
        </row>
        <row r="130">
          <cell r="A130" t="str">
            <v>Р.Македонија - државна обврзница DO2023/21-1226</v>
          </cell>
        </row>
        <row r="131">
          <cell r="A131" t="str">
            <v>Р.Македонија - државна обврзница DO2023/22-1238</v>
          </cell>
        </row>
        <row r="132">
          <cell r="A132" t="str">
            <v>Р. Македонија - државна обврзница DO2018/08-0233dk</v>
          </cell>
        </row>
        <row r="133">
          <cell r="A133" t="str">
            <v>Р. Македонија - државна обврзница DO2021/07-0436</v>
          </cell>
        </row>
        <row r="134">
          <cell r="A134" t="str">
            <v>Р. Македонија - државна обврзница DO2021/08-0436dk</v>
          </cell>
        </row>
        <row r="135">
          <cell r="A135" t="str">
            <v>Р.Македонија - државна обврзница DO2023/08-0638</v>
          </cell>
        </row>
        <row r="136">
          <cell r="A136" t="str">
            <v>Р.Македонија - државна обврзница DO2023/09-0638dk</v>
          </cell>
        </row>
        <row r="137">
          <cell r="A137" t="str">
            <v>Р. Македонија - државна обврзница DO2020/08-1030</v>
          </cell>
        </row>
        <row r="138">
          <cell r="A138" t="str">
            <v>Р. Македонија - државна обврзница DO2020/09-1030dk</v>
          </cell>
        </row>
        <row r="139">
          <cell r="A139" t="str">
            <v>Р.Македонија - државна обврзница DO2023/03-225</v>
          </cell>
        </row>
        <row r="140">
          <cell r="A140" t="str">
            <v>Р. Македонија - државна обврзница DO2017/06-0232dk</v>
          </cell>
        </row>
        <row r="141">
          <cell r="A141" t="str">
            <v>Р. Македонија - државна обврзница DO2015/15-0430dk</v>
          </cell>
        </row>
        <row r="142">
          <cell r="A142" t="str">
            <v>Р. Македонија - државна обврзница DO2019/09-0534</v>
          </cell>
        </row>
        <row r="143">
          <cell r="A143" t="str">
            <v>Р.Македонија - државна обврзница DO2022/06-0637</v>
          </cell>
        </row>
        <row r="144">
          <cell r="A144" t="str">
            <v>Р.Македонија - државна обврзница DO2022/07-0637dk</v>
          </cell>
        </row>
        <row r="145">
          <cell r="A145" t="str">
            <v>Р. Македонија - државна обврзница DO2021/14-0936</v>
          </cell>
        </row>
        <row r="146">
          <cell r="A146" t="str">
            <v>Р. Македонија - државна обврзница DO2014/27-1024</v>
          </cell>
        </row>
        <row r="147">
          <cell r="A147" t="str">
            <v>Р. Македонија - државна обврзница DO2014/28-1024dk</v>
          </cell>
        </row>
        <row r="148">
          <cell r="A148" t="str">
            <v>Р.Македонија - државна обврзница DO2023/20-1138</v>
          </cell>
        </row>
        <row r="149">
          <cell r="A149" t="str">
            <v>Р. Македонија - државна обврзница DO2021/17-1224</v>
          </cell>
        </row>
        <row r="150">
          <cell r="A150" t="str">
            <v>Р. Македонија - државна обврзница DO2016/08-0331dk</v>
          </cell>
        </row>
        <row r="151">
          <cell r="A151" t="str">
            <v>Р. Македонија - државна обврзница DO2021/10-0636</v>
          </cell>
        </row>
        <row r="152">
          <cell r="A152" t="str">
            <v>Р. Македонија - државна обврзница DO2021/11-0636dk</v>
          </cell>
        </row>
        <row r="153">
          <cell r="A153" t="str">
            <v>Р. Македонија - државна обврзница DO2017/24-0832dk</v>
          </cell>
        </row>
        <row r="154">
          <cell r="A154" t="str">
            <v>Р. Македонија - државна обврзница DO2015/37-0930dk</v>
          </cell>
        </row>
        <row r="155">
          <cell r="A155" t="str">
            <v>Р. Македонија - државна обврзница DO2019/13-1024</v>
          </cell>
        </row>
        <row r="156">
          <cell r="A156" t="str">
            <v>Р.Македонија државна обврзница DO2022/15-1137</v>
          </cell>
        </row>
        <row r="157">
          <cell r="A157" t="str">
            <v>Р. Македонија - државна обврзница DO2015/45-1225dk</v>
          </cell>
        </row>
        <row r="158">
          <cell r="A158" t="str">
            <v>Р. Македонија - државна обврзница DO2019/06-0449dk</v>
          </cell>
        </row>
        <row r="159">
          <cell r="A159" t="str">
            <v>Р. Македонија - државна обврзница DO2020/06-0635</v>
          </cell>
        </row>
        <row r="160">
          <cell r="A160" t="str">
            <v>Р. Македонија - државна обврзница DO2019/10-0749dk</v>
          </cell>
        </row>
        <row r="161">
          <cell r="A161" t="str">
            <v>Р. Македонија - државна обврзница DO2016/17-0826</v>
          </cell>
        </row>
        <row r="162">
          <cell r="A162" t="str">
            <v>Р. Македонија - државна обврзница DO2016/18-0826dk</v>
          </cell>
        </row>
        <row r="163">
          <cell r="A163" t="str">
            <v>Р. Македонија - државна обврзница DO2016/19-0831dk</v>
          </cell>
        </row>
        <row r="164">
          <cell r="A164" t="str">
            <v>Р. Македонија - државна обврзница DО2022/11-0837dk</v>
          </cell>
        </row>
        <row r="165">
          <cell r="A165" t="str">
            <v>Р. Македонија - државна обврзница DO2018/23-1048dk</v>
          </cell>
        </row>
        <row r="166">
          <cell r="A166" t="str">
            <v>Р. Македонија - државна обврзница DO2021/16-1136dk</v>
          </cell>
        </row>
        <row r="167">
          <cell r="A167" t="str">
            <v>Р. Македонија - државна обврзница DO2018/15-0748dk</v>
          </cell>
        </row>
        <row r="168">
          <cell r="A168" t="str">
            <v>Р. Македонија - државна обврзница DO2019/12-0934</v>
          </cell>
        </row>
        <row r="169">
          <cell r="A169" t="str">
            <v>Р. Македонија - државна обврзница DO2017/32-1032dk</v>
          </cell>
        </row>
        <row r="170">
          <cell r="A170" t="str">
            <v>Р. Македонија - државна обврзница DO2015/42-1125dk</v>
          </cell>
        </row>
        <row r="171">
          <cell r="A171" t="str">
            <v>Р. Македонија - државна обврзница DO2015/43-1130dk</v>
          </cell>
        </row>
        <row r="172">
          <cell r="A172" t="str">
            <v>Р. Македонија - државна обврзница DO2017/20-0732dk</v>
          </cell>
        </row>
        <row r="173">
          <cell r="A173" t="str">
            <v>Р. Македонија - државна обврзница DO2023/13-0738</v>
          </cell>
        </row>
        <row r="174">
          <cell r="A174" t="str">
            <v>Р. Македонија - државна обврзница DO2015/32-0825</v>
          </cell>
        </row>
        <row r="175">
          <cell r="A175" t="str">
            <v>Р. Македонија - државна обврзница DO2015/33-0830dk</v>
          </cell>
        </row>
        <row r="176">
          <cell r="A176" t="str">
            <v>Р. Македонија - државна обврзница DO2018/19-0933</v>
          </cell>
        </row>
        <row r="177">
          <cell r="A177" t="str">
            <v>Р. Македонија - државна обврзница DO2018/20-0933dk</v>
          </cell>
        </row>
        <row r="178">
          <cell r="A178" t="str">
            <v>Р. Македонија - државна обврзница DO2015/18-0525dk</v>
          </cell>
        </row>
        <row r="179">
          <cell r="A179" t="str">
            <v>Р. Македонија - државна обврзница DO2018/13-0633dk</v>
          </cell>
        </row>
        <row r="180">
          <cell r="A180" t="str">
            <v>Р. Македонија - државна обврзница DO2014/18-0824dk</v>
          </cell>
        </row>
        <row r="181">
          <cell r="A181" t="str">
            <v>Р. Македонија - државна обврзница DO2017/27-0932dk</v>
          </cell>
        </row>
        <row r="182">
          <cell r="A182" t="str">
            <v>Р.Македонија - државна обврзница DO2023/17-0938</v>
          </cell>
        </row>
        <row r="183">
          <cell r="A183" t="str">
            <v>Р. Македонија - државна обврзница DO2016/03-0131dk</v>
          </cell>
        </row>
        <row r="184">
          <cell r="A184" t="str">
            <v>Р. Македонија - државна обврзница DO2017/17-0632dk</v>
          </cell>
        </row>
        <row r="185">
          <cell r="A185" t="str">
            <v>Р. Македонија - државна обврзница DO2016/21-0931dk</v>
          </cell>
        </row>
        <row r="186">
          <cell r="A186" t="str">
            <v>Р. Македонија - државна обврзница DO2018/27-1133dk</v>
          </cell>
        </row>
        <row r="187">
          <cell r="A187" t="str">
            <v>Р. Македонија - државна обврзница DO2016/29-1231dk</v>
          </cell>
        </row>
        <row r="188">
          <cell r="A188" t="str">
            <v>Р. Македонија - државна обврзница DO2017/10-0332dk</v>
          </cell>
        </row>
        <row r="189">
          <cell r="A189" t="str">
            <v>Р. Македонија - државна обврзница DO2016/14-0631dk</v>
          </cell>
        </row>
        <row r="190">
          <cell r="A190" t="str">
            <v>Р. Македонија - државна обврзница DO2015/27-0725dk</v>
          </cell>
        </row>
        <row r="191">
          <cell r="A191" t="str">
            <v>Р. Македонија - државна обврзница DO2015/28-0730dk</v>
          </cell>
        </row>
        <row r="192">
          <cell r="A192" t="str">
            <v>Р. Македонија - државна обврзница DO2017/36-1132dk</v>
          </cell>
        </row>
        <row r="193">
          <cell r="A193" t="str">
            <v>Р. Македонија - државна обврзница DO2016/09-0326</v>
          </cell>
        </row>
        <row r="194">
          <cell r="A194" t="str">
            <v>Р. Македонија - државна обврзница DO2015/38-0925dk</v>
          </cell>
        </row>
        <row r="195">
          <cell r="A195" t="str">
            <v>Р. Македонија - државна обврзница DO2015/39-0930dk</v>
          </cell>
        </row>
        <row r="196">
          <cell r="A196" t="str">
            <v>Р. Македонија - државна обврзница DO2015/46-1225dk</v>
          </cell>
        </row>
        <row r="197">
          <cell r="A197" t="str">
            <v>Р. Македонија - државна обврзница DO2018/04-0133</v>
          </cell>
        </row>
        <row r="198">
          <cell r="A198" t="str">
            <v>Р. Македонија - државна обврзница DO2018/05-0133dk</v>
          </cell>
        </row>
        <row r="199">
          <cell r="A199" t="str">
            <v>Р. Македонија - државна обврзница DO2015/20-0625</v>
          </cell>
        </row>
        <row r="200">
          <cell r="A200" t="str">
            <v>Р. Македонија - државна обврзница DO2015/21-0625dk</v>
          </cell>
        </row>
        <row r="201">
          <cell r="A201" t="str">
            <v>Р. Македонија - државна обврзница DO2015/22-0630dk</v>
          </cell>
        </row>
        <row r="202">
          <cell r="A202" t="str">
            <v>Р. Македонија - државна обврзница DO2017/05-0132dk</v>
          </cell>
        </row>
        <row r="203">
          <cell r="A203" t="str">
            <v>Р. Македонија - државна обврзница DO2015/08-0230dk</v>
          </cell>
        </row>
        <row r="204">
          <cell r="A204" t="str">
            <v>Р. Македонија - државна обврзница DO2015/12-0325</v>
          </cell>
        </row>
        <row r="205">
          <cell r="A205" t="str">
            <v>Р. Македонија - државна обврзница DO2015/13-0330dk</v>
          </cell>
        </row>
        <row r="206">
          <cell r="A206" t="str">
            <v>Р. Македонија - државна обврзница DO2018/11-0448dk</v>
          </cell>
        </row>
        <row r="207">
          <cell r="A207" t="str">
            <v>Р.Македонија - државна обврзница DO2023/07-0538dk</v>
          </cell>
        </row>
        <row r="208">
          <cell r="A208" t="str">
            <v>Р. Македонија - државна обврзница DO2022/02-0125</v>
          </cell>
        </row>
        <row r="209">
          <cell r="A209" t="str">
            <v>Р. Македонија - државна обврзница DO2015/34-0825</v>
          </cell>
        </row>
        <row r="210">
          <cell r="A210" t="str">
            <v>Р. Македонија - државна обврзница DO2015/35-0825dk</v>
          </cell>
        </row>
        <row r="211">
          <cell r="A211" t="str">
            <v>Р. Македонија - државна обврзница DO2015/36-0830dk</v>
          </cell>
        </row>
        <row r="212">
          <cell r="A212" t="str">
            <v>Р. Македонија - државна обврзница DO2016/04-0131dk</v>
          </cell>
        </row>
        <row r="213">
          <cell r="A213" t="str">
            <v>Р. Македонија - државна обврзница DO2019/04-0234</v>
          </cell>
        </row>
        <row r="214">
          <cell r="A214" t="str">
            <v>Р. Македонија - државна обврзница DO2016/16-0731dk</v>
          </cell>
        </row>
        <row r="215">
          <cell r="A215" t="str">
            <v>Р.Македонија - државна обврзница DO2023/23-1238dk</v>
          </cell>
        </row>
        <row r="216">
          <cell r="A216" t="str">
            <v>Р. Македонија - државна обврзница DO2015/03-0125</v>
          </cell>
        </row>
        <row r="217">
          <cell r="A217" t="str">
            <v>Р. Македонија - државна обврзница DO2015/04-0125dk</v>
          </cell>
        </row>
        <row r="218">
          <cell r="A218" t="str">
            <v>Р. Македонија - државна обврзница DO2017/18-0632dk</v>
          </cell>
        </row>
        <row r="219">
          <cell r="A219" t="str">
            <v>Р. Македонија - државна обврзница DO2023/10-0638dk</v>
          </cell>
        </row>
        <row r="220">
          <cell r="A220" t="str">
            <v>Р. Македонија - државна обврзница DO2016/22-0931dk</v>
          </cell>
        </row>
        <row r="221">
          <cell r="A221" t="str">
            <v>Р. Македонија - државна обврзница DO2015/41-1030dk</v>
          </cell>
        </row>
        <row r="222">
          <cell r="A222" t="str">
            <v>Р. Македонија - државна обврзница DO2020/10-1035</v>
          </cell>
        </row>
        <row r="223">
          <cell r="A223" t="str">
            <v>Р. Македонија - државна обврзница DO2022/17-1237</v>
          </cell>
        </row>
        <row r="224">
          <cell r="A224" t="str">
            <v>Р. Македонија - државна обврзница DO2022/18-1237dk</v>
          </cell>
        </row>
        <row r="225">
          <cell r="A225" t="str">
            <v>Р. Македонија - државна обврзница DO2020/01-0150dk</v>
          </cell>
        </row>
        <row r="226">
          <cell r="A226" t="str">
            <v>Р. Македонија - државна обврзница DO2017/11-0332dk</v>
          </cell>
        </row>
        <row r="227">
          <cell r="A227" t="str">
            <v>Р. Македонија - државна обврзница DO2023/05-0338</v>
          </cell>
        </row>
        <row r="228">
          <cell r="A228" t="str">
            <v>Р. Македонија - државна обврзница DO2023/06-0338dk</v>
          </cell>
        </row>
        <row r="229">
          <cell r="A229" t="str">
            <v>Р. Македонија - државна обврзница DO2020/04-0450dk</v>
          </cell>
        </row>
        <row r="230">
          <cell r="A230" t="str">
            <v>Р. Македонија - државна обврзница DO2022/08-0637</v>
          </cell>
        </row>
        <row r="231">
          <cell r="A231" t="str">
            <v>Р. Македонија - државна обврзница DO2015/29-0730dk</v>
          </cell>
        </row>
        <row r="232">
          <cell r="A232" t="str">
            <v>Р. Македонија - државна обврзница DO2014/30-1024dk</v>
          </cell>
        </row>
        <row r="233">
          <cell r="A233" t="str">
            <v>Р. Македонија - државна обврзница DO2017/37-1132dk</v>
          </cell>
        </row>
        <row r="234">
          <cell r="A234" t="str">
            <v>Р. Македонија - државна обврзница DO2019/02-0149dk</v>
          </cell>
        </row>
        <row r="235">
          <cell r="A235" t="str">
            <v>Р. Македонија - државна обврзница DO2016/10-0331dk</v>
          </cell>
        </row>
        <row r="236">
          <cell r="A236" t="str">
            <v>Р. Македонија - државна обврзница DO2019/14-1049dk</v>
          </cell>
          <cell r="B236">
            <v>103.5</v>
          </cell>
        </row>
        <row r="237">
          <cell r="A237" t="str">
            <v>Р. Македонија - денационализација 14</v>
          </cell>
          <cell r="B237">
            <v>90</v>
          </cell>
        </row>
        <row r="238">
          <cell r="A238" t="str">
            <v>Р. Македонија - денационализација 15</v>
          </cell>
          <cell r="B238">
            <v>95</v>
          </cell>
        </row>
        <row r="239">
          <cell r="A239" t="str">
            <v>Р. Македонија - денационализација 16</v>
          </cell>
          <cell r="B239">
            <v>90</v>
          </cell>
        </row>
        <row r="240">
          <cell r="A240" t="str">
            <v>Р. Македонија - денационализација 17</v>
          </cell>
          <cell r="B240">
            <v>90</v>
          </cell>
        </row>
        <row r="241">
          <cell r="A241" t="str">
            <v>Р. Македонија - денационализација 18</v>
          </cell>
          <cell r="B241">
            <v>93</v>
          </cell>
        </row>
        <row r="242">
          <cell r="A242" t="str">
            <v>Р. Македонија - денационализација 19</v>
          </cell>
          <cell r="B242">
            <v>92</v>
          </cell>
        </row>
        <row r="243">
          <cell r="A243" t="str">
            <v>Р. Македонија - денационализација 20</v>
          </cell>
          <cell r="B243">
            <v>94</v>
          </cell>
        </row>
        <row r="244">
          <cell r="A244" t="str">
            <v>Р. Македонија - денационализација 21</v>
          </cell>
          <cell r="B244">
            <v>92</v>
          </cell>
        </row>
        <row r="245">
          <cell r="A245" t="str">
            <v>Р. Македонија - денационализација 22</v>
          </cell>
          <cell r="B245">
            <v>84.1</v>
          </cell>
        </row>
        <row r="246">
          <cell r="A246" t="str">
            <v>Р.Македонија - структурни обврзници општина Виница</v>
          </cell>
        </row>
        <row r="247">
          <cell r="A247" t="str">
            <v>Р.Македонија - структурни обврзници општина Желино</v>
          </cell>
          <cell r="B247">
            <v>97.1</v>
          </cell>
        </row>
        <row r="248">
          <cell r="A248" t="str">
            <v>Р.Македонија - структурни обврзници општина Тетово</v>
          </cell>
          <cell r="B248">
            <v>96</v>
          </cell>
        </row>
        <row r="249">
          <cell r="A249" t="str">
            <v>СН Осигурителен Брокер АД Битола - корпоративна обврзница I емисија</v>
          </cell>
          <cell r="B249">
            <v>90</v>
          </cell>
        </row>
        <row r="250">
          <cell r="A250" t="str">
            <v>ТТК банка АД Скопје - корпоративна обврзница I емисија</v>
          </cell>
          <cell r="B250">
            <v>100</v>
          </cell>
        </row>
        <row r="251">
          <cell r="A251" t="str">
            <v>ТТК банка АД Скопје - корпоративна обврзница II емисија</v>
          </cell>
        </row>
        <row r="252">
          <cell r="A252" t="str">
            <v>Р.Македонија - државна обврзница DO2023/18-1025</v>
          </cell>
        </row>
        <row r="253">
          <cell r="A253" t="str">
            <v>Берзанска котација - други хартии од вредност</v>
          </cell>
        </row>
        <row r="254">
          <cell r="A254" t="str">
            <v>Универзална Инвестициона Банка Скопје - перпетуални обврзници - втора емисија</v>
          </cell>
        </row>
        <row r="255">
          <cell r="A255" t="str">
            <v>Универзална Инвестициона Банка Скопје - перпетуални обврзници - трета емисија</v>
          </cell>
        </row>
        <row r="256">
          <cell r="A256" t="str">
            <v>Задолжителна котација - обични акции</v>
          </cell>
        </row>
        <row r="257">
          <cell r="A257" t="str">
            <v>Адинг Скопје</v>
          </cell>
          <cell r="B257">
            <v>1500</v>
          </cell>
        </row>
        <row r="258">
          <cell r="A258" t="str">
            <v>Агромеханика Скопје</v>
          </cell>
          <cell r="B258">
            <v>300</v>
          </cell>
        </row>
        <row r="259">
          <cell r="A259" t="str">
            <v>Ангропромет-Тиквешанка Кавадарци</v>
          </cell>
          <cell r="B259">
            <v>750</v>
          </cell>
        </row>
        <row r="260">
          <cell r="A260" t="str">
            <v>Аутомакедонија Скопје</v>
          </cell>
          <cell r="B260">
            <v>2950</v>
          </cell>
        </row>
        <row r="261">
          <cell r="A261" t="str">
            <v>Рудници Бањани Скопје</v>
          </cell>
          <cell r="B261">
            <v>603</v>
          </cell>
        </row>
        <row r="262">
          <cell r="A262" t="str">
            <v>Кристал 1923 АД Велес</v>
          </cell>
          <cell r="B262">
            <v>158</v>
          </cell>
        </row>
        <row r="263">
          <cell r="A263" t="str">
            <v>БИМ Свети Николе</v>
          </cell>
          <cell r="B263">
            <v>18001</v>
          </cell>
        </row>
        <row r="264">
          <cell r="A264" t="str">
            <v>ФЗЦ 11 Октомври Куманово</v>
          </cell>
          <cell r="B264">
            <v>220</v>
          </cell>
        </row>
        <row r="265">
          <cell r="A265" t="str">
            <v>Централна кооперативна банка Скопје</v>
          </cell>
          <cell r="B265">
            <v>350</v>
          </cell>
        </row>
        <row r="266">
          <cell r="A266" t="str">
            <v>Дебарски бањи Дебар</v>
          </cell>
          <cell r="B266">
            <v>1550</v>
          </cell>
        </row>
        <row r="267">
          <cell r="A267" t="str">
            <v>Димко Митрев Велес</v>
          </cell>
          <cell r="B267">
            <v>185</v>
          </cell>
        </row>
        <row r="268">
          <cell r="A268" t="str">
            <v>Европа Скопје</v>
          </cell>
          <cell r="B268">
            <v>3168</v>
          </cell>
        </row>
        <row r="269">
          <cell r="A269" t="str">
            <v>Факом Скопје</v>
          </cell>
          <cell r="B269">
            <v>6984</v>
          </cell>
        </row>
        <row r="270">
          <cell r="A270" t="str">
            <v>Фустеларко Борец Битола</v>
          </cell>
          <cell r="B270">
            <v>2101</v>
          </cell>
        </row>
        <row r="271">
          <cell r="A271" t="str">
            <v>Герас Цунев конфекција Струмица</v>
          </cell>
          <cell r="B271">
            <v>500</v>
          </cell>
        </row>
        <row r="272">
          <cell r="A272" t="str">
            <v>Герас Цунев трговија Струмица</v>
          </cell>
          <cell r="B272">
            <v>500</v>
          </cell>
        </row>
        <row r="273">
          <cell r="A273" t="str">
            <v>Грозд Струмица</v>
          </cell>
          <cell r="B273">
            <v>2250</v>
          </cell>
        </row>
        <row r="274">
          <cell r="A274" t="str">
            <v>Градски Трговски Центар Скопје</v>
          </cell>
          <cell r="B274">
            <v>1790</v>
          </cell>
        </row>
        <row r="275">
          <cell r="A275" t="str">
            <v>Интерпромет Тетово</v>
          </cell>
          <cell r="B275">
            <v>4500</v>
          </cell>
        </row>
        <row r="276">
          <cell r="A276" t="str">
            <v>Македонија осигурување АД Скопје - Виена Иншуренс Груп</v>
          </cell>
          <cell r="B276">
            <v>1200</v>
          </cell>
        </row>
        <row r="277">
          <cell r="A277" t="str">
            <v>Кланица со ладилник Струмица</v>
          </cell>
          <cell r="B277">
            <v>120</v>
          </cell>
        </row>
        <row r="278">
          <cell r="A278" t="str">
            <v>Фруктал МАК Скопје</v>
          </cell>
          <cell r="B278">
            <v>119</v>
          </cell>
        </row>
        <row r="279">
          <cell r="A279" t="str">
            <v>Карпош Скопје</v>
          </cell>
          <cell r="B279">
            <v>350</v>
          </cell>
        </row>
        <row r="280">
          <cell r="A280" t="str">
            <v>Лотарија на Македонија Скопје</v>
          </cell>
          <cell r="B280">
            <v>180</v>
          </cell>
        </row>
        <row r="281">
          <cell r="A281" t="str">
            <v>Пелистерка АД Скопје</v>
          </cell>
        </row>
        <row r="282">
          <cell r="A282" t="str">
            <v>Макпромет Штип</v>
          </cell>
          <cell r="B282">
            <v>600</v>
          </cell>
        </row>
        <row r="283">
          <cell r="A283" t="str">
            <v>Мермерен комбинат Прилеп</v>
          </cell>
          <cell r="B283">
            <v>3200</v>
          </cell>
        </row>
        <row r="284">
          <cell r="A284" t="str">
            <v>Мода Свети Николе</v>
          </cell>
          <cell r="B284">
            <v>99</v>
          </cell>
        </row>
        <row r="285">
          <cell r="A285" t="str">
            <v>Вабтек МЗТ Скопје</v>
          </cell>
          <cell r="B285">
            <v>3133</v>
          </cell>
        </row>
        <row r="286">
          <cell r="A286" t="str">
            <v>МЗТ Пумпи Скопје</v>
          </cell>
          <cell r="B286">
            <v>607</v>
          </cell>
        </row>
        <row r="287">
          <cell r="A287" t="str">
            <v>Огражден Струмица</v>
          </cell>
          <cell r="B287">
            <v>1900</v>
          </cell>
        </row>
        <row r="288">
          <cell r="A288" t="str">
            <v>Нова стоковна куќа Струмица</v>
          </cell>
          <cell r="B288">
            <v>61500</v>
          </cell>
        </row>
        <row r="289">
          <cell r="A289" t="str">
            <v>Оилко КДА Скопје</v>
          </cell>
          <cell r="B289">
            <v>6000</v>
          </cell>
        </row>
        <row r="290">
          <cell r="A290" t="str">
            <v>ОКТА Скопје</v>
          </cell>
          <cell r="B290">
            <v>5919</v>
          </cell>
        </row>
        <row r="291">
          <cell r="A291" t="str">
            <v>Оранжерии Хамзали Струмица</v>
          </cell>
          <cell r="B291">
            <v>300</v>
          </cell>
        </row>
        <row r="292">
          <cell r="A292" t="str">
            <v>Пекабеско Скопје</v>
          </cell>
          <cell r="B292">
            <v>16500</v>
          </cell>
        </row>
        <row r="293">
          <cell r="A293" t="str">
            <v>Попова Кула Демир Капија</v>
          </cell>
          <cell r="B293">
            <v>16</v>
          </cell>
        </row>
        <row r="294">
          <cell r="A294" t="str">
            <v>Прилепска Пиварница Прилеп</v>
          </cell>
          <cell r="B294">
            <v>34500</v>
          </cell>
        </row>
        <row r="295">
          <cell r="A295" t="str">
            <v>Раде Кончар Скопје</v>
          </cell>
          <cell r="B295">
            <v>2000</v>
          </cell>
        </row>
        <row r="296">
          <cell r="A296" t="str">
            <v>РЖ Економика Скопје</v>
          </cell>
          <cell r="B296">
            <v>50</v>
          </cell>
        </row>
        <row r="297">
          <cell r="A297" t="str">
            <v>Либерти АД Скопје</v>
          </cell>
          <cell r="B297">
            <v>19</v>
          </cell>
        </row>
        <row r="298">
          <cell r="A298" t="str">
            <v>РЖ Техничка контрола Скопје</v>
          </cell>
          <cell r="B298">
            <v>515</v>
          </cell>
        </row>
        <row r="299">
          <cell r="A299" t="str">
            <v>РЖ Уготур Скопје</v>
          </cell>
        </row>
        <row r="300">
          <cell r="A300" t="str">
            <v>Современ дом Прилеп</v>
          </cell>
          <cell r="B300">
            <v>30</v>
          </cell>
        </row>
        <row r="301">
          <cell r="A301" t="str">
            <v>Силекс Кратово</v>
          </cell>
        </row>
        <row r="302">
          <cell r="A302" t="str">
            <v>Славеј Скопје</v>
          </cell>
        </row>
        <row r="303">
          <cell r="A303" t="str">
            <v>Струмичко поле с.Василево</v>
          </cell>
        </row>
        <row r="304">
          <cell r="A304" t="str">
            <v>Сигурносно стакло Прилеп</v>
          </cell>
        </row>
        <row r="305">
          <cell r="A305" t="str">
            <v>Стопанска банка Скопје</v>
          </cell>
          <cell r="B305">
            <v>1800</v>
          </cell>
        </row>
        <row r="306">
          <cell r="A306" t="str">
            <v>Стокопромет Скопје</v>
          </cell>
          <cell r="B306">
            <v>1200</v>
          </cell>
        </row>
        <row r="307">
          <cell r="A307" t="str">
            <v>ТЕАЛ-Алумина Тетово</v>
          </cell>
          <cell r="B307">
            <v>730</v>
          </cell>
        </row>
        <row r="308">
          <cell r="A308" t="str">
            <v>Технокомерц Скопје</v>
          </cell>
          <cell r="B308">
            <v>1000</v>
          </cell>
        </row>
        <row r="309">
          <cell r="A309" t="str">
            <v>Македонски Телеком Скопје</v>
          </cell>
          <cell r="B309">
            <v>411.33</v>
          </cell>
        </row>
        <row r="310">
          <cell r="A310" t="str">
            <v>ГД-Тиквеш Кавадарци</v>
          </cell>
          <cell r="B310">
            <v>1000</v>
          </cell>
        </row>
        <row r="311">
          <cell r="A311" t="str">
            <v>НЛБ Банка АД Скопје</v>
          </cell>
          <cell r="B311">
            <v>43161.88</v>
          </cell>
        </row>
        <row r="312">
          <cell r="A312" t="str">
            <v>Транскоп-Патнички сооб. Битола</v>
          </cell>
          <cell r="B312">
            <v>1800</v>
          </cell>
        </row>
        <row r="313">
          <cell r="A313" t="str">
            <v>Трготекстил малопродажба Скопје</v>
          </cell>
        </row>
        <row r="314">
          <cell r="A314" t="str">
            <v>Универзална Инвестициона Банка Скопје</v>
          </cell>
          <cell r="B314">
            <v>7000</v>
          </cell>
        </row>
        <row r="315">
          <cell r="A315" t="str">
            <v>Цементарница УСЈЕ Скопје</v>
          </cell>
          <cell r="B315">
            <v>37150</v>
          </cell>
        </row>
        <row r="316">
          <cell r="A316" t="str">
            <v>Триглав осигурување Скопје</v>
          </cell>
        </row>
        <row r="317">
          <cell r="A317" t="str">
            <v>Ветекс Велес</v>
          </cell>
        </row>
        <row r="318">
          <cell r="A318" t="str">
            <v>ЖАС Скопје</v>
          </cell>
        </row>
        <row r="319">
          <cell r="A319" t="str">
            <v>Жито Караорман Кичево</v>
          </cell>
        </row>
        <row r="320">
          <cell r="A320" t="str">
            <v>Жито Полог Тетово</v>
          </cell>
        </row>
        <row r="321">
          <cell r="A321" t="str">
            <v>Задолжителна котација - приоритетни акции</v>
          </cell>
        </row>
        <row r="322">
          <cell r="A322" t="str">
            <v>Стопанска банка Скопје</v>
          </cell>
        </row>
        <row r="323">
          <cell r="A323" t="str">
            <v>Редовен пазар</v>
          </cell>
        </row>
        <row r="324">
          <cell r="A324" t="str">
            <v>Пазар на акционерски друштва со посебни обврски за известување - обични акции</v>
          </cell>
        </row>
        <row r="325">
          <cell r="A325" t="str">
            <v>Шпаркасе банка Македонија АД Скопје</v>
          </cell>
        </row>
        <row r="326">
          <cell r="A326" t="str">
            <v>Слободен пазар - обични акции</v>
          </cell>
        </row>
        <row r="327">
          <cell r="A327" t="str">
            <v>Еуромак брокер АД Скопје</v>
          </cell>
        </row>
        <row r="328">
          <cell r="A328" t="str">
            <v>ЗИК Градиште Куманово</v>
          </cell>
        </row>
        <row r="329">
          <cell r="A329" t="str">
            <v>Караорман Скопје</v>
          </cell>
        </row>
        <row r="330">
          <cell r="A330" t="str">
            <v>Квасара Битола</v>
          </cell>
        </row>
        <row r="331">
          <cell r="A331" t="str">
            <v>Млекара АД Битола</v>
          </cell>
        </row>
        <row r="332">
          <cell r="A332" t="str">
            <v>РЖ Скопје-Инженеринг Скопје</v>
          </cell>
        </row>
        <row r="333">
          <cell r="A333" t="str">
            <v>АрцелорМиттал (ХРМ) АД Скопје - долгорочно суспендирано од котација</v>
          </cell>
        </row>
        <row r="334">
          <cell r="A334" t="str">
            <v>Пивара Скопје АД Скопје</v>
          </cell>
        </row>
        <row r="335">
          <cell r="A335" t="str">
            <v>Вкупен промет на сите пазарни сегменти: 14.276.971,00</v>
          </cell>
        </row>
        <row r="336">
          <cell r="A336" t="str">
            <v>МБИ10</v>
          </cell>
        </row>
        <row r="337">
          <cell r="A337" t="str">
            <v>ОМБ</v>
          </cell>
        </row>
        <row r="338">
          <cell r="A338" t="str">
            <v>1 EUR = 61,4950 МКД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  <cell r="B6">
            <v>24277.41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  <cell r="B8">
            <v>22298.95</v>
          </cell>
        </row>
        <row r="9">
          <cell r="A9" t="str">
            <v>Фершпед Скопје</v>
          </cell>
          <cell r="B9">
            <v>53560</v>
          </cell>
        </row>
        <row r="10">
          <cell r="A10" t="str">
            <v>Гранит Скопје</v>
          </cell>
          <cell r="B10">
            <v>1440</v>
          </cell>
        </row>
        <row r="11">
          <cell r="A11" t="str">
            <v>Интернешнел Хотелс АД Скопје</v>
          </cell>
          <cell r="B11">
            <v>4005</v>
          </cell>
        </row>
        <row r="12">
          <cell r="A12" t="str">
            <v>ДС Смитх АД Скопје</v>
          </cell>
          <cell r="B12">
            <v>480</v>
          </cell>
        </row>
        <row r="13">
          <cell r="A13" t="str">
            <v>Макотекс Скопје</v>
          </cell>
        </row>
        <row r="14">
          <cell r="A14" t="str">
            <v>Макошпед Скопје</v>
          </cell>
          <cell r="B14">
            <v>231</v>
          </cell>
        </row>
        <row r="15">
          <cell r="A15" t="str">
            <v>Хотели Метропол Охрид</v>
          </cell>
          <cell r="B15">
            <v>315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  <cell r="B17">
            <v>7350</v>
          </cell>
        </row>
        <row r="18">
          <cell r="A18" t="str">
            <v>Реплек Скопје</v>
          </cell>
          <cell r="B18">
            <v>14286.5</v>
          </cell>
        </row>
        <row r="19">
          <cell r="A19" t="str">
            <v>РЖ Интер-Трансшпед Скопје</v>
          </cell>
          <cell r="B19">
            <v>20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Р.Македонија - државна обврзница DO2023/19-1125</v>
          </cell>
        </row>
        <row r="37">
          <cell r="A37" t="str">
            <v>Р. Македонија - државна обврзница DO2023/12-0725</v>
          </cell>
        </row>
        <row r="38">
          <cell r="A38" t="str">
            <v>Р. Македонија - државна обврзница DO2021/05-0428</v>
          </cell>
        </row>
        <row r="39">
          <cell r="A39" t="str">
            <v>Р. Македонија - државна обврзница DO2021/06-0428dk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Р.Македонија државна обврзница DO2022/16-1237</v>
          </cell>
        </row>
        <row r="44">
          <cell r="A44" t="str">
            <v>Р.Македонија - државна обврзница DO2024/01-0126</v>
          </cell>
        </row>
        <row r="45">
          <cell r="A45" t="str">
            <v>Р.Македонија - државна обврзница DO2024/02-0127</v>
          </cell>
        </row>
        <row r="46">
          <cell r="A46" t="str">
            <v>Р. Македонија - државна обврзница DO2014/23-1024</v>
          </cell>
        </row>
        <row r="47">
          <cell r="A47" t="str">
            <v>Р. Македонија - државна обврзница DO2017/35-1132dk</v>
          </cell>
        </row>
        <row r="48">
          <cell r="A48" t="str">
            <v>Р. Македонија - државна обврзница DO2022/03-0337</v>
          </cell>
        </row>
        <row r="49">
          <cell r="A49" t="str">
            <v>Р. Македонија - државна обврзница DO2023/04-0338</v>
          </cell>
        </row>
        <row r="50">
          <cell r="A50" t="str">
            <v>Р. Македонија - државна обврзница DO2016/26-1131dk</v>
          </cell>
        </row>
        <row r="51">
          <cell r="A51" t="str">
            <v>Р. Македонија - државна обврзница DO2015/44-1230dk</v>
          </cell>
        </row>
        <row r="52">
          <cell r="A52" t="str">
            <v>Р. Македонија - државна обврзница DO2020/15-1235dk</v>
          </cell>
        </row>
        <row r="53">
          <cell r="A53" t="str">
            <v>Р. Македонија - државна обврзница DO2021/04-0336</v>
          </cell>
        </row>
        <row r="54">
          <cell r="A54" t="str">
            <v>Р. Македонија - државна обврзница DO2017/14-0532dk</v>
          </cell>
        </row>
        <row r="55">
          <cell r="A55" t="str">
            <v>Р. Македонија - државна обврзница DO2015/19-0630dk</v>
          </cell>
        </row>
        <row r="56">
          <cell r="A56" t="str">
            <v>Р.Македонија - државна обврзница DO2022/09-0837</v>
          </cell>
        </row>
        <row r="57">
          <cell r="A57" t="str">
            <v>Р.Македонија - државна обврзница DO2022/10-0837dk</v>
          </cell>
        </row>
        <row r="58">
          <cell r="A58" t="str">
            <v>Р. Македонија - државна обврзница DO2023/14-0838</v>
          </cell>
        </row>
        <row r="59">
          <cell r="A59" t="str">
            <v>Р. Македонија - државна обврзница DO2014/19-0924dk</v>
          </cell>
        </row>
        <row r="60">
          <cell r="A60" t="str">
            <v>Р. Македонија - државна обврзница DO2014/38-1224</v>
          </cell>
        </row>
        <row r="61">
          <cell r="A61" t="str">
            <v>Р. Македонија - државна обврзница DO2020/03-0325</v>
          </cell>
        </row>
        <row r="62">
          <cell r="A62" t="str">
            <v>Р. Македонија - државна обврзница ДО2021/13-0836</v>
          </cell>
        </row>
        <row r="63">
          <cell r="A63" t="str">
            <v>Р. Македонија - државна обврзница DO2017/30-1032dk</v>
          </cell>
        </row>
        <row r="64">
          <cell r="A64" t="str">
            <v>Р. Македонија - државна обврзница DO2020/12-1125</v>
          </cell>
        </row>
        <row r="65">
          <cell r="A65" t="str">
            <v>Р. Македонија - државна обврзница DO2019/16-1234dk</v>
          </cell>
        </row>
        <row r="66">
          <cell r="A66" t="str">
            <v>Р. Македонија - државна обврзница DO2017/12-0432dk</v>
          </cell>
        </row>
        <row r="67">
          <cell r="A67" t="str">
            <v>Р.Македонија - државна обврзница DO2024/12-0629</v>
          </cell>
        </row>
        <row r="68">
          <cell r="A68" t="str">
            <v>Р.Македонија - државна обврзница DO2024/13-0639</v>
          </cell>
        </row>
        <row r="69">
          <cell r="A69" t="str">
            <v>Р. Македонија - државна обврзница DO2017/19-0732dk</v>
          </cell>
        </row>
        <row r="70">
          <cell r="A70" t="str">
            <v>Р. Македонија - државна обврзница DO2015/30-0825dk</v>
          </cell>
        </row>
        <row r="71">
          <cell r="A71" t="str">
            <v>Р. Македонија - државна обврзница DO2015/31-0830dk</v>
          </cell>
        </row>
        <row r="72">
          <cell r="A72" t="str">
            <v>Р. Македонија - државна обврзница DO2020/07-0850dk</v>
          </cell>
        </row>
        <row r="73">
          <cell r="A73" t="str">
            <v>Р.Македонија - државна обврзница DO2024/06-0329</v>
          </cell>
        </row>
        <row r="74">
          <cell r="A74" t="str">
            <v>Р.Македонија - државна обврзница DO2024/07-0339</v>
          </cell>
        </row>
        <row r="75">
          <cell r="A75" t="str">
            <v>Р. Македонија - државна обврзница DO2016/11-0426dk</v>
          </cell>
        </row>
        <row r="76">
          <cell r="A76" t="str">
            <v>Р. Македонија - државна обврзница DO2015/17-0530dk</v>
          </cell>
        </row>
        <row r="77">
          <cell r="A77" t="str">
            <v>Р. Македонија - државна обврзница DO2018/12-0633</v>
          </cell>
        </row>
        <row r="78">
          <cell r="A78" t="str">
            <v>Р. Македонија - државна обврзница DO2017/26-0932dk</v>
          </cell>
        </row>
        <row r="79">
          <cell r="A79" t="str">
            <v>Р.Македонија - државна обврзница DO2023/15-0938</v>
          </cell>
        </row>
        <row r="80">
          <cell r="A80" t="str">
            <v>Р.Македонија - државна обврзница DO2023/16-0938dk</v>
          </cell>
        </row>
        <row r="81">
          <cell r="A81" t="str">
            <v>Р. Македонија - државна обврзница DO2019/15-1134</v>
          </cell>
        </row>
        <row r="82">
          <cell r="A82" t="str">
            <v>Р. Македонија - државна обврзница DO2017/38-1232dk</v>
          </cell>
        </row>
        <row r="83">
          <cell r="A83" t="str">
            <v>Р.Македонија - државна обврзница DO2024/04-0239</v>
          </cell>
        </row>
        <row r="84">
          <cell r="A84" t="str">
            <v>Р.Македонија - државна обврзница DO2024/05-0239</v>
          </cell>
        </row>
        <row r="85">
          <cell r="A85" t="str">
            <v>Р. Македонија - државна обврзница DO2018/10-0333dk</v>
          </cell>
        </row>
        <row r="86">
          <cell r="A86" t="str">
            <v>Р. Македонија - државна обврзница DO2017/16-0632dk</v>
          </cell>
        </row>
        <row r="87">
          <cell r="A87" t="str">
            <v>Р. Македонија - државна обврзница DO2016/15-0731dk</v>
          </cell>
        </row>
        <row r="88">
          <cell r="A88" t="str">
            <v>Р. Македонија - државна обврзница DO2019/11-0834dk</v>
          </cell>
        </row>
        <row r="89">
          <cell r="A89" t="str">
            <v>Р. Македонија - државна обврзница DO2015/40-1030dk</v>
          </cell>
        </row>
        <row r="90">
          <cell r="A90" t="str">
            <v>Р. Македонија - државна обврзница DO2023/02-0238</v>
          </cell>
        </row>
        <row r="91">
          <cell r="A91" t="str">
            <v>Р. Македонија - државна обврзница DO2017/08-0332dk</v>
          </cell>
        </row>
        <row r="92">
          <cell r="A92" t="str">
            <v>Р. Македонија - државна обврзница DO2016/13-0631dk</v>
          </cell>
        </row>
        <row r="93">
          <cell r="A93" t="str">
            <v>Р. Македонија - државна обврзница DO2015/23-0725</v>
          </cell>
        </row>
        <row r="94">
          <cell r="A94" t="str">
            <v>Р. Македонија - државна обврзница DO2015/24-0725dk</v>
          </cell>
        </row>
        <row r="95">
          <cell r="A95" t="str">
            <v>Р. Македонија - државна обврзница DO2015/25-0730dk</v>
          </cell>
        </row>
        <row r="96">
          <cell r="A96" t="str">
            <v>Р. Македонија - државна обврзница DO2018/17-0833dk</v>
          </cell>
        </row>
        <row r="97">
          <cell r="A97" t="str">
            <v>Р.Македонија државна обврзница DO2022/13-0937</v>
          </cell>
        </row>
        <row r="98">
          <cell r="A98" t="str">
            <v>Р.Македонија државна обврзница DO2022/12-0937dk</v>
          </cell>
        </row>
        <row r="99">
          <cell r="A99" t="str">
            <v>Р.Македонија - државна обврзница DO2024/10-0526</v>
          </cell>
        </row>
        <row r="100">
          <cell r="A100" t="str">
            <v>Р.Македонија - државна обврзница DO2024/11-0539</v>
          </cell>
        </row>
        <row r="101">
          <cell r="A101" t="str">
            <v>Р. Македонија - државна обврзница DO2017/22-0832dk</v>
          </cell>
        </row>
        <row r="102">
          <cell r="A102" t="str">
            <v>Р. Македонија - државна обврзница DO2018/02-0128</v>
          </cell>
        </row>
        <row r="103">
          <cell r="A103" t="str">
            <v>Р. Македонија - државна обврзница DO2018/03-0133dk</v>
          </cell>
        </row>
        <row r="104">
          <cell r="A104" t="str">
            <v>Р.Македонија - државна обврзница DO2024/03-0139</v>
          </cell>
        </row>
        <row r="105">
          <cell r="A105" t="str">
            <v>Р. Македонија - државна обврзница DO2016/05-0226</v>
          </cell>
        </row>
        <row r="106">
          <cell r="A106" t="str">
            <v>Р. Македонија - државна обврзница DO2016/06-0226dk</v>
          </cell>
        </row>
        <row r="107">
          <cell r="A107" t="str">
            <v>Р. Македонија - државна обврзница DO2016/07-0231dk</v>
          </cell>
        </row>
        <row r="108">
          <cell r="A108" t="str">
            <v>Р. Македонија - државна обврзница DO2023/06-0538</v>
          </cell>
        </row>
        <row r="109">
          <cell r="A109" t="str">
            <v>Р.Македонија - државна обврзница DO2024/14-0739</v>
          </cell>
        </row>
        <row r="110">
          <cell r="A110" t="str">
            <v>Р. Македонија - државна обврзница DO2017/02-0132dk</v>
          </cell>
        </row>
        <row r="111">
          <cell r="A111" t="str">
            <v>Р. Македонија - државна обврзница DO2023/01-0138</v>
          </cell>
        </row>
        <row r="112">
          <cell r="A112" t="str">
            <v>Р. Македонија - државна обврзница DO2015/05-0230dk</v>
          </cell>
        </row>
        <row r="113">
          <cell r="A113" t="str">
            <v>Р. Македонија - државна обврзница DO2015/09-0325</v>
          </cell>
        </row>
        <row r="114">
          <cell r="A114" t="str">
            <v>Р. Македонија - државна обврзница DO2015/10-0330dk</v>
          </cell>
        </row>
        <row r="115">
          <cell r="A115" t="str">
            <v>Р.Македонија - државна обврзница DO2024/08-0439</v>
          </cell>
        </row>
        <row r="116">
          <cell r="A116" t="str">
            <v>Р.Македонија - државна обврзница DO2024/09-0439dk</v>
          </cell>
        </row>
        <row r="117">
          <cell r="A117" t="str">
            <v>Р. Македонија - државна обврзница DO2022/05-0537</v>
          </cell>
        </row>
        <row r="118">
          <cell r="A118" t="str">
            <v>Р. Македонија - државна обврзница DO2022/01-0137</v>
          </cell>
        </row>
        <row r="119">
          <cell r="A119" t="str">
            <v>Р. Македонија - државна обврзница DO2020/02-0235</v>
          </cell>
        </row>
        <row r="120">
          <cell r="A120" t="str">
            <v>Р. Македонија - државна обврзница DO2023/11-0738</v>
          </cell>
        </row>
        <row r="121">
          <cell r="A121" t="str">
            <v>Р. Македонија - државна обврзница DO2022/14-1037</v>
          </cell>
        </row>
        <row r="122">
          <cell r="A122" t="str">
            <v>Р. Македонија - државна обврзница DO2016/01-0126dk</v>
          </cell>
        </row>
        <row r="123">
          <cell r="A123" t="str">
            <v>Р. Македонија - државна обврзница DO2016/02-0131dk</v>
          </cell>
        </row>
        <row r="124">
          <cell r="A124" t="str">
            <v>Р. Македонија - државна обврзница DO2021/01-0136</v>
          </cell>
        </row>
        <row r="125">
          <cell r="A125" t="str">
            <v>Р. Македонија - државна обврзница DO2016/12-0431dk</v>
          </cell>
        </row>
        <row r="126">
          <cell r="A126" t="str">
            <v>Р. Македонија - државна обврзница DO2022/04-0437dk</v>
          </cell>
        </row>
        <row r="127">
          <cell r="A127" t="str">
            <v>Р. Македонија - државна обврзница DO2021/09-0526</v>
          </cell>
        </row>
        <row r="128">
          <cell r="A128" t="str">
            <v>Р. Македонија - државна обврзница DO2016/23-1031dk</v>
          </cell>
        </row>
        <row r="129">
          <cell r="A129" t="str">
            <v>Р. Македонија - државна обврзница DO2021/15-1036</v>
          </cell>
        </row>
        <row r="130">
          <cell r="A130" t="str">
            <v>Р.Македонија - државна обврзница DO2023/21-1226</v>
          </cell>
        </row>
        <row r="131">
          <cell r="A131" t="str">
            <v>Р.Македонија - државна обврзница DO2023/22-1238</v>
          </cell>
        </row>
        <row r="132">
          <cell r="A132" t="str">
            <v>Р. Македонија - државна обврзница DO2018/08-0233dk</v>
          </cell>
        </row>
        <row r="133">
          <cell r="A133" t="str">
            <v>Р. Македонија - државна обврзница DO2021/07-0436</v>
          </cell>
        </row>
        <row r="134">
          <cell r="A134" t="str">
            <v>Р. Македонија - државна обврзница DO2021/08-0436dk</v>
          </cell>
        </row>
        <row r="135">
          <cell r="A135" t="str">
            <v>Р.Македонија - државна обврзница DO2023/08-0638</v>
          </cell>
        </row>
        <row r="136">
          <cell r="A136" t="str">
            <v>Р.Македонија - државна обврзница DO2023/09-0638dk</v>
          </cell>
        </row>
        <row r="137">
          <cell r="A137" t="str">
            <v>Р. Македонија - државна обврзница DO2020/08-1030</v>
          </cell>
        </row>
        <row r="138">
          <cell r="A138" t="str">
            <v>Р. Македонија - државна обврзница DO2020/09-1030dk</v>
          </cell>
        </row>
        <row r="139">
          <cell r="A139" t="str">
            <v>Р.Македонија - државна обврзница DO2023/03-225</v>
          </cell>
        </row>
        <row r="140">
          <cell r="A140" t="str">
            <v>Р. Македонија - државна обврзница DO2017/06-0232dk</v>
          </cell>
        </row>
        <row r="141">
          <cell r="A141" t="str">
            <v>Р. Македонија - државна обврзница DO2015/15-0430dk</v>
          </cell>
        </row>
        <row r="142">
          <cell r="A142" t="str">
            <v>Р. Македонија - државна обврзница DO2019/09-0534</v>
          </cell>
        </row>
        <row r="143">
          <cell r="A143" t="str">
            <v>Р.Македонија - државна обврзница DO2022/06-0637</v>
          </cell>
        </row>
        <row r="144">
          <cell r="A144" t="str">
            <v>Р.Македонија - државна обврзница DO2022/07-0637dk</v>
          </cell>
        </row>
        <row r="145">
          <cell r="A145" t="str">
            <v>Р. Македонија - државна обврзница DO2021/14-0936</v>
          </cell>
        </row>
        <row r="146">
          <cell r="A146" t="str">
            <v>Р. Македонија - државна обврзница DO2014/27-1024</v>
          </cell>
        </row>
        <row r="147">
          <cell r="A147" t="str">
            <v>Р. Македонија - државна обврзница DO2014/28-1024dk</v>
          </cell>
        </row>
        <row r="148">
          <cell r="A148" t="str">
            <v>Р.Македонија - државна обврзница DO2023/20-1138</v>
          </cell>
        </row>
        <row r="149">
          <cell r="A149" t="str">
            <v>Р. Македонија - државна обврзница DO2021/17-1224</v>
          </cell>
        </row>
        <row r="150">
          <cell r="A150" t="str">
            <v>Р. Македонија - државна обврзница DO2016/08-0331dk</v>
          </cell>
        </row>
        <row r="151">
          <cell r="A151" t="str">
            <v>Р. Македонија - државна обврзница DO2021/10-0636</v>
          </cell>
        </row>
        <row r="152">
          <cell r="A152" t="str">
            <v>Р. Македонија - државна обврзница DO2021/11-0636dk</v>
          </cell>
        </row>
        <row r="153">
          <cell r="A153" t="str">
            <v>Р. Македонија - државна обврзница DO2017/24-0832dk</v>
          </cell>
        </row>
        <row r="154">
          <cell r="A154" t="str">
            <v>Р. Македонија - државна обврзница DO2015/37-0930dk</v>
          </cell>
        </row>
        <row r="155">
          <cell r="A155" t="str">
            <v>Р. Македонија - државна обврзница DO2019/13-1024</v>
          </cell>
        </row>
        <row r="156">
          <cell r="A156" t="str">
            <v>Р.Македонија државна обврзница DO2022/15-1137</v>
          </cell>
        </row>
        <row r="157">
          <cell r="A157" t="str">
            <v>Р. Македонија - државна обврзница DO2015/45-1225dk</v>
          </cell>
        </row>
        <row r="158">
          <cell r="A158" t="str">
            <v>Р. Македонија - државна обврзница DO2019/06-0449dk</v>
          </cell>
        </row>
        <row r="159">
          <cell r="A159" t="str">
            <v>Р. Македонија - државна обврзница DO2020/06-0635</v>
          </cell>
        </row>
        <row r="160">
          <cell r="A160" t="str">
            <v>Р. Македонија - државна обврзница DO2019/10-0749dk</v>
          </cell>
        </row>
        <row r="161">
          <cell r="A161" t="str">
            <v>Р. Македонија - државна обврзница DO2016/17-0826</v>
          </cell>
        </row>
        <row r="162">
          <cell r="A162" t="str">
            <v>Р. Македонија - државна обврзница DO2016/18-0826dk</v>
          </cell>
        </row>
        <row r="163">
          <cell r="A163" t="str">
            <v>Р. Македонија - државна обврзница DO2016/19-0831dk</v>
          </cell>
        </row>
        <row r="164">
          <cell r="A164" t="str">
            <v>Р. Македонија - државна обврзница DО2022/11-0837dk</v>
          </cell>
        </row>
        <row r="165">
          <cell r="A165" t="str">
            <v>Р. Македонија - државна обврзница DO2018/23-1048dk</v>
          </cell>
        </row>
        <row r="166">
          <cell r="A166" t="str">
            <v>Р. Македонија - државна обврзница DO2021/16-1136dk</v>
          </cell>
        </row>
        <row r="167">
          <cell r="A167" t="str">
            <v>Р. Македонија - државна обврзница DO2018/15-0748dk</v>
          </cell>
        </row>
        <row r="168">
          <cell r="A168" t="str">
            <v>Р. Македонија - државна обврзница DO2019/12-0934</v>
          </cell>
          <cell r="B168">
            <v>100</v>
          </cell>
        </row>
        <row r="169">
          <cell r="A169" t="str">
            <v>Р. Македонија - државна обврзница DO2017/32-1032dk</v>
          </cell>
        </row>
        <row r="170">
          <cell r="A170" t="str">
            <v>Р. Македонија - државна обврзница DO2015/42-1125dk</v>
          </cell>
        </row>
        <row r="171">
          <cell r="A171" t="str">
            <v>Р. Македонија - државна обврзница DO2015/43-1130dk</v>
          </cell>
        </row>
        <row r="172">
          <cell r="A172" t="str">
            <v>Р. Македонија - државна обврзница DO2017/20-0732dk</v>
          </cell>
        </row>
        <row r="173">
          <cell r="A173" t="str">
            <v>Р. Македонија - државна обврзница DO2023/13-0738</v>
          </cell>
        </row>
        <row r="174">
          <cell r="A174" t="str">
            <v>Р. Македонија - државна обврзница DO2015/32-0825</v>
          </cell>
        </row>
        <row r="175">
          <cell r="A175" t="str">
            <v>Р. Македонија - државна обврзница DO2015/33-0830dk</v>
          </cell>
        </row>
        <row r="176">
          <cell r="A176" t="str">
            <v>Р. Македонија - државна обврзница DO2018/19-0933</v>
          </cell>
        </row>
        <row r="177">
          <cell r="A177" t="str">
            <v>Р. Македонија - државна обврзница DO2018/20-0933dk</v>
          </cell>
        </row>
        <row r="178">
          <cell r="A178" t="str">
            <v>Р. Македонија - државна обврзница DO2015/18-0525dk</v>
          </cell>
        </row>
        <row r="179">
          <cell r="A179" t="str">
            <v>Р. Македонија - државна обврзница DO2018/13-0633dk</v>
          </cell>
        </row>
        <row r="180">
          <cell r="A180" t="str">
            <v>Р. Македонија - државна обврзница DO2014/18-0824dk</v>
          </cell>
        </row>
        <row r="181">
          <cell r="A181" t="str">
            <v>Р. Македонија - државна обврзница DO2017/27-0932dk</v>
          </cell>
        </row>
        <row r="182">
          <cell r="A182" t="str">
            <v>Р.Македонија - државна обврзница DO2023/17-0938</v>
          </cell>
        </row>
        <row r="183">
          <cell r="A183" t="str">
            <v>Р. Македонија - државна обврзница DO2016/03-0131dk</v>
          </cell>
        </row>
        <row r="184">
          <cell r="A184" t="str">
            <v>Р. Македонија - државна обврзница DO2017/17-0632dk</v>
          </cell>
        </row>
        <row r="185">
          <cell r="A185" t="str">
            <v>Р. Македонија - државна обврзница DO2016/21-0931dk</v>
          </cell>
        </row>
        <row r="186">
          <cell r="A186" t="str">
            <v>Р. Македонија - државна обврзница DO2018/27-1133dk</v>
          </cell>
        </row>
        <row r="187">
          <cell r="A187" t="str">
            <v>Р. Македонија - државна обврзница DO2016/29-1231dk</v>
          </cell>
        </row>
        <row r="188">
          <cell r="A188" t="str">
            <v>Р. Македонија - државна обврзница DO2017/10-0332dk</v>
          </cell>
        </row>
        <row r="189">
          <cell r="A189" t="str">
            <v>Р. Македонија - државна обврзница DO2016/14-0631dk</v>
          </cell>
        </row>
        <row r="190">
          <cell r="A190" t="str">
            <v>Р. Македонија - државна обврзница DO2015/27-0725dk</v>
          </cell>
        </row>
        <row r="191">
          <cell r="A191" t="str">
            <v>Р. Македонија - државна обврзница DO2015/28-0730dk</v>
          </cell>
        </row>
        <row r="192">
          <cell r="A192" t="str">
            <v>Р. Македонија - државна обврзница DO2017/36-1132dk</v>
          </cell>
        </row>
        <row r="193">
          <cell r="A193" t="str">
            <v>Р. Македонија - државна обврзница DO2016/09-0326</v>
          </cell>
        </row>
        <row r="194">
          <cell r="A194" t="str">
            <v>Р. Македонија - државна обврзница DO2015/38-0925dk</v>
          </cell>
        </row>
        <row r="195">
          <cell r="A195" t="str">
            <v>Р. Македонија - државна обврзница DO2015/39-0930dk</v>
          </cell>
        </row>
        <row r="196">
          <cell r="A196" t="str">
            <v>Р. Македонија - државна обврзница DO2015/46-1225dk</v>
          </cell>
        </row>
        <row r="197">
          <cell r="A197" t="str">
            <v>Р. Македонија - државна обврзница DO2018/04-0133</v>
          </cell>
        </row>
        <row r="198">
          <cell r="A198" t="str">
            <v>Р. Македонија - државна обврзница DO2018/05-0133dk</v>
          </cell>
        </row>
        <row r="199">
          <cell r="A199" t="str">
            <v>Р. Македонија - државна обврзница DO2015/20-0625</v>
          </cell>
        </row>
        <row r="200">
          <cell r="A200" t="str">
            <v>Р. Македонија - државна обврзница DO2015/21-0625dk</v>
          </cell>
        </row>
        <row r="201">
          <cell r="A201" t="str">
            <v>Р. Македонија - државна обврзница DO2015/22-0630dk</v>
          </cell>
        </row>
        <row r="202">
          <cell r="A202" t="str">
            <v>Р. Македонија - државна обврзница DO2017/05-0132dk</v>
          </cell>
        </row>
        <row r="203">
          <cell r="A203" t="str">
            <v>Р. Македонија - државна обврзница DO2015/08-0230dk</v>
          </cell>
        </row>
        <row r="204">
          <cell r="A204" t="str">
            <v>Р. Македонија - државна обврзница DO2015/12-0325</v>
          </cell>
        </row>
        <row r="205">
          <cell r="A205" t="str">
            <v>Р. Македонија - државна обврзница DO2015/13-0330dk</v>
          </cell>
        </row>
        <row r="206">
          <cell r="A206" t="str">
            <v>Р. Македонија - државна обврзница DO2018/11-0448dk</v>
          </cell>
        </row>
        <row r="207">
          <cell r="A207" t="str">
            <v>Р.Македонија - државна обврзница DO2023/07-0538dk</v>
          </cell>
        </row>
        <row r="208">
          <cell r="A208" t="str">
            <v>Р. Македонија - државна обврзница DO2022/02-0125</v>
          </cell>
        </row>
        <row r="209">
          <cell r="A209" t="str">
            <v>Р. Македонија - државна обврзница DO2015/34-0825</v>
          </cell>
        </row>
        <row r="210">
          <cell r="A210" t="str">
            <v>Р. Македонија - државна обврзница DO2015/35-0825dk</v>
          </cell>
        </row>
        <row r="211">
          <cell r="A211" t="str">
            <v>Р. Македонија - државна обврзница DO2015/36-0830dk</v>
          </cell>
        </row>
        <row r="212">
          <cell r="A212" t="str">
            <v>Р. Македонија - државна обврзница DO2016/04-0131dk</v>
          </cell>
        </row>
        <row r="213">
          <cell r="A213" t="str">
            <v>Р. Македонија - државна обврзница DO2019/04-0234</v>
          </cell>
        </row>
        <row r="214">
          <cell r="A214" t="str">
            <v>Р. Македонија - државна обврзница DO2016/16-0731dk</v>
          </cell>
        </row>
        <row r="215">
          <cell r="A215" t="str">
            <v>Р.Македонија - државна обврзница DO2023/23-1238dk</v>
          </cell>
        </row>
        <row r="216">
          <cell r="A216" t="str">
            <v>Р. Македонија - државна обврзница DO2015/03-0125</v>
          </cell>
        </row>
        <row r="217">
          <cell r="A217" t="str">
            <v>Р. Македонија - државна обврзница DO2015/04-0125dk</v>
          </cell>
        </row>
        <row r="218">
          <cell r="A218" t="str">
            <v>Р. Македонија - државна обврзница DO2017/18-0632dk</v>
          </cell>
        </row>
        <row r="219">
          <cell r="A219" t="str">
            <v>Р. Македонија - државна обврзница DO2023/10-0638dk</v>
          </cell>
        </row>
        <row r="220">
          <cell r="A220" t="str">
            <v>Р. Македонија - државна обврзница DO2016/22-0931dk</v>
          </cell>
        </row>
        <row r="221">
          <cell r="A221" t="str">
            <v>Р. Македонија - државна обврзница DO2015/41-1030dk</v>
          </cell>
        </row>
        <row r="222">
          <cell r="A222" t="str">
            <v>Р. Македонија - државна обврзница DO2020/10-1035</v>
          </cell>
        </row>
        <row r="223">
          <cell r="A223" t="str">
            <v>Р. Македонија - државна обврзница DO2022/17-1237</v>
          </cell>
        </row>
        <row r="224">
          <cell r="A224" t="str">
            <v>Р. Македонија - државна обврзница DO2022/18-1237dk</v>
          </cell>
        </row>
        <row r="225">
          <cell r="A225" t="str">
            <v>Р. Македонија - државна обврзница DO2020/01-0150dk</v>
          </cell>
        </row>
        <row r="226">
          <cell r="A226" t="str">
            <v>Р. Македонија - државна обврзница DO2017/11-0332dk</v>
          </cell>
        </row>
        <row r="227">
          <cell r="A227" t="str">
            <v>Р. Македонија - државна обврзница DO2023/05-0338</v>
          </cell>
        </row>
        <row r="228">
          <cell r="A228" t="str">
            <v>Р. Македонија - државна обврзница DO2023/06-0338dk</v>
          </cell>
        </row>
        <row r="229">
          <cell r="A229" t="str">
            <v>Р. Македонија - државна обврзница DO2020/04-0450dk</v>
          </cell>
          <cell r="B229">
            <v>100</v>
          </cell>
        </row>
        <row r="230">
          <cell r="A230" t="str">
            <v>Р. Македонија - државна обврзница DO2022/08-0637</v>
          </cell>
        </row>
        <row r="231">
          <cell r="A231" t="str">
            <v>Р. Македонија - државна обврзница DO2015/29-0730dk</v>
          </cell>
        </row>
        <row r="232">
          <cell r="A232" t="str">
            <v>Р. Македонија - државна обврзница DO2014/30-1024dk</v>
          </cell>
        </row>
        <row r="233">
          <cell r="A233" t="str">
            <v>Р. Македонија - државна обврзница DO2017/37-1132dk</v>
          </cell>
        </row>
        <row r="234">
          <cell r="A234" t="str">
            <v>Р. Македонија - државна обврзница DO2019/02-0149dk</v>
          </cell>
        </row>
        <row r="235">
          <cell r="A235" t="str">
            <v>Р. Македонија - државна обврзница DO2016/10-0331dk</v>
          </cell>
        </row>
        <row r="236">
          <cell r="A236" t="str">
            <v>Р. Македонија - државна обврзница DO2019/14-1049dk</v>
          </cell>
        </row>
        <row r="237">
          <cell r="A237" t="str">
            <v>Р. Македонија - денационализација 14</v>
          </cell>
        </row>
        <row r="238">
          <cell r="A238" t="str">
            <v>Р. Македонија - денационализација 15</v>
          </cell>
        </row>
        <row r="239">
          <cell r="A239" t="str">
            <v>Р. Македонија - денационализација 16</v>
          </cell>
          <cell r="B239">
            <v>90</v>
          </cell>
        </row>
        <row r="240">
          <cell r="A240" t="str">
            <v>Р. Македонија - денационализација 17</v>
          </cell>
          <cell r="B240">
            <v>90</v>
          </cell>
        </row>
        <row r="241">
          <cell r="A241" t="str">
            <v>Р. Македонија - денационализација 18</v>
          </cell>
          <cell r="B241">
            <v>93</v>
          </cell>
        </row>
        <row r="242">
          <cell r="A242" t="str">
            <v>Р. Македонија - денационализација 19</v>
          </cell>
          <cell r="B242">
            <v>92</v>
          </cell>
        </row>
        <row r="243">
          <cell r="A243" t="str">
            <v>Р. Македонија - денационализација 20</v>
          </cell>
          <cell r="B243">
            <v>94</v>
          </cell>
        </row>
        <row r="244">
          <cell r="A244" t="str">
            <v>Р. Македонија - денационализација 21</v>
          </cell>
          <cell r="B244">
            <v>92</v>
          </cell>
        </row>
        <row r="245">
          <cell r="A245" t="str">
            <v>Р. Македонија - денационализација 22</v>
          </cell>
          <cell r="B245">
            <v>83.86</v>
          </cell>
        </row>
        <row r="246">
          <cell r="A246" t="str">
            <v>Р.Македонија - структурни обврзници општина Виница</v>
          </cell>
        </row>
        <row r="247">
          <cell r="A247" t="str">
            <v>Р.Македонија - структурни обврзници општина Желино</v>
          </cell>
          <cell r="B247">
            <v>97.1</v>
          </cell>
        </row>
        <row r="248">
          <cell r="A248" t="str">
            <v>Р.Македонија - структурни обврзници општина Тетово</v>
          </cell>
          <cell r="B248">
            <v>96</v>
          </cell>
        </row>
        <row r="249">
          <cell r="A249" t="str">
            <v>СН Осигурителен Брокер АД Битола - корпоративна обврзница I емисија</v>
          </cell>
          <cell r="B249">
            <v>90</v>
          </cell>
        </row>
        <row r="250">
          <cell r="A250" t="str">
            <v>ТТК банка АД Скопје - корпоративна обврзница I емисија</v>
          </cell>
          <cell r="B250">
            <v>100</v>
          </cell>
        </row>
        <row r="251">
          <cell r="A251" t="str">
            <v>ТТК банка АД Скопје - корпоративна обврзница II емисија</v>
          </cell>
        </row>
        <row r="252">
          <cell r="A252" t="str">
            <v>Р.Македонија - државна обврзница DO2023/18-1025</v>
          </cell>
        </row>
        <row r="253">
          <cell r="A253" t="str">
            <v>Берзанска котација - други хартии од вредност</v>
          </cell>
        </row>
        <row r="254">
          <cell r="A254" t="str">
            <v>Универзална Инвестициона Банка Скопје - перпетуални обврзници - втора емисија</v>
          </cell>
        </row>
        <row r="255">
          <cell r="A255" t="str">
            <v>Универзална Инвестициона Банка Скопје - перпетуални обврзници - трета емисија</v>
          </cell>
        </row>
        <row r="256">
          <cell r="A256" t="str">
            <v>Задолжителна котација - обични акции</v>
          </cell>
        </row>
        <row r="257">
          <cell r="A257" t="str">
            <v>Адинг Скопје</v>
          </cell>
          <cell r="B257">
            <v>1500</v>
          </cell>
        </row>
        <row r="258">
          <cell r="A258" t="str">
            <v>Агромеханика Скопје</v>
          </cell>
          <cell r="B258">
            <v>300</v>
          </cell>
        </row>
        <row r="259">
          <cell r="A259" t="str">
            <v>Ангропромет-Тиквешанка Кавадарци</v>
          </cell>
          <cell r="B259">
            <v>750</v>
          </cell>
        </row>
        <row r="260">
          <cell r="A260" t="str">
            <v>Аутомакедонија Скопје</v>
          </cell>
          <cell r="B260">
            <v>2950</v>
          </cell>
        </row>
        <row r="261">
          <cell r="A261" t="str">
            <v>Рудници Бањани Скопје</v>
          </cell>
          <cell r="B261">
            <v>603</v>
          </cell>
        </row>
        <row r="262">
          <cell r="A262" t="str">
            <v>Кристал 1923 АД Велес</v>
          </cell>
          <cell r="B262">
            <v>158</v>
          </cell>
        </row>
        <row r="263">
          <cell r="A263" t="str">
            <v>БИМ Свети Николе</v>
          </cell>
          <cell r="B263">
            <v>18001</v>
          </cell>
        </row>
        <row r="264">
          <cell r="A264" t="str">
            <v>ФЗЦ 11 Октомври Куманово</v>
          </cell>
          <cell r="B264">
            <v>220</v>
          </cell>
        </row>
        <row r="265">
          <cell r="A265" t="str">
            <v>Централна кооперативна банка Скопје</v>
          </cell>
          <cell r="B265">
            <v>350</v>
          </cell>
        </row>
        <row r="266">
          <cell r="A266" t="str">
            <v>Дебарски бањи Дебар</v>
          </cell>
          <cell r="B266">
            <v>1550</v>
          </cell>
        </row>
        <row r="267">
          <cell r="A267" t="str">
            <v>Димко Митрев Велес</v>
          </cell>
          <cell r="B267">
            <v>185</v>
          </cell>
        </row>
        <row r="268">
          <cell r="A268" t="str">
            <v>Европа Скопје</v>
          </cell>
          <cell r="B268">
            <v>3168</v>
          </cell>
        </row>
        <row r="269">
          <cell r="A269" t="str">
            <v>Факом Скопје</v>
          </cell>
          <cell r="B269">
            <v>6984</v>
          </cell>
        </row>
        <row r="270">
          <cell r="A270" t="str">
            <v>Фустеларко Борец Битола</v>
          </cell>
          <cell r="B270">
            <v>2101</v>
          </cell>
        </row>
        <row r="271">
          <cell r="A271" t="str">
            <v>Герас Цунев конфекција Струмица</v>
          </cell>
          <cell r="B271">
            <v>500</v>
          </cell>
        </row>
        <row r="272">
          <cell r="A272" t="str">
            <v>Герас Цунев трговија Струмица</v>
          </cell>
          <cell r="B272">
            <v>500</v>
          </cell>
        </row>
        <row r="273">
          <cell r="A273" t="str">
            <v>Грозд Струмица</v>
          </cell>
          <cell r="B273">
            <v>2250</v>
          </cell>
        </row>
        <row r="274">
          <cell r="A274" t="str">
            <v>Градски Трговски Центар Скопје</v>
          </cell>
          <cell r="B274">
            <v>1790</v>
          </cell>
        </row>
        <row r="275">
          <cell r="A275" t="str">
            <v>Интерпромет Тетово</v>
          </cell>
          <cell r="B275">
            <v>4500</v>
          </cell>
        </row>
        <row r="276">
          <cell r="A276" t="str">
            <v>Македонија осигурување АД Скопје - Виена Иншуренс Груп</v>
          </cell>
          <cell r="B276">
            <v>1200</v>
          </cell>
        </row>
        <row r="277">
          <cell r="A277" t="str">
            <v>Кланица со ладилник Струмица</v>
          </cell>
          <cell r="B277">
            <v>120</v>
          </cell>
        </row>
        <row r="278">
          <cell r="A278" t="str">
            <v>Фруктал МАК Скопје</v>
          </cell>
          <cell r="B278">
            <v>119</v>
          </cell>
        </row>
        <row r="279">
          <cell r="A279" t="str">
            <v>Карпош Скопје</v>
          </cell>
          <cell r="B279">
            <v>350</v>
          </cell>
        </row>
        <row r="280">
          <cell r="A280" t="str">
            <v>Лотарија на Македонија Скопје</v>
          </cell>
          <cell r="B280">
            <v>180</v>
          </cell>
        </row>
        <row r="281">
          <cell r="A281" t="str">
            <v>Пелистерка АД Скопје</v>
          </cell>
          <cell r="B281">
            <v>2619</v>
          </cell>
        </row>
        <row r="282">
          <cell r="A282" t="str">
            <v>Макпромет Штип</v>
          </cell>
          <cell r="B282">
            <v>600</v>
          </cell>
        </row>
        <row r="283">
          <cell r="A283" t="str">
            <v>Мермерен комбинат Прилеп</v>
          </cell>
          <cell r="B283">
            <v>3200</v>
          </cell>
        </row>
        <row r="284">
          <cell r="A284" t="str">
            <v>Мода Свети Николе</v>
          </cell>
          <cell r="B284">
            <v>99</v>
          </cell>
        </row>
        <row r="285">
          <cell r="A285" t="str">
            <v>Вабтек МЗТ Скопје</v>
          </cell>
        </row>
        <row r="286">
          <cell r="A286" t="str">
            <v>МЗТ Пумпи Скопје</v>
          </cell>
          <cell r="B286">
            <v>607</v>
          </cell>
        </row>
        <row r="287">
          <cell r="A287" t="str">
            <v>Огражден Струмица</v>
          </cell>
          <cell r="B287">
            <v>1900</v>
          </cell>
        </row>
        <row r="288">
          <cell r="A288" t="str">
            <v>Нова стоковна куќа Струмица</v>
          </cell>
          <cell r="B288">
            <v>61500</v>
          </cell>
        </row>
        <row r="289">
          <cell r="A289" t="str">
            <v>Оилко КДА Скопје</v>
          </cell>
          <cell r="B289">
            <v>6000</v>
          </cell>
        </row>
        <row r="290">
          <cell r="A290" t="str">
            <v>ОКТА Скопје</v>
          </cell>
          <cell r="B290">
            <v>5919</v>
          </cell>
        </row>
        <row r="291">
          <cell r="A291" t="str">
            <v>Оранжерии Хамзали Струмица</v>
          </cell>
          <cell r="B291">
            <v>300</v>
          </cell>
        </row>
        <row r="292">
          <cell r="A292" t="str">
            <v>Пекабеско Скопје</v>
          </cell>
          <cell r="B292">
            <v>16500</v>
          </cell>
        </row>
        <row r="293">
          <cell r="A293" t="str">
            <v>Попова Кула Демир Капија</v>
          </cell>
          <cell r="B293">
            <v>16</v>
          </cell>
        </row>
        <row r="294">
          <cell r="A294" t="str">
            <v>Прилепска Пиварница Прилеп</v>
          </cell>
          <cell r="B294">
            <v>34500</v>
          </cell>
        </row>
        <row r="295">
          <cell r="A295" t="str">
            <v>Раде Кончар Скопје</v>
          </cell>
          <cell r="B295">
            <v>2000</v>
          </cell>
        </row>
        <row r="296">
          <cell r="A296" t="str">
            <v>РЖ Економика Скопје</v>
          </cell>
          <cell r="B296">
            <v>50</v>
          </cell>
        </row>
        <row r="297">
          <cell r="A297" t="str">
            <v>Либерти АД Скопје</v>
          </cell>
          <cell r="B297">
            <v>20</v>
          </cell>
        </row>
        <row r="298">
          <cell r="A298" t="str">
            <v>РЖ Техничка контрола Скопје</v>
          </cell>
          <cell r="B298">
            <v>515</v>
          </cell>
        </row>
        <row r="299">
          <cell r="A299" t="str">
            <v>РЖ Уготур Скопје</v>
          </cell>
          <cell r="B299">
            <v>20</v>
          </cell>
        </row>
        <row r="300">
          <cell r="A300" t="str">
            <v>Современ дом Прилеп</v>
          </cell>
          <cell r="B300">
            <v>30</v>
          </cell>
        </row>
        <row r="301">
          <cell r="A301" t="str">
            <v>Силекс Кратово</v>
          </cell>
          <cell r="B301">
            <v>70</v>
          </cell>
        </row>
        <row r="302">
          <cell r="A302" t="str">
            <v>Славеј Скопје</v>
          </cell>
          <cell r="B302">
            <v>3100</v>
          </cell>
        </row>
        <row r="303">
          <cell r="A303" t="str">
            <v>Струмичко поле с.Василево</v>
          </cell>
        </row>
        <row r="304">
          <cell r="A304" t="str">
            <v>Сигурносно стакло Прилеп</v>
          </cell>
          <cell r="B304">
            <v>360</v>
          </cell>
        </row>
        <row r="305">
          <cell r="A305" t="str">
            <v>Стопанска банка Скопје</v>
          </cell>
        </row>
        <row r="306">
          <cell r="A306" t="str">
            <v>Стокопромет Скопје</v>
          </cell>
        </row>
        <row r="307">
          <cell r="A307" t="str">
            <v>ТЕАЛ-Алумина Тетово</v>
          </cell>
          <cell r="B307">
            <v>730</v>
          </cell>
        </row>
        <row r="308">
          <cell r="A308" t="str">
            <v>Технокомерц Скопје</v>
          </cell>
        </row>
        <row r="309">
          <cell r="A309" t="str">
            <v>Македонски Телеком Скопје</v>
          </cell>
          <cell r="B309">
            <v>417</v>
          </cell>
        </row>
        <row r="310">
          <cell r="A310" t="str">
            <v>ГД-Тиквеш Кавадарци</v>
          </cell>
          <cell r="B310">
            <v>1000</v>
          </cell>
        </row>
        <row r="311">
          <cell r="A311" t="str">
            <v>НЛБ Банка АД Скопје</v>
          </cell>
          <cell r="B311">
            <v>44263.5</v>
          </cell>
        </row>
        <row r="312">
          <cell r="A312" t="str">
            <v>Транскоп-Патнички сооб. Битола</v>
          </cell>
          <cell r="B312">
            <v>1800</v>
          </cell>
        </row>
        <row r="313">
          <cell r="A313" t="str">
            <v>Трготекстил малопродажба Скопје</v>
          </cell>
          <cell r="B313">
            <v>97</v>
          </cell>
        </row>
        <row r="314">
          <cell r="A314" t="str">
            <v>Универзална Инвестициона Банка Скопје</v>
          </cell>
          <cell r="B314">
            <v>7190</v>
          </cell>
        </row>
        <row r="315">
          <cell r="A315" t="str">
            <v>Цементарница УСЈЕ Скопје</v>
          </cell>
          <cell r="B315">
            <v>37150</v>
          </cell>
        </row>
        <row r="316">
          <cell r="A316" t="str">
            <v>Триглав осигурување Скопје</v>
          </cell>
          <cell r="B316">
            <v>7838</v>
          </cell>
        </row>
        <row r="317">
          <cell r="A317" t="str">
            <v>Ветекс Велес</v>
          </cell>
        </row>
        <row r="318">
          <cell r="A318" t="str">
            <v>ЖАС Скопје</v>
          </cell>
        </row>
        <row r="319">
          <cell r="A319" t="str">
            <v>Жито Караорман Кичево</v>
          </cell>
        </row>
        <row r="320">
          <cell r="A320" t="str">
            <v>Жито Полог Тетово</v>
          </cell>
        </row>
        <row r="321">
          <cell r="A321" t="str">
            <v>Задолжителна котација - приоритетни акции</v>
          </cell>
        </row>
        <row r="322">
          <cell r="A322" t="str">
            <v>Стопанска банка Скопје</v>
          </cell>
          <cell r="B322">
            <v>778</v>
          </cell>
        </row>
        <row r="323">
          <cell r="A323" t="str">
            <v>Редовен пазар</v>
          </cell>
        </row>
        <row r="324">
          <cell r="A324" t="str">
            <v>Пазар на акционерски друштва со посебни обврски за известување - обични акции</v>
          </cell>
        </row>
        <row r="325">
          <cell r="A325" t="str">
            <v>Шпаркасе банка Македонија АД Скопје</v>
          </cell>
        </row>
        <row r="326">
          <cell r="A326" t="str">
            <v>Слободен пазар - обични акции</v>
          </cell>
        </row>
        <row r="327">
          <cell r="A327" t="str">
            <v>Еуромак брокер АД Скопје</v>
          </cell>
        </row>
        <row r="328">
          <cell r="A328" t="str">
            <v>ЗИК Градиште Куманово</v>
          </cell>
        </row>
        <row r="329">
          <cell r="A329" t="str">
            <v>Караорман Скопје</v>
          </cell>
        </row>
        <row r="330">
          <cell r="A330" t="str">
            <v>Квасара Битола</v>
          </cell>
        </row>
        <row r="331">
          <cell r="A331" t="str">
            <v>Млекара АД Битола</v>
          </cell>
        </row>
        <row r="332">
          <cell r="A332" t="str">
            <v>РЖ Скопје-Инженеринг Скопје</v>
          </cell>
        </row>
        <row r="333">
          <cell r="A333" t="str">
            <v>АрцелорМиттал (ХРМ) АД Скопје - долгорочно суспендирано од котација</v>
          </cell>
        </row>
        <row r="334">
          <cell r="A334" t="str">
            <v>Пивара Скопје АД Скопје</v>
          </cell>
        </row>
        <row r="335">
          <cell r="A335" t="str">
            <v>БЛОКОВИ</v>
          </cell>
        </row>
        <row r="336">
          <cell r="A336" t="str">
            <v>Официјален пазар</v>
          </cell>
        </row>
        <row r="337">
          <cell r="A337" t="str">
            <v>Берзанска котација - обични акции</v>
          </cell>
        </row>
        <row r="338">
          <cell r="A338" t="str">
            <v>Тетекс Тетово</v>
          </cell>
        </row>
        <row r="339">
          <cell r="A339" t="str">
            <v>Вкупен промет на сите пазарни сегменти: 37.110.664,00</v>
          </cell>
        </row>
        <row r="340">
          <cell r="A340" t="str">
            <v>МБИ10</v>
          </cell>
        </row>
        <row r="341">
          <cell r="A341" t="str">
            <v>ОМБ</v>
          </cell>
        </row>
        <row r="342">
          <cell r="A342" t="str">
            <v>1 EUR = 61,4835 МКД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  <cell r="B6">
            <v>23468.23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  <cell r="B8">
            <v>22128.55</v>
          </cell>
        </row>
        <row r="9">
          <cell r="A9" t="str">
            <v>Фершпед Скопје</v>
          </cell>
          <cell r="B9">
            <v>53560</v>
          </cell>
        </row>
        <row r="10">
          <cell r="A10" t="str">
            <v>Гранит Скопје</v>
          </cell>
          <cell r="B10">
            <v>1440</v>
          </cell>
        </row>
        <row r="11">
          <cell r="A11" t="str">
            <v>Интернешнел Хотелс АД Скопје</v>
          </cell>
          <cell r="B11">
            <v>4005</v>
          </cell>
        </row>
        <row r="12">
          <cell r="A12" t="str">
            <v>ДС Смитх АД Скопје</v>
          </cell>
          <cell r="B12">
            <v>480</v>
          </cell>
        </row>
        <row r="13">
          <cell r="A13" t="str">
            <v>Макотекс Скопје</v>
          </cell>
          <cell r="B13">
            <v>20</v>
          </cell>
        </row>
        <row r="14">
          <cell r="A14" t="str">
            <v>Макошпед Скопје</v>
          </cell>
        </row>
        <row r="15">
          <cell r="A15" t="str">
            <v>Хотели Метропол Охрид</v>
          </cell>
          <cell r="B15">
            <v>315</v>
          </cell>
        </row>
        <row r="16">
          <cell r="A16" t="str">
            <v>Макпетрол Скопје</v>
          </cell>
          <cell r="B16">
            <v>81499.61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  <cell r="B18">
            <v>14862.45</v>
          </cell>
        </row>
        <row r="19">
          <cell r="A19" t="str">
            <v>РЖ Интер-Трансшпед Скопје</v>
          </cell>
          <cell r="B19">
            <v>20</v>
          </cell>
        </row>
        <row r="20">
          <cell r="A20" t="str">
            <v>РЖ Услуги Скопје</v>
          </cell>
          <cell r="B20">
            <v>45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  <cell r="B35">
            <v>100</v>
          </cell>
        </row>
        <row r="36">
          <cell r="A36" t="str">
            <v>Р.Македонија - државна обврзница DO2023/19-1125</v>
          </cell>
        </row>
        <row r="37">
          <cell r="A37" t="str">
            <v>Р. Македонија - државна обврзница DO2023/12-0725</v>
          </cell>
        </row>
        <row r="38">
          <cell r="A38" t="str">
            <v>Р. Македонија - државна обврзница DO2021/05-0428</v>
          </cell>
        </row>
        <row r="39">
          <cell r="A39" t="str">
            <v>Р. Македонија - државна обврзница DO2021/06-0428dk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Р.Македонија државна обврзница DO2022/16-1237</v>
          </cell>
        </row>
        <row r="44">
          <cell r="A44" t="str">
            <v>Р.Македонија - државна обврзница DO2024/01-0126</v>
          </cell>
        </row>
        <row r="45">
          <cell r="A45" t="str">
            <v>Р.Македонија - државна обврзница DO2024/02-0127</v>
          </cell>
        </row>
        <row r="46">
          <cell r="A46" t="str">
            <v>Р. Македонија - државна обврзница DO2014/23-1024</v>
          </cell>
        </row>
        <row r="47">
          <cell r="A47" t="str">
            <v>Р. Македонија - државна обврзница DO2017/35-1132dk</v>
          </cell>
        </row>
        <row r="48">
          <cell r="A48" t="str">
            <v>Р. Македонија - државна обврзница DO2022/03-0337</v>
          </cell>
        </row>
        <row r="49">
          <cell r="A49" t="str">
            <v>Р. Македонија - државна обврзница DO2023/04-0338</v>
          </cell>
        </row>
        <row r="50">
          <cell r="A50" t="str">
            <v>Р. Македонија - државна обврзница DO2016/26-1131dk</v>
          </cell>
        </row>
        <row r="51">
          <cell r="A51" t="str">
            <v>Р. Македонија - државна обврзница DO2015/44-1230dk</v>
          </cell>
        </row>
        <row r="52">
          <cell r="A52" t="str">
            <v>Р. Македонија - државна обврзница DO2020/15-1235dk</v>
          </cell>
        </row>
        <row r="53">
          <cell r="A53" t="str">
            <v>Р. Македонија - државна обврзница DO2021/04-0336</v>
          </cell>
        </row>
        <row r="54">
          <cell r="A54" t="str">
            <v>Р. Македонија - државна обврзница DO2017/14-0532dk</v>
          </cell>
        </row>
        <row r="55">
          <cell r="A55" t="str">
            <v>Р. Македонија - државна обврзница DO2015/19-0630dk</v>
          </cell>
        </row>
        <row r="56">
          <cell r="A56" t="str">
            <v>Р.Македонија - државна обврзница DO2022/09-0837</v>
          </cell>
        </row>
        <row r="57">
          <cell r="A57" t="str">
            <v>Р.Македонија - државна обврзница DO2022/10-0837dk</v>
          </cell>
        </row>
        <row r="58">
          <cell r="A58" t="str">
            <v>Р. Македонија - државна обврзница DO2023/14-0838</v>
          </cell>
        </row>
        <row r="59">
          <cell r="A59" t="str">
            <v>Р. Македонија - државна обврзница DO2014/19-0924dk</v>
          </cell>
        </row>
        <row r="60">
          <cell r="A60" t="str">
            <v>Р. Македонија - државна обврзница DO2014/38-1224</v>
          </cell>
        </row>
        <row r="61">
          <cell r="A61" t="str">
            <v>Р. Македонија - државна обврзница DO2020/03-0325</v>
          </cell>
        </row>
        <row r="62">
          <cell r="A62" t="str">
            <v>Р. Македонија - државна обврзница ДО2021/13-0836</v>
          </cell>
        </row>
        <row r="63">
          <cell r="A63" t="str">
            <v>Р. Македонија - државна обврзница DO2017/30-1032dk</v>
          </cell>
        </row>
        <row r="64">
          <cell r="A64" t="str">
            <v>Р. Македонија - државна обврзница DO2020/12-1125</v>
          </cell>
        </row>
        <row r="65">
          <cell r="A65" t="str">
            <v>Р. Македонија - државна обврзница DO2019/16-1234dk</v>
          </cell>
        </row>
        <row r="66">
          <cell r="A66" t="str">
            <v>Р. Македонија - државна обврзница DO2017/12-0432dk</v>
          </cell>
        </row>
        <row r="67">
          <cell r="A67" t="str">
            <v>Р.Македонија - државна обврзница DO2024/12-0629</v>
          </cell>
        </row>
        <row r="68">
          <cell r="A68" t="str">
            <v>Р.Македонија - државна обврзница DO2024/13-0639</v>
          </cell>
        </row>
        <row r="69">
          <cell r="A69" t="str">
            <v>Р. Македонија - државна обврзница DO2017/19-0732dk</v>
          </cell>
        </row>
        <row r="70">
          <cell r="A70" t="str">
            <v>Р. Македонија - државна обврзница DO2015/30-0825dk</v>
          </cell>
        </row>
        <row r="71">
          <cell r="A71" t="str">
            <v>Р. Македонија - државна обврзница DO2015/31-0830dk</v>
          </cell>
        </row>
        <row r="72">
          <cell r="A72" t="str">
            <v>Р. Македонија - државна обврзница DO2020/07-0850dk</v>
          </cell>
        </row>
        <row r="73">
          <cell r="A73" t="str">
            <v>Р.Македонија - државна обврзница DO2024/06-0329</v>
          </cell>
        </row>
        <row r="74">
          <cell r="A74" t="str">
            <v>Р.Македонија - државна обврзница DO2024/07-0339</v>
          </cell>
        </row>
        <row r="75">
          <cell r="A75" t="str">
            <v>Р. Македонија - државна обврзница DO2016/11-0426dk</v>
          </cell>
        </row>
        <row r="76">
          <cell r="A76" t="str">
            <v>Р. Македонија - државна обврзница DO2015/17-0530dk</v>
          </cell>
        </row>
        <row r="77">
          <cell r="A77" t="str">
            <v>Р. Македонија - државна обврзница DO2018/12-0633</v>
          </cell>
        </row>
        <row r="78">
          <cell r="A78" t="str">
            <v>Р. Македонија - државна обврзница DO2017/26-0932dk</v>
          </cell>
        </row>
        <row r="79">
          <cell r="A79" t="str">
            <v>Р.Македонија - државна обврзница DO2023/15-0938</v>
          </cell>
        </row>
        <row r="80">
          <cell r="A80" t="str">
            <v>Р.Македонија - државна обврзница DO2023/16-0938dk</v>
          </cell>
        </row>
        <row r="81">
          <cell r="A81" t="str">
            <v>Р. Македонија - државна обврзница DO2019/15-1134</v>
          </cell>
        </row>
        <row r="82">
          <cell r="A82" t="str">
            <v>Р. Македонија - државна обврзница DO2017/38-1232dk</v>
          </cell>
        </row>
        <row r="83">
          <cell r="A83" t="str">
            <v>Р.Македонија - државна обврзница DO2024/04-0239</v>
          </cell>
        </row>
        <row r="84">
          <cell r="A84" t="str">
            <v>Р.Македонија - државна обврзница DO2024/05-0239</v>
          </cell>
        </row>
        <row r="85">
          <cell r="A85" t="str">
            <v>Р. Македонија - државна обврзница DO2018/10-0333dk</v>
          </cell>
        </row>
        <row r="86">
          <cell r="A86" t="str">
            <v>Р. Македонија - државна обврзница DO2017/16-0632dk</v>
          </cell>
        </row>
        <row r="87">
          <cell r="A87" t="str">
            <v>Р. Македонија - државна обврзница DO2016/15-0731dk</v>
          </cell>
        </row>
        <row r="88">
          <cell r="A88" t="str">
            <v>Р. Македонија - државна обврзница DO2019/11-0834dk</v>
          </cell>
        </row>
        <row r="89">
          <cell r="A89" t="str">
            <v>Р. Македонија - државна обврзница DO2015/40-1030dk</v>
          </cell>
        </row>
        <row r="90">
          <cell r="A90" t="str">
            <v>Р. Македонија - државна обврзница DO2023/02-0238</v>
          </cell>
        </row>
        <row r="91">
          <cell r="A91" t="str">
            <v>Р. Македонија - државна обврзница DO2017/08-0332dk</v>
          </cell>
        </row>
        <row r="92">
          <cell r="A92" t="str">
            <v>Р. Македонија - државна обврзница DO2016/13-0631dk</v>
          </cell>
        </row>
        <row r="93">
          <cell r="A93" t="str">
            <v>Р. Македонија - државна обврзница DO2015/23-0725</v>
          </cell>
        </row>
        <row r="94">
          <cell r="A94" t="str">
            <v>Р. Македонија - државна обврзница DO2015/24-0725dk</v>
          </cell>
        </row>
        <row r="95">
          <cell r="A95" t="str">
            <v>Р. Македонија - државна обврзница DO2015/25-0730dk</v>
          </cell>
        </row>
        <row r="96">
          <cell r="A96" t="str">
            <v>Р. Македонија - државна обврзница DO2018/17-0833dk</v>
          </cell>
        </row>
        <row r="97">
          <cell r="A97" t="str">
            <v>Р.Македонија државна обврзница DO2022/13-0937</v>
          </cell>
        </row>
        <row r="98">
          <cell r="A98" t="str">
            <v>Р.Македонија државна обврзница DO2022/12-0937dk</v>
          </cell>
        </row>
        <row r="99">
          <cell r="A99" t="str">
            <v>Р.Македонија - државна обврзница DO2024/10-0526</v>
          </cell>
        </row>
        <row r="100">
          <cell r="A100" t="str">
            <v>Р.Македонија - државна обврзница DO2024/11-0539</v>
          </cell>
        </row>
        <row r="101">
          <cell r="A101" t="str">
            <v>Р. Македонија - државна обврзница DO2017/22-0832dk</v>
          </cell>
        </row>
        <row r="102">
          <cell r="A102" t="str">
            <v>Р. Македонија - државна обврзница DO2018/02-0128</v>
          </cell>
        </row>
        <row r="103">
          <cell r="A103" t="str">
            <v>Р. Македонија - државна обврзница DO2018/03-0133dk</v>
          </cell>
        </row>
        <row r="104">
          <cell r="A104" t="str">
            <v>Р.Македонија - државна обврзница DO2024/03-0139</v>
          </cell>
        </row>
        <row r="105">
          <cell r="A105" t="str">
            <v>Р. Македонија - државна обврзница DO2016/05-0226</v>
          </cell>
        </row>
        <row r="106">
          <cell r="A106" t="str">
            <v>Р. Македонија - државна обврзница DO2016/06-0226dk</v>
          </cell>
        </row>
        <row r="107">
          <cell r="A107" t="str">
            <v>Р. Македонија - државна обврзница DO2016/07-0231dk</v>
          </cell>
        </row>
        <row r="108">
          <cell r="A108" t="str">
            <v>Р. Македонија - државна обврзница DO2023/06-0538</v>
          </cell>
        </row>
        <row r="109">
          <cell r="A109" t="str">
            <v>Р. Македонија - државна обврзница DO2017/02-0132dk</v>
          </cell>
        </row>
        <row r="110">
          <cell r="A110" t="str">
            <v>Р. Македонија - државна обврзница DO2023/01-0138</v>
          </cell>
        </row>
        <row r="111">
          <cell r="A111" t="str">
            <v>Р. Македонија - државна обврзница DO2015/05-0230dk</v>
          </cell>
        </row>
        <row r="112">
          <cell r="A112" t="str">
            <v>Р. Македонија - државна обврзница DO2015/09-0325</v>
          </cell>
        </row>
        <row r="113">
          <cell r="A113" t="str">
            <v>Р. Македонија - државна обврзница DO2015/10-0330dk</v>
          </cell>
        </row>
        <row r="114">
          <cell r="A114" t="str">
            <v>Р.Македонија - државна обврзница DO2024/08-0439</v>
          </cell>
        </row>
        <row r="115">
          <cell r="A115" t="str">
            <v>Р.Македонија - државна обврзница DO2024/09-0439dk</v>
          </cell>
        </row>
        <row r="116">
          <cell r="A116" t="str">
            <v>Р. Македонија - државна обврзница DO2022/05-0537</v>
          </cell>
        </row>
        <row r="117">
          <cell r="A117" t="str">
            <v>Р. Македонија - државна обврзница DO2022/01-0137</v>
          </cell>
        </row>
        <row r="118">
          <cell r="A118" t="str">
            <v>Р. Македонија - државна обврзница DO2020/02-0235</v>
          </cell>
        </row>
        <row r="119">
          <cell r="A119" t="str">
            <v>Р. Македонија - државна обврзница DO2023/11-0738</v>
          </cell>
        </row>
        <row r="120">
          <cell r="A120" t="str">
            <v>Р. Македонија - државна обврзница DO2022/14-1037</v>
          </cell>
        </row>
        <row r="121">
          <cell r="A121" t="str">
            <v>Р. Македонија - државна обврзница DO2016/01-0126dk</v>
          </cell>
        </row>
        <row r="122">
          <cell r="A122" t="str">
            <v>Р. Македонија - државна обврзница DO2016/02-0131dk</v>
          </cell>
        </row>
        <row r="123">
          <cell r="A123" t="str">
            <v>Р. Македонија - државна обврзница DO2021/01-0136</v>
          </cell>
        </row>
        <row r="124">
          <cell r="A124" t="str">
            <v>Р. Македонија - државна обврзница DO2016/12-0431dk</v>
          </cell>
        </row>
        <row r="125">
          <cell r="A125" t="str">
            <v>Р. Македонија - државна обврзница DO2022/04-0437dk</v>
          </cell>
        </row>
        <row r="126">
          <cell r="A126" t="str">
            <v>Р. Македонија - државна обврзница DO2021/09-0526</v>
          </cell>
        </row>
        <row r="127">
          <cell r="A127" t="str">
            <v>Р. Македонија - државна обврзница DO2016/23-1031dk</v>
          </cell>
        </row>
        <row r="128">
          <cell r="A128" t="str">
            <v>Р. Македонија - државна обврзница DO2021/15-1036</v>
          </cell>
        </row>
        <row r="129">
          <cell r="A129" t="str">
            <v>Р.Македонија - државна обврзница DO2023/21-1226</v>
          </cell>
        </row>
        <row r="130">
          <cell r="A130" t="str">
            <v>Р.Македонија - државна обврзница DO2023/22-1238</v>
          </cell>
        </row>
        <row r="131">
          <cell r="A131" t="str">
            <v>Р. Македонија - државна обврзница DO2018/08-0233dk</v>
          </cell>
        </row>
        <row r="132">
          <cell r="A132" t="str">
            <v>Р. Македонија - државна обврзница DO2021/07-0436</v>
          </cell>
        </row>
        <row r="133">
          <cell r="A133" t="str">
            <v>Р. Македонија - државна обврзница DO2021/08-0436dk</v>
          </cell>
        </row>
        <row r="134">
          <cell r="A134" t="str">
            <v>Р.Македонија - државна обврзница DO2023/08-0638</v>
          </cell>
        </row>
        <row r="135">
          <cell r="A135" t="str">
            <v>Р.Македонија - државна обврзница DO2023/09-0638dk</v>
          </cell>
        </row>
        <row r="136">
          <cell r="A136" t="str">
            <v>Р. Македонија - државна обврзница DO2020/08-1030</v>
          </cell>
        </row>
        <row r="137">
          <cell r="A137" t="str">
            <v>Р. Македонија - државна обврзница DO2020/09-1030dk</v>
          </cell>
        </row>
        <row r="138">
          <cell r="A138" t="str">
            <v>Р.Македонија - државна обврзница DO2023/03-225</v>
          </cell>
        </row>
        <row r="139">
          <cell r="A139" t="str">
            <v>Р. Македонија - државна обврзница DO2017/06-0232dk</v>
          </cell>
        </row>
        <row r="140">
          <cell r="A140" t="str">
            <v>Р. Македонија - државна обврзница DO2015/15-0430dk</v>
          </cell>
        </row>
        <row r="141">
          <cell r="A141" t="str">
            <v>Р. Македонија - државна обврзница DO2019/09-0534</v>
          </cell>
        </row>
        <row r="142">
          <cell r="A142" t="str">
            <v>Р.Македонија - државна обврзница DO2022/06-0637</v>
          </cell>
        </row>
        <row r="143">
          <cell r="A143" t="str">
            <v>Р.Македонија - државна обврзница DO2022/07-0637dk</v>
          </cell>
        </row>
        <row r="144">
          <cell r="A144" t="str">
            <v>Р. Македонија - државна обврзница DO2021/14-0936</v>
          </cell>
        </row>
        <row r="145">
          <cell r="A145" t="str">
            <v>Р. Македонија - државна обврзница DO2014/27-1024</v>
          </cell>
        </row>
        <row r="146">
          <cell r="A146" t="str">
            <v>Р. Македонија - државна обврзница DO2014/28-1024dk</v>
          </cell>
        </row>
        <row r="147">
          <cell r="A147" t="str">
            <v>Р.Македонија - државна обврзница DO2023/20-1138</v>
          </cell>
        </row>
        <row r="148">
          <cell r="A148" t="str">
            <v>Р. Македонија - државна обврзница DO2021/17-1224</v>
          </cell>
        </row>
        <row r="149">
          <cell r="A149" t="str">
            <v>Р. Македонија - државна обврзница DO2016/08-0331dk</v>
          </cell>
        </row>
        <row r="150">
          <cell r="A150" t="str">
            <v>Р. Македонија - државна обврзница DO2021/10-0636</v>
          </cell>
        </row>
        <row r="151">
          <cell r="A151" t="str">
            <v>Р. Македонија - државна обврзница DO2021/11-0636dk</v>
          </cell>
        </row>
        <row r="152">
          <cell r="A152" t="str">
            <v>Р. Македонија - државна обврзница DO2017/24-0832dk</v>
          </cell>
        </row>
        <row r="153">
          <cell r="A153" t="str">
            <v>Р. Македонија - државна обврзница DO2015/37-0930dk</v>
          </cell>
        </row>
        <row r="154">
          <cell r="A154" t="str">
            <v>Р. Македонија - државна обврзница DO2019/13-1024</v>
          </cell>
        </row>
        <row r="155">
          <cell r="A155" t="str">
            <v>Р.Македонија државна обврзница DO2022/15-1137</v>
          </cell>
        </row>
        <row r="156">
          <cell r="A156" t="str">
            <v>Р. Македонија - државна обврзница DO2015/45-1225dk</v>
          </cell>
        </row>
        <row r="157">
          <cell r="A157" t="str">
            <v>Р. Македонија - државна обврзница DO2019/06-0449dk</v>
          </cell>
        </row>
        <row r="158">
          <cell r="A158" t="str">
            <v>Р. Македонија - државна обврзница DO2020/06-0635</v>
          </cell>
        </row>
        <row r="159">
          <cell r="A159" t="str">
            <v>Р. Македонија - државна обврзница DO2019/10-0749dk</v>
          </cell>
        </row>
        <row r="160">
          <cell r="A160" t="str">
            <v>Р. Македонија - државна обврзница DO2016/17-0826</v>
          </cell>
        </row>
        <row r="161">
          <cell r="A161" t="str">
            <v>Р. Македонија - државна обврзница DO2016/18-0826dk</v>
          </cell>
        </row>
        <row r="162">
          <cell r="A162" t="str">
            <v>Р. Македонија - државна обврзница DO2016/19-0831dk</v>
          </cell>
        </row>
        <row r="163">
          <cell r="A163" t="str">
            <v>Р. Македонија - државна обврзница DО2022/11-0837dk</v>
          </cell>
        </row>
        <row r="164">
          <cell r="A164" t="str">
            <v>Р. Македонија - државна обврзница DO2018/23-1048dk</v>
          </cell>
        </row>
        <row r="165">
          <cell r="A165" t="str">
            <v>Р. Македонија - државна обврзница DO2021/16-1136dk</v>
          </cell>
        </row>
        <row r="166">
          <cell r="A166" t="str">
            <v>Р. Македонија - државна обврзница DO2018/15-0748dk</v>
          </cell>
        </row>
        <row r="167">
          <cell r="A167" t="str">
            <v>Р. Македонија - државна обврзница DO2019/12-0934</v>
          </cell>
        </row>
        <row r="168">
          <cell r="A168" t="str">
            <v>Р. Македонија - државна обврзница DO2017/32-1032dk</v>
          </cell>
        </row>
        <row r="169">
          <cell r="A169" t="str">
            <v>Р. Македонија - државна обврзница DO2015/42-1125dk</v>
          </cell>
        </row>
        <row r="170">
          <cell r="A170" t="str">
            <v>Р. Македонија - државна обврзница DO2015/43-1130dk</v>
          </cell>
        </row>
        <row r="171">
          <cell r="A171" t="str">
            <v>Р. Македонија - државна обврзница DO2017/20-0732dk</v>
          </cell>
        </row>
        <row r="172">
          <cell r="A172" t="str">
            <v>Р. Македонија - државна обврзница DO2023/13-0738</v>
          </cell>
        </row>
        <row r="173">
          <cell r="A173" t="str">
            <v>Р. Македонија - државна обврзница DO2015/32-0825</v>
          </cell>
        </row>
        <row r="174">
          <cell r="A174" t="str">
            <v>Р. Македонија - државна обврзница DO2015/33-0830dk</v>
          </cell>
        </row>
        <row r="175">
          <cell r="A175" t="str">
            <v>Р. Македонија - државна обврзница DO2018/19-0933</v>
          </cell>
        </row>
        <row r="176">
          <cell r="A176" t="str">
            <v>Р. Македонија - државна обврзница DO2018/20-0933dk</v>
          </cell>
        </row>
        <row r="177">
          <cell r="A177" t="str">
            <v>Р. Македонија - државна обврзница DO2015/18-0525dk</v>
          </cell>
        </row>
        <row r="178">
          <cell r="A178" t="str">
            <v>Р. Македонија - државна обврзница DO2018/13-0633dk</v>
          </cell>
        </row>
        <row r="179">
          <cell r="A179" t="str">
            <v>Р. Македонија - државна обврзница DO2014/18-0824dk</v>
          </cell>
        </row>
        <row r="180">
          <cell r="A180" t="str">
            <v>Р. Македонија - државна обврзница DO2017/27-0932dk</v>
          </cell>
        </row>
        <row r="181">
          <cell r="A181" t="str">
            <v>Р.Македонија - државна обврзница DO2023/17-0938</v>
          </cell>
        </row>
        <row r="182">
          <cell r="A182" t="str">
            <v>Р. Македонија - државна обврзница DO2016/03-0131dk</v>
          </cell>
        </row>
        <row r="183">
          <cell r="A183" t="str">
            <v>Р. Македонија - државна обврзница DO2017/17-0632dk</v>
          </cell>
        </row>
        <row r="184">
          <cell r="A184" t="str">
            <v>Р. Македонија - државна обврзница DO2016/21-0931dk</v>
          </cell>
        </row>
        <row r="185">
          <cell r="A185" t="str">
            <v>Р. Македонија - државна обврзница DO2018/27-1133dk</v>
          </cell>
        </row>
        <row r="186">
          <cell r="A186" t="str">
            <v>Р. Македонија - државна обврзница DO2016/29-1231dk</v>
          </cell>
        </row>
        <row r="187">
          <cell r="A187" t="str">
            <v>Р. Македонија - државна обврзница DO2017/10-0332dk</v>
          </cell>
        </row>
        <row r="188">
          <cell r="A188" t="str">
            <v>Р. Македонија - државна обврзница DO2016/14-0631dk</v>
          </cell>
        </row>
        <row r="189">
          <cell r="A189" t="str">
            <v>Р. Македонија - државна обврзница DO2015/27-0725dk</v>
          </cell>
        </row>
        <row r="190">
          <cell r="A190" t="str">
            <v>Р. Македонија - државна обврзница DO2015/28-0730dk</v>
          </cell>
        </row>
        <row r="191">
          <cell r="A191" t="str">
            <v>Р. Македонија - државна обврзница DO2017/36-1132dk</v>
          </cell>
        </row>
        <row r="192">
          <cell r="A192" t="str">
            <v>Р. Македонија - државна обврзница DO2016/09-0326</v>
          </cell>
        </row>
        <row r="193">
          <cell r="A193" t="str">
            <v>Р. Македонија - државна обврзница DO2014/17-0724dk</v>
          </cell>
        </row>
        <row r="194">
          <cell r="A194" t="str">
            <v>Р. Македонија - државна обврзница DO2015/38-0925dk</v>
          </cell>
        </row>
        <row r="195">
          <cell r="A195" t="str">
            <v>Р. Македонија - државна обврзница DO2015/39-0930dk</v>
          </cell>
        </row>
        <row r="196">
          <cell r="A196" t="str">
            <v>Р. Македонија - државна обврзница DO2015/46-1225dk</v>
          </cell>
        </row>
        <row r="197">
          <cell r="A197" t="str">
            <v>Р. Македонија - државна обврзница DO2018/04-0133</v>
          </cell>
        </row>
        <row r="198">
          <cell r="A198" t="str">
            <v>Р. Македонија - државна обврзница DO2018/05-0133dk</v>
          </cell>
        </row>
        <row r="199">
          <cell r="A199" t="str">
            <v>Р. Македонија - државна обврзница DO2015/20-0625</v>
          </cell>
        </row>
        <row r="200">
          <cell r="A200" t="str">
            <v>Р. Македонија - државна обврзница DO2015/21-0625dk</v>
          </cell>
        </row>
        <row r="201">
          <cell r="A201" t="str">
            <v>Р. Македонија - државна обврзница DO2015/22-0630dk</v>
          </cell>
        </row>
        <row r="202">
          <cell r="A202" t="str">
            <v>Р. Македонија - државна обврзница DO2017/05-0132dk</v>
          </cell>
        </row>
        <row r="203">
          <cell r="A203" t="str">
            <v>Р. Македонија - државна обврзница DO2015/08-0230dk</v>
          </cell>
        </row>
        <row r="204">
          <cell r="A204" t="str">
            <v>Р. Македонија - државна обврзница DO2015/12-0325</v>
          </cell>
        </row>
        <row r="205">
          <cell r="A205" t="str">
            <v>Р. Македонија - државна обврзница DO2015/13-0330dk</v>
          </cell>
        </row>
        <row r="206">
          <cell r="A206" t="str">
            <v>Р. Македонија - државна обврзница DO2018/11-0448dk</v>
          </cell>
        </row>
        <row r="207">
          <cell r="A207" t="str">
            <v>Р.Македонија - државна обврзница DO2023/07-0538dk</v>
          </cell>
        </row>
        <row r="208">
          <cell r="A208" t="str">
            <v>Р. Македонија - државна обврзница DO2022/02-0125</v>
          </cell>
        </row>
        <row r="209">
          <cell r="A209" t="str">
            <v>Р. Македонија - државна обврзница DO2015/34-0825</v>
          </cell>
        </row>
        <row r="210">
          <cell r="A210" t="str">
            <v>Р. Македонија - државна обврзница DO2015/35-0825dk</v>
          </cell>
        </row>
        <row r="211">
          <cell r="A211" t="str">
            <v>Р. Македонија - државна обврзница DO2015/36-0830dk</v>
          </cell>
        </row>
        <row r="212">
          <cell r="A212" t="str">
            <v>Р. Македонија - државна обврзница DO2016/04-0131dk</v>
          </cell>
        </row>
        <row r="213">
          <cell r="A213" t="str">
            <v>Р. Македонија - државна обврзница DO2019/04-0234</v>
          </cell>
          <cell r="B213">
            <v>107.1</v>
          </cell>
        </row>
        <row r="214">
          <cell r="A214" t="str">
            <v>Р. Македонија - државна обврзница DO2016/16-0731dk</v>
          </cell>
        </row>
        <row r="215">
          <cell r="A215" t="str">
            <v>Р.Македонија - државна обврзница DO2023/23-1238dk</v>
          </cell>
        </row>
        <row r="216">
          <cell r="A216" t="str">
            <v>Р. Македонија - државна обврзница DO2015/03-0125</v>
          </cell>
        </row>
        <row r="217">
          <cell r="A217" t="str">
            <v>Р. Македонија - државна обврзница DO2015/04-0125dk</v>
          </cell>
        </row>
        <row r="218">
          <cell r="A218" t="str">
            <v>Р. Македонија - државна обврзница DO2017/18-0632dk</v>
          </cell>
        </row>
        <row r="219">
          <cell r="A219" t="str">
            <v>Р. Македонија - државна обврзница DO2023/10-0638dk</v>
          </cell>
        </row>
        <row r="220">
          <cell r="A220" t="str">
            <v>Р. Македонија - држaвна обврзница DO2021/12-0724</v>
          </cell>
        </row>
        <row r="221">
          <cell r="A221" t="str">
            <v>Р. Македонија - државна обврзница DO2016/22-0931dk</v>
          </cell>
        </row>
        <row r="222">
          <cell r="A222" t="str">
            <v>Р. Македонија - државна обврзница DO2015/41-1030dk</v>
          </cell>
        </row>
        <row r="223">
          <cell r="A223" t="str">
            <v>Р. Македонија - државна обврзница DO2020/10-1035</v>
          </cell>
        </row>
        <row r="224">
          <cell r="A224" t="str">
            <v>Р. Македонија - државна обврзница DO2022/17-1237</v>
          </cell>
        </row>
        <row r="225">
          <cell r="A225" t="str">
            <v>Р. Македонија - државна обврзница DO2022/18-1237dk</v>
          </cell>
        </row>
        <row r="226">
          <cell r="A226" t="str">
            <v>Р. Македонија - државна обврзница DO2020/01-0150dk</v>
          </cell>
        </row>
        <row r="227">
          <cell r="A227" t="str">
            <v>Р. Македонија - државна обврзница DO2017/11-0332dk</v>
          </cell>
        </row>
        <row r="228">
          <cell r="A228" t="str">
            <v>Р. Македонија - државна обврзница DO2023/05-0338</v>
          </cell>
        </row>
        <row r="229">
          <cell r="A229" t="str">
            <v>Р. Македонија - државна обврзница DO2023/06-0338dk</v>
          </cell>
        </row>
        <row r="230">
          <cell r="A230" t="str">
            <v>Р. Македонија - државна обврзница DO2020/04-0450dk</v>
          </cell>
        </row>
        <row r="231">
          <cell r="A231" t="str">
            <v>Р. Македонија - државна обврзница DO2022/08-0637</v>
          </cell>
        </row>
        <row r="232">
          <cell r="A232" t="str">
            <v>Р. Македонија - државна обврзница DO2015/29-0730dk</v>
          </cell>
        </row>
        <row r="233">
          <cell r="A233" t="str">
            <v>Р. Македонија - државна обврзница DO2014/30-1024dk</v>
          </cell>
        </row>
        <row r="234">
          <cell r="A234" t="str">
            <v>Р. Македонија - државна обврзница DO2017/37-1132dk</v>
          </cell>
        </row>
        <row r="235">
          <cell r="A235" t="str">
            <v>Р. Македонија - државна обврзница DO2019/02-0149dk</v>
          </cell>
        </row>
        <row r="236">
          <cell r="A236" t="str">
            <v>Р. Македонија - државна обврзница DO2016/10-0331dk</v>
          </cell>
        </row>
        <row r="237">
          <cell r="A237" t="str">
            <v>Р. Македонија - државна обврзница DO2019/14-1049dk</v>
          </cell>
        </row>
        <row r="238">
          <cell r="A238" t="str">
            <v>Р. Македонија - денационализација 14</v>
          </cell>
        </row>
        <row r="239">
          <cell r="A239" t="str">
            <v>Р. Македонија - денационализација 15</v>
          </cell>
        </row>
        <row r="240">
          <cell r="A240" t="str">
            <v>Р. Македонија - денационализација 16</v>
          </cell>
        </row>
        <row r="241">
          <cell r="A241" t="str">
            <v>Р. Македонија - денационализација 17</v>
          </cell>
          <cell r="B241">
            <v>90</v>
          </cell>
        </row>
        <row r="242">
          <cell r="A242" t="str">
            <v>Р. Македонија - денационализација 18</v>
          </cell>
          <cell r="B242">
            <v>93</v>
          </cell>
        </row>
        <row r="243">
          <cell r="A243" t="str">
            <v>Р. Македонија - денационализација 19</v>
          </cell>
          <cell r="B243">
            <v>92</v>
          </cell>
        </row>
        <row r="244">
          <cell r="A244" t="str">
            <v>Р. Македонија - денационализација 20</v>
          </cell>
          <cell r="B244">
            <v>94</v>
          </cell>
        </row>
        <row r="245">
          <cell r="A245" t="str">
            <v>Р. Македонија - денационализација 21</v>
          </cell>
          <cell r="B245">
            <v>92</v>
          </cell>
        </row>
        <row r="246">
          <cell r="A246" t="str">
            <v>Р. Македонија - денационализација 22</v>
          </cell>
          <cell r="B246">
            <v>85</v>
          </cell>
        </row>
        <row r="247">
          <cell r="A247" t="str">
            <v>Р.Македонија - структурни обврзници општина Виница</v>
          </cell>
        </row>
        <row r="248">
          <cell r="A248" t="str">
            <v>Р.Македонија - структурни обврзници општина Желино</v>
          </cell>
          <cell r="B248">
            <v>97.1</v>
          </cell>
        </row>
        <row r="249">
          <cell r="A249" t="str">
            <v>Р.Македонија - структурни обврзници општина Тетово</v>
          </cell>
          <cell r="B249">
            <v>96</v>
          </cell>
        </row>
        <row r="250">
          <cell r="A250" t="str">
            <v>СН Осигурителен Брокер АД Битола - корпоративна обврзница I емисија</v>
          </cell>
          <cell r="B250">
            <v>90</v>
          </cell>
        </row>
        <row r="251">
          <cell r="A251" t="str">
            <v>ТТК банка АД Скопје - корпоративна обврзница I емисија</v>
          </cell>
          <cell r="B251">
            <v>100</v>
          </cell>
        </row>
        <row r="252">
          <cell r="A252" t="str">
            <v>ТТК банка АД Скопје - корпоративна обврзница II емисија</v>
          </cell>
        </row>
        <row r="253">
          <cell r="A253" t="str">
            <v>Р.Македонија - државна обврзница DO2023/18-1025</v>
          </cell>
        </row>
        <row r="254">
          <cell r="A254" t="str">
            <v>Берзанска котација - други хартии од вредност</v>
          </cell>
        </row>
        <row r="255">
          <cell r="A255" t="str">
            <v>Универзална Инвестициона Банка Скопје - перпетуални обврзници - втора емисија</v>
          </cell>
        </row>
        <row r="256">
          <cell r="A256" t="str">
            <v>Универзална Инвестициона Банка Скопје - перпетуални обврзници - трета емисија</v>
          </cell>
        </row>
        <row r="257">
          <cell r="A257" t="str">
            <v>Задолжителна котација - обични акции</v>
          </cell>
        </row>
        <row r="258">
          <cell r="A258" t="str">
            <v>Адинг Скопје</v>
          </cell>
          <cell r="B258">
            <v>1500</v>
          </cell>
        </row>
        <row r="259">
          <cell r="A259" t="str">
            <v>Агромеханика Скопје</v>
          </cell>
          <cell r="B259">
            <v>300</v>
          </cell>
        </row>
        <row r="260">
          <cell r="A260" t="str">
            <v>Ангропромет-Тиквешанка Кавадарци</v>
          </cell>
          <cell r="B260">
            <v>750</v>
          </cell>
        </row>
        <row r="261">
          <cell r="A261" t="str">
            <v>Аутомакедонија Скопје</v>
          </cell>
          <cell r="B261">
            <v>2950</v>
          </cell>
        </row>
        <row r="262">
          <cell r="A262" t="str">
            <v>Рудници Бањани Скопје</v>
          </cell>
          <cell r="B262">
            <v>603</v>
          </cell>
        </row>
        <row r="263">
          <cell r="A263" t="str">
            <v>Кристал 1923 АД Велес</v>
          </cell>
          <cell r="B263">
            <v>158</v>
          </cell>
        </row>
        <row r="264">
          <cell r="A264" t="str">
            <v>БИМ Свети Николе</v>
          </cell>
          <cell r="B264">
            <v>15550</v>
          </cell>
        </row>
        <row r="265">
          <cell r="A265" t="str">
            <v>ФЗЦ 11 Октомври Куманово</v>
          </cell>
          <cell r="B265">
            <v>220</v>
          </cell>
        </row>
        <row r="266">
          <cell r="A266" t="str">
            <v>Централна кооперативна банка Скопје</v>
          </cell>
          <cell r="B266">
            <v>350</v>
          </cell>
        </row>
        <row r="267">
          <cell r="A267" t="str">
            <v>Дебарски бањи Дебар</v>
          </cell>
          <cell r="B267">
            <v>1550</v>
          </cell>
        </row>
        <row r="268">
          <cell r="A268" t="str">
            <v>Димко Митрев Велес</v>
          </cell>
          <cell r="B268">
            <v>185</v>
          </cell>
        </row>
        <row r="269">
          <cell r="A269" t="str">
            <v>Европа Скопје</v>
          </cell>
          <cell r="B269">
            <v>3168</v>
          </cell>
        </row>
        <row r="270">
          <cell r="A270" t="str">
            <v>Факом Скопје</v>
          </cell>
          <cell r="B270">
            <v>6984</v>
          </cell>
        </row>
        <row r="271">
          <cell r="A271" t="str">
            <v>Фустеларко Борец Битола</v>
          </cell>
          <cell r="B271">
            <v>2101</v>
          </cell>
        </row>
        <row r="272">
          <cell r="A272" t="str">
            <v>Герас Цунев конфекција Струмица</v>
          </cell>
          <cell r="B272">
            <v>500</v>
          </cell>
        </row>
        <row r="273">
          <cell r="A273" t="str">
            <v>Герас Цунев трговија Струмица</v>
          </cell>
          <cell r="B273">
            <v>500</v>
          </cell>
        </row>
        <row r="274">
          <cell r="A274" t="str">
            <v>Грозд Струмица</v>
          </cell>
          <cell r="B274">
            <v>2250</v>
          </cell>
        </row>
        <row r="275">
          <cell r="A275" t="str">
            <v>Градски Трговски Центар Скопје</v>
          </cell>
          <cell r="B275">
            <v>1790</v>
          </cell>
        </row>
        <row r="276">
          <cell r="A276" t="str">
            <v>Интерпромет Тетово</v>
          </cell>
          <cell r="B276">
            <v>4500</v>
          </cell>
        </row>
        <row r="277">
          <cell r="A277" t="str">
            <v>Македонија осигурување АД Скопје - Виена Иншуренс Груп</v>
          </cell>
          <cell r="B277">
            <v>1200</v>
          </cell>
        </row>
        <row r="278">
          <cell r="A278" t="str">
            <v>Кланица со ладилник Струмица</v>
          </cell>
          <cell r="B278">
            <v>120</v>
          </cell>
        </row>
        <row r="279">
          <cell r="A279" t="str">
            <v>Фруктал МАК Скопје</v>
          </cell>
          <cell r="B279">
            <v>119</v>
          </cell>
        </row>
        <row r="280">
          <cell r="A280" t="str">
            <v>Карпош Скопје</v>
          </cell>
          <cell r="B280">
            <v>333</v>
          </cell>
        </row>
        <row r="281">
          <cell r="A281" t="str">
            <v>Лотарија на Македонија Скопје</v>
          </cell>
          <cell r="B281">
            <v>180</v>
          </cell>
        </row>
        <row r="282">
          <cell r="A282" t="str">
            <v>Пелистерка АД Скопје</v>
          </cell>
          <cell r="B282">
            <v>2619</v>
          </cell>
        </row>
        <row r="283">
          <cell r="A283" t="str">
            <v>Макпромет Штип</v>
          </cell>
          <cell r="B283">
            <v>600</v>
          </cell>
        </row>
        <row r="284">
          <cell r="A284" t="str">
            <v>Мермерен комбинат Прилеп</v>
          </cell>
          <cell r="B284">
            <v>3200</v>
          </cell>
        </row>
        <row r="285">
          <cell r="A285" t="str">
            <v>Мода Свети Николе</v>
          </cell>
          <cell r="B285">
            <v>99</v>
          </cell>
        </row>
        <row r="286">
          <cell r="A286" t="str">
            <v>Вабтек МЗТ Скопје</v>
          </cell>
          <cell r="B286">
            <v>3133</v>
          </cell>
        </row>
        <row r="287">
          <cell r="A287" t="str">
            <v>МЗТ Пумпи Скопје</v>
          </cell>
        </row>
        <row r="288">
          <cell r="A288" t="str">
            <v>Огражден Струмица</v>
          </cell>
          <cell r="B288">
            <v>1900</v>
          </cell>
        </row>
        <row r="289">
          <cell r="A289" t="str">
            <v>Нова стоковна куќа Струмица</v>
          </cell>
          <cell r="B289">
            <v>61500</v>
          </cell>
        </row>
        <row r="290">
          <cell r="A290" t="str">
            <v>Оилко КДА Скопје</v>
          </cell>
          <cell r="B290">
            <v>6000</v>
          </cell>
        </row>
        <row r="291">
          <cell r="A291" t="str">
            <v>ОКТА Скопје</v>
          </cell>
          <cell r="B291">
            <v>5348.65</v>
          </cell>
        </row>
        <row r="292">
          <cell r="A292" t="str">
            <v>Оранжерии Хамзали Струмица</v>
          </cell>
          <cell r="B292">
            <v>300</v>
          </cell>
        </row>
        <row r="293">
          <cell r="A293" t="str">
            <v>Пекабеско Скопје</v>
          </cell>
          <cell r="B293">
            <v>16500</v>
          </cell>
        </row>
        <row r="294">
          <cell r="A294" t="str">
            <v>Попова Кула Демир Капија</v>
          </cell>
          <cell r="B294">
            <v>16</v>
          </cell>
        </row>
        <row r="295">
          <cell r="A295" t="str">
            <v>Прилепска Пиварница Прилеп</v>
          </cell>
          <cell r="B295">
            <v>34500</v>
          </cell>
        </row>
        <row r="296">
          <cell r="A296" t="str">
            <v>Раде Кончар Скопје</v>
          </cell>
          <cell r="B296">
            <v>2000</v>
          </cell>
        </row>
        <row r="297">
          <cell r="A297" t="str">
            <v>РЖ Економика Скопје</v>
          </cell>
          <cell r="B297">
            <v>50</v>
          </cell>
        </row>
        <row r="298">
          <cell r="A298" t="str">
            <v>Либерти АД Скопје</v>
          </cell>
          <cell r="B298">
            <v>20</v>
          </cell>
        </row>
        <row r="299">
          <cell r="A299" t="str">
            <v>РЖ Техничка контрола Скопје</v>
          </cell>
          <cell r="B299">
            <v>500</v>
          </cell>
        </row>
        <row r="300">
          <cell r="A300" t="str">
            <v>РЖ Уготур Скопје</v>
          </cell>
          <cell r="B300">
            <v>20</v>
          </cell>
        </row>
        <row r="301">
          <cell r="A301" t="str">
            <v>Современ дом Прилеп</v>
          </cell>
          <cell r="B301">
            <v>30</v>
          </cell>
        </row>
        <row r="302">
          <cell r="A302" t="str">
            <v>Силекс Кратово</v>
          </cell>
          <cell r="B302">
            <v>70</v>
          </cell>
        </row>
        <row r="303">
          <cell r="A303" t="str">
            <v>Славеј Скопје</v>
          </cell>
          <cell r="B303">
            <v>3100</v>
          </cell>
        </row>
        <row r="304">
          <cell r="A304" t="str">
            <v>Струмичко поле с.Василево</v>
          </cell>
        </row>
        <row r="305">
          <cell r="A305" t="str">
            <v>Сигурносно стакло Прилеп</v>
          </cell>
        </row>
        <row r="306">
          <cell r="A306" t="str">
            <v>Стопанска банка Скопје</v>
          </cell>
          <cell r="B306">
            <v>1569.09</v>
          </cell>
        </row>
        <row r="307">
          <cell r="A307" t="str">
            <v>Стокопромет Скопје</v>
          </cell>
        </row>
        <row r="308">
          <cell r="A308" t="str">
            <v>ТЕАЛ-Алумина Тетово</v>
          </cell>
        </row>
        <row r="309">
          <cell r="A309" t="str">
            <v>Технокомерц Скопје</v>
          </cell>
          <cell r="B309">
            <v>1000</v>
          </cell>
        </row>
        <row r="310">
          <cell r="A310" t="str">
            <v>Македонски Телеком Скопје</v>
          </cell>
        </row>
        <row r="311">
          <cell r="A311" t="str">
            <v>ГД-Тиквеш Кавадарци</v>
          </cell>
          <cell r="B311">
            <v>1000</v>
          </cell>
        </row>
        <row r="312">
          <cell r="A312" t="str">
            <v>НЛБ Банка АД Скопје</v>
          </cell>
          <cell r="B312">
            <v>41326.84</v>
          </cell>
        </row>
        <row r="313">
          <cell r="A313" t="str">
            <v>Транскоп-Патнички сооб. Битола</v>
          </cell>
          <cell r="B313">
            <v>1800</v>
          </cell>
        </row>
        <row r="314">
          <cell r="A314" t="str">
            <v>Трготекстил малопродажба Скопје</v>
          </cell>
          <cell r="B314">
            <v>97</v>
          </cell>
        </row>
        <row r="315">
          <cell r="A315" t="str">
            <v>Универзална Инвестициона Банка Скопје</v>
          </cell>
          <cell r="B315">
            <v>6950</v>
          </cell>
        </row>
        <row r="316">
          <cell r="A316" t="str">
            <v>Цементарница УСЈЕ Скопје</v>
          </cell>
        </row>
        <row r="317">
          <cell r="A317" t="str">
            <v>Триглав осигурување Скопје</v>
          </cell>
        </row>
        <row r="318">
          <cell r="A318" t="str">
            <v>Ветекс Велес</v>
          </cell>
        </row>
        <row r="319">
          <cell r="A319" t="str">
            <v>ЖАС Скопје</v>
          </cell>
        </row>
        <row r="320">
          <cell r="A320" t="str">
            <v>Жито Караорман Кичево</v>
          </cell>
        </row>
        <row r="321">
          <cell r="A321" t="str">
            <v>Жито Полог Тетово</v>
          </cell>
        </row>
        <row r="322">
          <cell r="A322" t="str">
            <v>Задолжителна котација - приоритетни акции</v>
          </cell>
        </row>
        <row r="323">
          <cell r="A323" t="str">
            <v>Стопанска банка Скопје</v>
          </cell>
        </row>
        <row r="324">
          <cell r="A324" t="str">
            <v>Редовен пазар</v>
          </cell>
        </row>
        <row r="325">
          <cell r="A325" t="str">
            <v>Пазар на акционерски друштва со посебни обврски за известување - обични акции</v>
          </cell>
        </row>
        <row r="326">
          <cell r="A326" t="str">
            <v>Шпаркасе банка Македонија АД Скопје</v>
          </cell>
        </row>
        <row r="327">
          <cell r="A327" t="str">
            <v>Слободен пазар - обични акции</v>
          </cell>
        </row>
        <row r="328">
          <cell r="A328" t="str">
            <v>Еуромак брокер АД Скопје</v>
          </cell>
        </row>
        <row r="329">
          <cell r="A329" t="str">
            <v>ЗИК Градиште Куманово</v>
          </cell>
        </row>
        <row r="330">
          <cell r="A330" t="str">
            <v>Млекара АД Битола</v>
          </cell>
        </row>
        <row r="331">
          <cell r="A331" t="str">
            <v>АрцелорМиттал (ХРМ) АД Скопје - долгорочно суспендирано од котација</v>
          </cell>
        </row>
        <row r="332">
          <cell r="A332" t="str">
            <v>Пивара Скопје АД Скопје</v>
          </cell>
        </row>
        <row r="333">
          <cell r="A333" t="str">
            <v>Јавни берзански аукции</v>
          </cell>
        </row>
        <row r="334">
          <cell r="A334" t="str">
            <v>Продажба по модел „се или ништо“</v>
          </cell>
        </row>
        <row r="336">
          <cell r="A336" t="str">
            <v>БЛОКОВИ</v>
          </cell>
        </row>
        <row r="337">
          <cell r="A337" t="str">
            <v>Официјален пазар</v>
          </cell>
        </row>
        <row r="338">
          <cell r="A338" t="str">
            <v>Берзанска котација - обични акции</v>
          </cell>
        </row>
        <row r="339">
          <cell r="A339" t="str">
            <v>Гранит Скопје</v>
          </cell>
        </row>
        <row r="340">
          <cell r="A340" t="str">
            <v>Вкупен промет на сите пазарни сегменти: 51.785.140,00</v>
          </cell>
        </row>
        <row r="341">
          <cell r="A341" t="str">
            <v>МБИ10</v>
          </cell>
        </row>
        <row r="342">
          <cell r="A342" t="str">
            <v>ОМБ</v>
          </cell>
        </row>
        <row r="343">
          <cell r="A343" t="str">
            <v>1 EUR = 61,4890 МКД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  <cell r="B6">
            <v>21699.66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  <cell r="B8">
            <v>20589</v>
          </cell>
        </row>
        <row r="9">
          <cell r="A9" t="str">
            <v>Фершпед Скопје</v>
          </cell>
        </row>
        <row r="10">
          <cell r="A10" t="str">
            <v>Гранит Скопје</v>
          </cell>
          <cell r="B10">
            <v>1340</v>
          </cell>
        </row>
        <row r="11">
          <cell r="A11" t="str">
            <v>Интернешнел Хотелс АД Скопје</v>
          </cell>
          <cell r="B11">
            <v>4005</v>
          </cell>
        </row>
        <row r="12">
          <cell r="A12" t="str">
            <v>ДС Смитх АД Скопје</v>
          </cell>
        </row>
        <row r="13">
          <cell r="A13" t="str">
            <v>Макотекс Скопје</v>
          </cell>
          <cell r="B13">
            <v>20</v>
          </cell>
        </row>
        <row r="14">
          <cell r="A14" t="str">
            <v>Макошпед Скопје</v>
          </cell>
          <cell r="B14">
            <v>231</v>
          </cell>
        </row>
        <row r="15">
          <cell r="A15" t="str">
            <v>Хотели Метропол Охрид</v>
          </cell>
          <cell r="B15">
            <v>315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Р.Македонија - државна обврзница DO2023/19-1125</v>
          </cell>
        </row>
        <row r="37">
          <cell r="A37" t="str">
            <v>Р. Македонија - државна обврзница DO2023/12-0725</v>
          </cell>
        </row>
        <row r="38">
          <cell r="A38" t="str">
            <v>Р. Македонија - државна обврзница DO2021/05-0428</v>
          </cell>
        </row>
        <row r="39">
          <cell r="A39" t="str">
            <v>Р. Македонија - државна обврзница DO2021/06-0428dk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Р.Македонија државна обврзница DO2022/16-1237</v>
          </cell>
        </row>
        <row r="44">
          <cell r="A44" t="str">
            <v>Р.Македонија - државна обврзница DO2024/01-0126</v>
          </cell>
        </row>
        <row r="45">
          <cell r="A45" t="str">
            <v>Р.Македонија - државна обврзница DO2024/02-0127</v>
          </cell>
        </row>
        <row r="46">
          <cell r="A46" t="str">
            <v>Р. Македонија - државна обврзница DO2014/23-1024</v>
          </cell>
        </row>
        <row r="47">
          <cell r="A47" t="str">
            <v>Р. Македонија - државна обврзница DO2017/35-1132dk</v>
          </cell>
        </row>
        <row r="48">
          <cell r="A48" t="str">
            <v>Р. Македонија - државна обврзница DO2022/03-0337</v>
          </cell>
        </row>
        <row r="49">
          <cell r="A49" t="str">
            <v>Р. Македонија - државна обврзница DO2023/04-0338</v>
          </cell>
        </row>
        <row r="50">
          <cell r="A50" t="str">
            <v>Р. Македонија - државна обврзница DO2014/16-0724dk</v>
          </cell>
        </row>
        <row r="51">
          <cell r="A51" t="str">
            <v>Р. Македонија - државна обврзница DO2016/26-1131dk</v>
          </cell>
        </row>
        <row r="52">
          <cell r="A52" t="str">
            <v>Р. Македонија - државна обврзница DO2015/44-1230dk</v>
          </cell>
        </row>
        <row r="53">
          <cell r="A53" t="str">
            <v>Р. Македонија - државна обврзница DO2020/15-1235dk</v>
          </cell>
        </row>
        <row r="54">
          <cell r="A54" t="str">
            <v>Р. Македонија - државна обврзница DO2021/04-0336</v>
          </cell>
        </row>
        <row r="55">
          <cell r="A55" t="str">
            <v>Р. Македонија - државна обврзница DO2017/14-0532dk</v>
          </cell>
        </row>
        <row r="56">
          <cell r="A56" t="str">
            <v>Р. Македонија - државна обврзница DO2015/19-0630dk</v>
          </cell>
        </row>
        <row r="57">
          <cell r="A57" t="str">
            <v>Р.Македонија - државна обврзница DO2022/09-0837</v>
          </cell>
        </row>
        <row r="58">
          <cell r="A58" t="str">
            <v>Р.Македонија - државна обврзница DO2022/10-0837dk</v>
          </cell>
        </row>
        <row r="59">
          <cell r="A59" t="str">
            <v>Р. Македонија - државна обврзница DO2023/14-0838</v>
          </cell>
        </row>
        <row r="60">
          <cell r="A60" t="str">
            <v>Р. Македонија - државна обврзница DO2014/19-0924dk</v>
          </cell>
        </row>
        <row r="61">
          <cell r="A61" t="str">
            <v>Р. Македонија - државна обврзница DO2014/38-1224</v>
          </cell>
        </row>
        <row r="62">
          <cell r="A62" t="str">
            <v>Р. Македонија - државна обврзница DO2020/03-0325</v>
          </cell>
        </row>
        <row r="63">
          <cell r="A63" t="str">
            <v>Р. Македонија - државна обврзница ДО2021/13-0836</v>
          </cell>
        </row>
        <row r="64">
          <cell r="A64" t="str">
            <v>Р. Македонија - државна обврзница DO2017/30-1032dk</v>
          </cell>
        </row>
        <row r="65">
          <cell r="A65" t="str">
            <v>Р. Македонија - државна обврзница DO2020/12-1125</v>
          </cell>
        </row>
        <row r="66">
          <cell r="A66" t="str">
            <v>Р. Македонија - државна обврзница DO2019/16-1234dk</v>
          </cell>
        </row>
        <row r="67">
          <cell r="A67" t="str">
            <v>Р. Македонија - државна обврзница DO2017/12-0432dk</v>
          </cell>
        </row>
        <row r="68">
          <cell r="A68" t="str">
            <v>Р.Македонија - државна обврзница DO2024/12-0629</v>
          </cell>
        </row>
        <row r="69">
          <cell r="A69" t="str">
            <v>Р.Македонија - државна обврзница DO2024/13-0639</v>
          </cell>
        </row>
        <row r="70">
          <cell r="A70" t="str">
            <v>Р. Македонија - државна обврзница DO2017/19-0732dk</v>
          </cell>
        </row>
        <row r="71">
          <cell r="A71" t="str">
            <v>Р. Македонија - државна обврзница DO2015/30-0825dk</v>
          </cell>
        </row>
        <row r="72">
          <cell r="A72" t="str">
            <v>Р. Македонија - државна обврзница DO2015/31-0830dk</v>
          </cell>
        </row>
        <row r="73">
          <cell r="A73" t="str">
            <v>Р. Македонија - државна обврзница DO2020/07-0850dk</v>
          </cell>
        </row>
        <row r="74">
          <cell r="A74" t="str">
            <v>Р.Македонија - државна обврзница DO2024/06-0329</v>
          </cell>
        </row>
        <row r="75">
          <cell r="A75" t="str">
            <v>Р.Македонија - државна обврзница DO2024/07-0339</v>
          </cell>
        </row>
        <row r="76">
          <cell r="A76" t="str">
            <v>Р. Македонија - државна обврзница DO2016/11-0426dk</v>
          </cell>
        </row>
        <row r="77">
          <cell r="A77" t="str">
            <v>Р. Македонија - државна обврзница DO2015/17-0530dk</v>
          </cell>
        </row>
        <row r="78">
          <cell r="A78" t="str">
            <v>Р. Македонија - државна обврзница DO2018/12-0633</v>
          </cell>
        </row>
        <row r="79">
          <cell r="A79" t="str">
            <v>Р. Македонија - државна обврзница DO2017/26-0932dk</v>
          </cell>
        </row>
        <row r="80">
          <cell r="A80" t="str">
            <v>Р.Македонија - државна обврзница DO2023/15-0938</v>
          </cell>
        </row>
        <row r="81">
          <cell r="A81" t="str">
            <v>Р.Македонија - државна обврзница DO2023/16-0938dk</v>
          </cell>
        </row>
        <row r="82">
          <cell r="A82" t="str">
            <v>Р. Македонија - државна обврзница DO2019/15-1134</v>
          </cell>
        </row>
        <row r="83">
          <cell r="A83" t="str">
            <v>Р. Македонија - државна обврзница DO2017/38-1232dk</v>
          </cell>
        </row>
        <row r="84">
          <cell r="A84" t="str">
            <v>Р.Македонија - државна обврзница DO2024/04-0239</v>
          </cell>
        </row>
        <row r="85">
          <cell r="A85" t="str">
            <v>Р.Македонија - државна обврзница DO2024/05-0239</v>
          </cell>
        </row>
        <row r="86">
          <cell r="A86" t="str">
            <v>Р. Македонија - државна обврзница DO2018/10-0333dk</v>
          </cell>
        </row>
        <row r="87">
          <cell r="A87" t="str">
            <v>Р. Македонија - државна обврзница DO2017/16-0632dk</v>
          </cell>
        </row>
        <row r="88">
          <cell r="A88" t="str">
            <v>Р. Македонија - државна обврзница DO2016/15-0731dk</v>
          </cell>
        </row>
        <row r="89">
          <cell r="A89" t="str">
            <v>Р. Македонија - државна обврзница DO2019/11-0834dk</v>
          </cell>
        </row>
        <row r="90">
          <cell r="A90" t="str">
            <v>Р. Македонија - државна обврзница DO2015/40-1030dk</v>
          </cell>
        </row>
        <row r="91">
          <cell r="A91" t="str">
            <v>Р. Македонија - државна обврзница DO2023/02-0238</v>
          </cell>
        </row>
        <row r="92">
          <cell r="A92" t="str">
            <v>Р. Македонија - државна обврзница DO2017/08-0332dk</v>
          </cell>
        </row>
        <row r="93">
          <cell r="A93" t="str">
            <v>Р. Македонија - државна обврзница DO2016/13-0631dk</v>
          </cell>
        </row>
        <row r="94">
          <cell r="A94" t="str">
            <v>Р. Македонија - државна обврзница DO2015/23-0725</v>
          </cell>
        </row>
        <row r="95">
          <cell r="A95" t="str">
            <v>Р. Македонија - државна обврзница DO2015/24-0725dk</v>
          </cell>
        </row>
        <row r="96">
          <cell r="A96" t="str">
            <v>Р. Македонија - државна обврзница DO2015/25-0730dk</v>
          </cell>
        </row>
        <row r="97">
          <cell r="A97" t="str">
            <v>Р. Македонија - државна обврзница DO2018/17-0833dk</v>
          </cell>
        </row>
        <row r="98">
          <cell r="A98" t="str">
            <v>Р.Македонија државна обврзница DO2022/13-0937</v>
          </cell>
        </row>
        <row r="99">
          <cell r="A99" t="str">
            <v>Р.Македонија државна обврзница DO2022/12-0937dk</v>
          </cell>
        </row>
        <row r="100">
          <cell r="A100" t="str">
            <v>Р.Македонија - државна обврзница DO2024/10-0526</v>
          </cell>
        </row>
        <row r="101">
          <cell r="A101" t="str">
            <v>Р.Македонија - државна обврзница DO2024/11-0539</v>
          </cell>
        </row>
        <row r="102">
          <cell r="A102" t="str">
            <v>Р. Македонија - државна обврзница DO2017/22-0832dk</v>
          </cell>
        </row>
        <row r="103">
          <cell r="A103" t="str">
            <v>Р. Македонија - државна обврзница DO2018/02-0128</v>
          </cell>
        </row>
        <row r="104">
          <cell r="A104" t="str">
            <v>Р. Македонија - државна обврзница DO2018/03-0133dk</v>
          </cell>
        </row>
        <row r="105">
          <cell r="A105" t="str">
            <v>Р.Македонија - државна обврзница DO2024/03-0139</v>
          </cell>
        </row>
        <row r="106">
          <cell r="A106" t="str">
            <v>Р. Македонија - државна обврзница DO2016/05-0226</v>
          </cell>
        </row>
        <row r="107">
          <cell r="A107" t="str">
            <v>Р. Македонија - државна обврзница DO2016/06-0226dk</v>
          </cell>
        </row>
        <row r="108">
          <cell r="A108" t="str">
            <v>Р. Македонија - државна обврзница DO2016/07-0231dk</v>
          </cell>
        </row>
        <row r="109">
          <cell r="A109" t="str">
            <v>Р. Македонија - државна обврзница DO2023/06-0538</v>
          </cell>
        </row>
        <row r="110">
          <cell r="A110" t="str">
            <v>Р. Македонија - државна обврзница DO2017/02-0132dk</v>
          </cell>
        </row>
        <row r="111">
          <cell r="A111" t="str">
            <v>Р. Македонија - државна обврзница DO2023/01-0138</v>
          </cell>
        </row>
        <row r="112">
          <cell r="A112" t="str">
            <v>Р. Македонија - државна обврзница DO2015/05-0230dk</v>
          </cell>
        </row>
        <row r="113">
          <cell r="A113" t="str">
            <v>Р. Македонија - државна обврзница DO2015/09-0325</v>
          </cell>
        </row>
        <row r="114">
          <cell r="A114" t="str">
            <v>Р. Македонија - државна обврзница DO2015/10-0330dk</v>
          </cell>
        </row>
        <row r="115">
          <cell r="A115" t="str">
            <v>Р.Македонија - државна обврзница DO2024/08-0439</v>
          </cell>
        </row>
        <row r="116">
          <cell r="A116" t="str">
            <v>Р.Македонија - државна обврзница DO2024/09-0439dk</v>
          </cell>
        </row>
        <row r="117">
          <cell r="A117" t="str">
            <v>Р. Македонија - државна обврзница DO2022/05-0537</v>
          </cell>
        </row>
        <row r="118">
          <cell r="A118" t="str">
            <v>Р. Македонија - државна обврзница DO2022/01-0137</v>
          </cell>
        </row>
        <row r="119">
          <cell r="A119" t="str">
            <v>Р. Македонија - државна обврзница DO2020/02-0235</v>
          </cell>
        </row>
        <row r="120">
          <cell r="A120" t="str">
            <v>Р. Македонија - државна обврзница DO2023/11-0738</v>
          </cell>
        </row>
        <row r="121">
          <cell r="A121" t="str">
            <v>Р. Македонија - државна обврзница DO2022/14-1037</v>
          </cell>
        </row>
        <row r="122">
          <cell r="A122" t="str">
            <v>Р. Македонија - државна обврзница DO2016/01-0126dk</v>
          </cell>
        </row>
        <row r="123">
          <cell r="A123" t="str">
            <v>Р. Македонија - државна обврзница DO2016/02-0131dk</v>
          </cell>
        </row>
        <row r="124">
          <cell r="A124" t="str">
            <v>Р. Македонија - државна обврзница DO2021/01-0136</v>
          </cell>
        </row>
        <row r="125">
          <cell r="A125" t="str">
            <v>Р. Македонија - државна обврзница DO2016/12-0431dk</v>
          </cell>
        </row>
        <row r="126">
          <cell r="A126" t="str">
            <v>Р. Македонија - државна обврзница DO2022/04-0437dk</v>
          </cell>
        </row>
        <row r="127">
          <cell r="A127" t="str">
            <v>Р. Македонија - државна обврзница DO2021/09-0526</v>
          </cell>
        </row>
        <row r="128">
          <cell r="A128" t="str">
            <v>Р. Македонија - државна обврзница DO2016/23-1031dk</v>
          </cell>
        </row>
        <row r="129">
          <cell r="A129" t="str">
            <v>Р. Македонија - државна обврзница DO2021/15-1036</v>
          </cell>
        </row>
        <row r="130">
          <cell r="A130" t="str">
            <v>Р.Македонија - државна обврзница DO2023/21-1226</v>
          </cell>
        </row>
        <row r="131">
          <cell r="A131" t="str">
            <v>Р.Македонија - државна обврзница DO2023/22-1238</v>
          </cell>
        </row>
        <row r="132">
          <cell r="A132" t="str">
            <v>Р. Македонија - државна обврзница DO2018/08-0233dk</v>
          </cell>
        </row>
        <row r="133">
          <cell r="A133" t="str">
            <v>Р. Македонија - државна обврзница DO2021/07-0436</v>
          </cell>
        </row>
        <row r="134">
          <cell r="A134" t="str">
            <v>Р. Македонија - државна обврзница DO2021/08-0436dk</v>
          </cell>
        </row>
        <row r="135">
          <cell r="A135" t="str">
            <v>Р.Македонија - државна обврзница DO2023/08-0638</v>
          </cell>
        </row>
        <row r="136">
          <cell r="A136" t="str">
            <v>Р.Македонија - државна обврзница DO2023/09-0638dk</v>
          </cell>
        </row>
        <row r="137">
          <cell r="A137" t="str">
            <v>Р. Македонија - државна обврзница DO2020/08-1030</v>
          </cell>
        </row>
        <row r="138">
          <cell r="A138" t="str">
            <v>Р. Македонија - државна обврзница DO2020/09-1030dk</v>
          </cell>
        </row>
        <row r="139">
          <cell r="A139" t="str">
            <v>Р.Македонија - државна обврзница DO2023/03-225</v>
          </cell>
        </row>
        <row r="140">
          <cell r="A140" t="str">
            <v>Р. Македонија - државна обврзница DO2017/06-0232dk</v>
          </cell>
        </row>
        <row r="141">
          <cell r="A141" t="str">
            <v>Р. Македонија - државна обврзница DO2015/15-0430dk</v>
          </cell>
        </row>
        <row r="142">
          <cell r="A142" t="str">
            <v>Р. Македонија - државна обврзница DO2019/09-0534</v>
          </cell>
        </row>
        <row r="143">
          <cell r="A143" t="str">
            <v>Р.Македонија - државна обврзница DO2022/06-0637</v>
          </cell>
        </row>
        <row r="144">
          <cell r="A144" t="str">
            <v>Р.Македонија - државна обврзница DO2022/07-0637dk</v>
          </cell>
        </row>
        <row r="145">
          <cell r="A145" t="str">
            <v>Р. Македонија - државна обврзница DO2021/14-0936</v>
          </cell>
        </row>
        <row r="146">
          <cell r="A146" t="str">
            <v>Р. Македонија - државна обврзница DO2014/27-1024</v>
          </cell>
        </row>
        <row r="147">
          <cell r="A147" t="str">
            <v>Р. Македонија - државна обврзница DO2014/28-1024dk</v>
          </cell>
        </row>
        <row r="148">
          <cell r="A148" t="str">
            <v>Р.Македонија - државна обврзница DO2023/20-1138</v>
          </cell>
        </row>
        <row r="149">
          <cell r="A149" t="str">
            <v>Р. Македонија - државна обврзница DO2021/17-1224</v>
          </cell>
        </row>
        <row r="150">
          <cell r="A150" t="str">
            <v>Р. Македонија - државна обврзница DO2016/08-0331dk</v>
          </cell>
        </row>
        <row r="151">
          <cell r="A151" t="str">
            <v>Р. Македонија - државна обврзница DO2021/10-0636</v>
          </cell>
        </row>
        <row r="152">
          <cell r="A152" t="str">
            <v>Р. Македонија - државна обврзница DO2021/11-0636dk</v>
          </cell>
        </row>
        <row r="153">
          <cell r="A153" t="str">
            <v>Р. Македонија - државна обврзница DO2017/24-0832dk</v>
          </cell>
        </row>
        <row r="154">
          <cell r="A154" t="str">
            <v>Р. Македонија - државна обврзница DO2015/37-0930dk</v>
          </cell>
        </row>
        <row r="155">
          <cell r="A155" t="str">
            <v>Р. Македонија - државна обврзница DO2019/13-1024</v>
          </cell>
        </row>
        <row r="156">
          <cell r="A156" t="str">
            <v>Р.Македонија државна обврзница DO2022/15-1137</v>
          </cell>
        </row>
        <row r="157">
          <cell r="A157" t="str">
            <v>Р. Македонија - државна обврзница DO2015/45-1225dk</v>
          </cell>
        </row>
        <row r="158">
          <cell r="A158" t="str">
            <v>Р. Македонија - државна обврзница DO2019/06-0449dk</v>
          </cell>
        </row>
        <row r="159">
          <cell r="A159" t="str">
            <v>Р. Македонија - државна обврзница DO2020/06-0635</v>
          </cell>
        </row>
        <row r="160">
          <cell r="A160" t="str">
            <v>Р. Македонија - државна обврзница DO2019/10-0749dk</v>
          </cell>
        </row>
        <row r="161">
          <cell r="A161" t="str">
            <v>Р. Македонија - државна обврзница DO2016/17-0826</v>
          </cell>
        </row>
        <row r="162">
          <cell r="A162" t="str">
            <v>Р. Македонија - државна обврзница DO2016/18-0826dk</v>
          </cell>
        </row>
        <row r="163">
          <cell r="A163" t="str">
            <v>Р. Македонија - државна обврзница DO2016/19-0831dk</v>
          </cell>
        </row>
        <row r="164">
          <cell r="A164" t="str">
            <v>Р. Македонија - државна обврзница DО2022/11-0837dk</v>
          </cell>
        </row>
        <row r="165">
          <cell r="A165" t="str">
            <v>Р. Македонија - државна обврзница DO2018/23-1048dk</v>
          </cell>
        </row>
        <row r="166">
          <cell r="A166" t="str">
            <v>Р. Македонија - државна обврзница DO2021/16-1136dk</v>
          </cell>
        </row>
        <row r="167">
          <cell r="A167" t="str">
            <v>Р. Македонија - државна обврзница DO2018/15-0748dk</v>
          </cell>
        </row>
        <row r="168">
          <cell r="A168" t="str">
            <v>Р. Македонија - државна обврзница DO2019/12-0934</v>
          </cell>
        </row>
        <row r="169">
          <cell r="A169" t="str">
            <v>Р. Македонија - државна обврзница DO2017/32-1032dk</v>
          </cell>
        </row>
        <row r="170">
          <cell r="A170" t="str">
            <v>Р. Македонија - државна обврзница DO2015/42-1125dk</v>
          </cell>
        </row>
        <row r="171">
          <cell r="A171" t="str">
            <v>Р. Македонија - државна обврзница DO2015/43-1130dk</v>
          </cell>
        </row>
        <row r="172">
          <cell r="A172" t="str">
            <v>Р. Македонија - државна обврзница DO2017/20-0732dk</v>
          </cell>
        </row>
        <row r="173">
          <cell r="A173" t="str">
            <v>Р. Македонија - државна обврзница DO2023/13-0738</v>
          </cell>
        </row>
        <row r="174">
          <cell r="A174" t="str">
            <v>Р. Македонија - државна обврзница DO2015/32-0825</v>
          </cell>
        </row>
        <row r="175">
          <cell r="A175" t="str">
            <v>Р. Македонија - државна обврзница DO2015/33-0830dk</v>
          </cell>
        </row>
        <row r="176">
          <cell r="A176" t="str">
            <v>Р. Македонија - државна обврзница DO2018/19-0933</v>
          </cell>
        </row>
        <row r="177">
          <cell r="A177" t="str">
            <v>Р. Македонија - државна обврзница DO2018/20-0933dk</v>
          </cell>
        </row>
        <row r="178">
          <cell r="A178" t="str">
            <v>Р. Македонија - државна обврзница DO2015/18-0525dk</v>
          </cell>
        </row>
        <row r="179">
          <cell r="A179" t="str">
            <v>Р. Македонија - државна обврзница DO2018/13-0633dk</v>
          </cell>
        </row>
        <row r="180">
          <cell r="A180" t="str">
            <v>Р. Македонија - државна обврзница DO2014/18-0824dk</v>
          </cell>
        </row>
        <row r="181">
          <cell r="A181" t="str">
            <v>Р. Македонија - државна обврзница DO2017/27-0932dk</v>
          </cell>
        </row>
        <row r="182">
          <cell r="A182" t="str">
            <v>Р.Македонија - државна обврзница DO2023/17-0938</v>
          </cell>
        </row>
        <row r="183">
          <cell r="A183" t="str">
            <v>Р. Македонија - државна обврзница DO2016/03-0131dk</v>
          </cell>
        </row>
        <row r="184">
          <cell r="A184" t="str">
            <v>Р. Македонија - државна обврзница DO2017/17-0632dk</v>
          </cell>
        </row>
        <row r="185">
          <cell r="A185" t="str">
            <v>Р. Македонија - државна обврзница DO2016/21-0931dk</v>
          </cell>
        </row>
        <row r="186">
          <cell r="A186" t="str">
            <v>Р. Македонија - државна обврзница DO2018/27-1133dk</v>
          </cell>
        </row>
        <row r="187">
          <cell r="A187" t="str">
            <v>Р. Македонија - државна обврзница DO2016/29-1231dk</v>
          </cell>
        </row>
        <row r="188">
          <cell r="A188" t="str">
            <v>Р. Македонија - државна обврзница DO2017/10-0332dk</v>
          </cell>
        </row>
        <row r="189">
          <cell r="A189" t="str">
            <v>Р. Македонија - државна обврзница DO2016/14-0631dk</v>
          </cell>
        </row>
        <row r="190">
          <cell r="A190" t="str">
            <v>Р. Македонија - државна обврзница DO2015/27-0725dk</v>
          </cell>
        </row>
        <row r="191">
          <cell r="A191" t="str">
            <v>Р. Македонија - државна обврзница DO2015/28-0730dk</v>
          </cell>
        </row>
        <row r="192">
          <cell r="A192" t="str">
            <v>Р. Македонија - државна обврзница DO2017/36-1132dk</v>
          </cell>
        </row>
        <row r="193">
          <cell r="A193" t="str">
            <v>Р. Македонија - државна обврзница DO2016/09-0326</v>
          </cell>
        </row>
        <row r="194">
          <cell r="A194" t="str">
            <v>Р. Македонија - државна обврзница DO2014/17-0724dk</v>
          </cell>
        </row>
        <row r="195">
          <cell r="A195" t="str">
            <v>Р. Македонија - државна обврзница DO2015/38-0925dk</v>
          </cell>
        </row>
        <row r="196">
          <cell r="A196" t="str">
            <v>Р. Македонија - државна обврзница DO2015/39-0930dk</v>
          </cell>
        </row>
        <row r="197">
          <cell r="A197" t="str">
            <v>Р. Македонија - државна обврзница DO2015/46-1225dk</v>
          </cell>
        </row>
        <row r="198">
          <cell r="A198" t="str">
            <v>Р. Македонија - државна обврзница DO2018/04-0133</v>
          </cell>
        </row>
        <row r="199">
          <cell r="A199" t="str">
            <v>Р. Македонија - државна обврзница DO2018/05-0133dk</v>
          </cell>
        </row>
        <row r="200">
          <cell r="A200" t="str">
            <v>Р. Македонија - државна обврзница DO2015/20-0625</v>
          </cell>
        </row>
        <row r="201">
          <cell r="A201" t="str">
            <v>Р. Македонија - државна обврзница DO2015/21-0625dk</v>
          </cell>
        </row>
        <row r="202">
          <cell r="A202" t="str">
            <v>Р. Македонија - државна обврзница DO2015/22-0630dk</v>
          </cell>
        </row>
        <row r="203">
          <cell r="A203" t="str">
            <v>Р. Македонија - државна обврзница DO2017/05-0132dk</v>
          </cell>
        </row>
        <row r="204">
          <cell r="A204" t="str">
            <v>Р. Македонија - државна обврзница DO2015/08-0230dk</v>
          </cell>
        </row>
        <row r="205">
          <cell r="A205" t="str">
            <v>Р. Македонија - државна обврзница DO2015/12-0325</v>
          </cell>
        </row>
        <row r="206">
          <cell r="A206" t="str">
            <v>Р. Македонија - државна обврзница DO2015/13-0330dk</v>
          </cell>
        </row>
        <row r="207">
          <cell r="A207" t="str">
            <v>Р. Македонија - државна обврзница DO2018/11-0448dk</v>
          </cell>
        </row>
        <row r="208">
          <cell r="A208" t="str">
            <v>Р.Македонија - државна обврзница DO2023/07-0538dk</v>
          </cell>
        </row>
        <row r="209">
          <cell r="A209" t="str">
            <v>Р. Македонија - државна обврзница DO2022/02-0125</v>
          </cell>
        </row>
        <row r="210">
          <cell r="A210" t="str">
            <v>Р. Македонија - државна обврзница DO2015/34-0825</v>
          </cell>
        </row>
        <row r="211">
          <cell r="A211" t="str">
            <v>Р. Македонија - државна обврзница DO2015/35-0825dk</v>
          </cell>
        </row>
        <row r="212">
          <cell r="A212" t="str">
            <v>Р. Македонија - државна обврзница DO2015/36-0830dk</v>
          </cell>
        </row>
        <row r="213">
          <cell r="A213" t="str">
            <v>Р. Македонија - државна обврзница DO2016/04-0131dk</v>
          </cell>
        </row>
        <row r="214">
          <cell r="A214" t="str">
            <v>Р. Македонија - државна обврзница DO2019/04-0234</v>
          </cell>
        </row>
        <row r="215">
          <cell r="A215" t="str">
            <v>Р. Македонија - државна обврзница DO2016/16-0731dk</v>
          </cell>
        </row>
        <row r="216">
          <cell r="A216" t="str">
            <v>Р.Македонија - државна обврзница DO2023/23-1238dk</v>
          </cell>
        </row>
        <row r="217">
          <cell r="A217" t="str">
            <v>Р. Македонија - државна обврзница DO2015/03-0125</v>
          </cell>
        </row>
        <row r="218">
          <cell r="A218" t="str">
            <v>Р. Македонија - државна обврзница DO2015/04-0125dk</v>
          </cell>
        </row>
        <row r="219">
          <cell r="A219" t="str">
            <v>Р. Македонија - државна обврзница DO2017/18-0632dk</v>
          </cell>
        </row>
        <row r="220">
          <cell r="A220" t="str">
            <v>Р. Македонија - државна обврзница DO2023/10-0638dk</v>
          </cell>
        </row>
        <row r="221">
          <cell r="A221" t="str">
            <v>Р. Македонија - држaвна обврзница DO2021/12-0724</v>
          </cell>
        </row>
        <row r="222">
          <cell r="A222" t="str">
            <v>Р. Македонија - државна обврзница DO2016/22-0931dk</v>
          </cell>
        </row>
        <row r="223">
          <cell r="A223" t="str">
            <v>Р. Македонија - државна обврзница DO2015/41-1030dk</v>
          </cell>
        </row>
        <row r="224">
          <cell r="A224" t="str">
            <v>Р. Македонија - државна обврзница DO2020/10-1035</v>
          </cell>
        </row>
        <row r="225">
          <cell r="A225" t="str">
            <v>Р. Македонија - државна обврзница DO2022/17-1237</v>
          </cell>
        </row>
        <row r="226">
          <cell r="A226" t="str">
            <v>Р. Македонија - државна обврзница DO2022/18-1237dk</v>
          </cell>
        </row>
        <row r="227">
          <cell r="A227" t="str">
            <v>Р. Македонија - државна обврзница DO2020/01-0150dk</v>
          </cell>
        </row>
        <row r="228">
          <cell r="A228" t="str">
            <v>Р. Македонија - државна обврзница DO2017/11-0332dk</v>
          </cell>
        </row>
        <row r="229">
          <cell r="A229" t="str">
            <v>Р. Македонија - државна обврзница DO2023/05-0338</v>
          </cell>
        </row>
        <row r="230">
          <cell r="A230" t="str">
            <v>Р. Македонија - државна обврзница DO2023/06-0338dk</v>
          </cell>
        </row>
        <row r="231">
          <cell r="A231" t="str">
            <v>Р. Македонија - државна обврзница DO2020/04-0450dk</v>
          </cell>
        </row>
        <row r="232">
          <cell r="A232" t="str">
            <v>Р. Македонија - државна обврзница DO2022/08-0637</v>
          </cell>
        </row>
        <row r="233">
          <cell r="A233" t="str">
            <v>Р. Македонија - државна обврзница DO2015/29-0730dk</v>
          </cell>
        </row>
        <row r="234">
          <cell r="A234" t="str">
            <v>Р. Македонија - државна обврзница DO2014/30-1024dk</v>
          </cell>
        </row>
        <row r="235">
          <cell r="A235" t="str">
            <v>Р. Македонија - државна обврзница DO2017/37-1132dk</v>
          </cell>
        </row>
        <row r="236">
          <cell r="A236" t="str">
            <v>Р. Македонија - државна обврзница DO2019/02-0149dk</v>
          </cell>
        </row>
        <row r="237">
          <cell r="A237" t="str">
            <v>Р. Македонија - државна обврзница DO2016/10-0331dk</v>
          </cell>
        </row>
        <row r="238">
          <cell r="A238" t="str">
            <v>Р. Македонија - државна обврзница DO2019/14-1049dk</v>
          </cell>
          <cell r="B238">
            <v>103.5</v>
          </cell>
        </row>
        <row r="239">
          <cell r="A239" t="str">
            <v>Р. Македонија - денационализација 14</v>
          </cell>
          <cell r="B239">
            <v>90</v>
          </cell>
        </row>
        <row r="240">
          <cell r="A240" t="str">
            <v>Р. Македонија - денационализација 15</v>
          </cell>
          <cell r="B240">
            <v>95</v>
          </cell>
        </row>
        <row r="241">
          <cell r="A241" t="str">
            <v>Р. Македонија - денационализација 16</v>
          </cell>
          <cell r="B241">
            <v>90</v>
          </cell>
        </row>
        <row r="242">
          <cell r="A242" t="str">
            <v>Р. Македонија - денационализација 17</v>
          </cell>
          <cell r="B242">
            <v>90</v>
          </cell>
        </row>
        <row r="243">
          <cell r="A243" t="str">
            <v>Р. Македонија - денационализација 18</v>
          </cell>
          <cell r="B243">
            <v>93</v>
          </cell>
        </row>
        <row r="244">
          <cell r="A244" t="str">
            <v>Р. Македонија - денационализација 19</v>
          </cell>
          <cell r="B244">
            <v>92</v>
          </cell>
        </row>
        <row r="245">
          <cell r="A245" t="str">
            <v>Р. Македонија - денационализација 20</v>
          </cell>
          <cell r="B245">
            <v>94</v>
          </cell>
        </row>
        <row r="246">
          <cell r="A246" t="str">
            <v>Р. Македонија - денационализација 21</v>
          </cell>
          <cell r="B246">
            <v>92</v>
          </cell>
        </row>
        <row r="247">
          <cell r="A247" t="str">
            <v>Р. Македонија - денационализација 22</v>
          </cell>
          <cell r="B247">
            <v>82.7</v>
          </cell>
        </row>
        <row r="248">
          <cell r="A248" t="str">
            <v>Р.Македонија - структурни обврзници општина Виница</v>
          </cell>
        </row>
        <row r="249">
          <cell r="A249" t="str">
            <v>Р.Македонија - структурни обврзници општина Желино</v>
          </cell>
          <cell r="B249">
            <v>97.1</v>
          </cell>
        </row>
        <row r="250">
          <cell r="A250" t="str">
            <v>Р.Македонија - структурни обврзници општина Тетово</v>
          </cell>
          <cell r="B250">
            <v>96</v>
          </cell>
        </row>
        <row r="251">
          <cell r="A251" t="str">
            <v>СН Осигурителен Брокер АД Битола - корпоративна обврзница I емисија</v>
          </cell>
          <cell r="B251">
            <v>90</v>
          </cell>
        </row>
        <row r="252">
          <cell r="A252" t="str">
            <v>ТТК банка АД Скопје - корпоративна обврзница I емисија</v>
          </cell>
          <cell r="B252">
            <v>100</v>
          </cell>
        </row>
        <row r="253">
          <cell r="A253" t="str">
            <v>ТТК банка АД Скопје - корпоративна обврзница II емисија</v>
          </cell>
        </row>
        <row r="254">
          <cell r="A254" t="str">
            <v>Р.Македонија - државна обврзница DO2023/18-1025</v>
          </cell>
        </row>
        <row r="255">
          <cell r="A255" t="str">
            <v>Берзанска котација - други хартии од вредност</v>
          </cell>
        </row>
        <row r="256">
          <cell r="A256" t="str">
            <v>Универзална Инвестициона Банка Скопје - перпетуални обврзници - втора емисија</v>
          </cell>
        </row>
        <row r="257">
          <cell r="A257" t="str">
            <v>Универзална Инвестициона Банка Скопје - перпетуални обврзници - трета емисија</v>
          </cell>
        </row>
        <row r="258">
          <cell r="A258" t="str">
            <v>Задолжителна котација - обични акции</v>
          </cell>
        </row>
        <row r="259">
          <cell r="A259" t="str">
            <v>Адинг Скопје</v>
          </cell>
          <cell r="B259">
            <v>1600</v>
          </cell>
        </row>
        <row r="260">
          <cell r="A260" t="str">
            <v>Агромеханика Скопје</v>
          </cell>
          <cell r="B260">
            <v>300</v>
          </cell>
        </row>
        <row r="261">
          <cell r="A261" t="str">
            <v>Ангропромет-Тиквешанка Кавадарци</v>
          </cell>
          <cell r="B261">
            <v>750</v>
          </cell>
        </row>
        <row r="262">
          <cell r="A262" t="str">
            <v>Аутомакедонија Скопје</v>
          </cell>
          <cell r="B262">
            <v>2950</v>
          </cell>
        </row>
        <row r="263">
          <cell r="A263" t="str">
            <v>Рудници Бањани Скопје</v>
          </cell>
          <cell r="B263">
            <v>603</v>
          </cell>
        </row>
        <row r="264">
          <cell r="A264" t="str">
            <v>Кристал 1923 АД Велес</v>
          </cell>
          <cell r="B264">
            <v>158</v>
          </cell>
        </row>
        <row r="265">
          <cell r="A265" t="str">
            <v>БИМ Свети Николе</v>
          </cell>
          <cell r="B265">
            <v>15550</v>
          </cell>
        </row>
        <row r="266">
          <cell r="A266" t="str">
            <v>ФЗЦ 11 Октомври Куманово</v>
          </cell>
          <cell r="B266">
            <v>220</v>
          </cell>
        </row>
        <row r="267">
          <cell r="A267" t="str">
            <v>Централна кооперативна банка Скопје</v>
          </cell>
          <cell r="B267">
            <v>350</v>
          </cell>
        </row>
        <row r="268">
          <cell r="A268" t="str">
            <v>Дебарски бањи Дебар</v>
          </cell>
          <cell r="B268">
            <v>1550</v>
          </cell>
        </row>
        <row r="269">
          <cell r="A269" t="str">
            <v>Димко Митрев Велес</v>
          </cell>
          <cell r="B269">
            <v>185</v>
          </cell>
        </row>
        <row r="270">
          <cell r="A270" t="str">
            <v>Европа Скопје</v>
          </cell>
          <cell r="B270">
            <v>3168</v>
          </cell>
        </row>
        <row r="271">
          <cell r="A271" t="str">
            <v>Факом Скопје</v>
          </cell>
          <cell r="B271">
            <v>6984</v>
          </cell>
        </row>
        <row r="272">
          <cell r="A272" t="str">
            <v>Фустеларко Борец Битола</v>
          </cell>
          <cell r="B272">
            <v>2101</v>
          </cell>
        </row>
        <row r="273">
          <cell r="A273" t="str">
            <v>Герас Цунев конфекција Струмица</v>
          </cell>
          <cell r="B273">
            <v>500</v>
          </cell>
        </row>
        <row r="274">
          <cell r="A274" t="str">
            <v>Герас Цунев трговија Струмица</v>
          </cell>
          <cell r="B274">
            <v>500</v>
          </cell>
        </row>
        <row r="275">
          <cell r="A275" t="str">
            <v>Грозд Струмица</v>
          </cell>
          <cell r="B275">
            <v>2250</v>
          </cell>
        </row>
        <row r="276">
          <cell r="A276" t="str">
            <v>Градски Трговски Центар Скопје</v>
          </cell>
          <cell r="B276">
            <v>1790</v>
          </cell>
        </row>
        <row r="277">
          <cell r="A277" t="str">
            <v>Интерпромет Тетово</v>
          </cell>
          <cell r="B277">
            <v>4500</v>
          </cell>
        </row>
        <row r="278">
          <cell r="A278" t="str">
            <v>Македонија осигурување АД Скопје - Виена Иншуренс Груп</v>
          </cell>
          <cell r="B278">
            <v>1200</v>
          </cell>
        </row>
        <row r="279">
          <cell r="A279" t="str">
            <v>Кланица со ладилник Струмица</v>
          </cell>
          <cell r="B279">
            <v>120</v>
          </cell>
        </row>
        <row r="280">
          <cell r="A280" t="str">
            <v>Фруктал МАК Скопје</v>
          </cell>
          <cell r="B280">
            <v>119</v>
          </cell>
        </row>
        <row r="281">
          <cell r="A281" t="str">
            <v>Карпош Скопје</v>
          </cell>
          <cell r="B281">
            <v>333</v>
          </cell>
        </row>
        <row r="282">
          <cell r="A282" t="str">
            <v>Лотарија на Македонија Скопје</v>
          </cell>
          <cell r="B282">
            <v>180</v>
          </cell>
        </row>
        <row r="283">
          <cell r="A283" t="str">
            <v>Пелистерка АД Скопје</v>
          </cell>
        </row>
        <row r="284">
          <cell r="A284" t="str">
            <v>Макпромет Штип</v>
          </cell>
          <cell r="B284">
            <v>600</v>
          </cell>
        </row>
        <row r="285">
          <cell r="A285" t="str">
            <v>Мермерен комбинат Прилеп</v>
          </cell>
          <cell r="B285">
            <v>3200</v>
          </cell>
        </row>
        <row r="286">
          <cell r="A286" t="str">
            <v>Мода Свети Николе</v>
          </cell>
          <cell r="B286">
            <v>99</v>
          </cell>
        </row>
        <row r="287">
          <cell r="A287" t="str">
            <v>Вабтек МЗТ Скопје</v>
          </cell>
          <cell r="B287">
            <v>3133</v>
          </cell>
        </row>
        <row r="288">
          <cell r="A288" t="str">
            <v>МЗТ Пумпи Скопје</v>
          </cell>
          <cell r="B288">
            <v>607</v>
          </cell>
        </row>
        <row r="289">
          <cell r="A289" t="str">
            <v>Огражден Струмица</v>
          </cell>
          <cell r="B289">
            <v>1900</v>
          </cell>
        </row>
        <row r="290">
          <cell r="A290" t="str">
            <v>Нова стоковна куќа Струмица</v>
          </cell>
          <cell r="B290">
            <v>61500</v>
          </cell>
        </row>
        <row r="291">
          <cell r="A291" t="str">
            <v>Оилко КДА Скопје</v>
          </cell>
          <cell r="B291">
            <v>6000</v>
          </cell>
        </row>
        <row r="292">
          <cell r="A292" t="str">
            <v>ОКТА Скопје</v>
          </cell>
          <cell r="B292">
            <v>4900</v>
          </cell>
        </row>
        <row r="293">
          <cell r="A293" t="str">
            <v>Оранжерии Хамзали Струмица</v>
          </cell>
          <cell r="B293">
            <v>300</v>
          </cell>
        </row>
        <row r="294">
          <cell r="A294" t="str">
            <v>Пекабеско Скопје</v>
          </cell>
          <cell r="B294">
            <v>16500</v>
          </cell>
        </row>
        <row r="295">
          <cell r="A295" t="str">
            <v>Попова Кула Демир Капија</v>
          </cell>
          <cell r="B295">
            <v>16</v>
          </cell>
        </row>
        <row r="296">
          <cell r="A296" t="str">
            <v>Прилепска Пиварница Прилеп</v>
          </cell>
          <cell r="B296">
            <v>34500</v>
          </cell>
        </row>
        <row r="297">
          <cell r="A297" t="str">
            <v>Раде Кончар Скопје</v>
          </cell>
          <cell r="B297">
            <v>2000</v>
          </cell>
        </row>
        <row r="298">
          <cell r="A298" t="str">
            <v>РЖ Економика Скопје</v>
          </cell>
          <cell r="B298">
            <v>50</v>
          </cell>
        </row>
        <row r="299">
          <cell r="A299" t="str">
            <v>Либерти АД Скопје</v>
          </cell>
          <cell r="B299">
            <v>20</v>
          </cell>
        </row>
        <row r="300">
          <cell r="A300" t="str">
            <v>РЖ Техничка контрола Скопје</v>
          </cell>
          <cell r="B300">
            <v>500</v>
          </cell>
        </row>
        <row r="301">
          <cell r="A301" t="str">
            <v>РЖ Уготур Скопје</v>
          </cell>
        </row>
        <row r="302">
          <cell r="A302" t="str">
            <v>Современ дом Прилеп</v>
          </cell>
          <cell r="B302">
            <v>30</v>
          </cell>
        </row>
        <row r="303">
          <cell r="A303" t="str">
            <v>Силекс Кратово</v>
          </cell>
        </row>
        <row r="304">
          <cell r="A304" t="str">
            <v>Славеј Скопје</v>
          </cell>
        </row>
        <row r="305">
          <cell r="A305" t="str">
            <v>Струмичко поле с.Василево</v>
          </cell>
        </row>
        <row r="306">
          <cell r="A306" t="str">
            <v>Сигурносно стакло Прилеп</v>
          </cell>
        </row>
        <row r="307">
          <cell r="A307" t="str">
            <v>Стопанска банка Скопје</v>
          </cell>
          <cell r="B307">
            <v>1560</v>
          </cell>
        </row>
        <row r="308">
          <cell r="A308" t="str">
            <v>Стокопромет Скопје</v>
          </cell>
          <cell r="B308">
            <v>1200</v>
          </cell>
        </row>
        <row r="309">
          <cell r="A309" t="str">
            <v>ТЕАЛ-Алумина Тетово</v>
          </cell>
          <cell r="B309">
            <v>730</v>
          </cell>
        </row>
        <row r="310">
          <cell r="A310" t="str">
            <v>Технокомерц Скопје</v>
          </cell>
          <cell r="B310">
            <v>1000</v>
          </cell>
        </row>
        <row r="311">
          <cell r="A311" t="str">
            <v>Македонски Телеком Скопје</v>
          </cell>
          <cell r="B311">
            <v>420.17</v>
          </cell>
        </row>
        <row r="312">
          <cell r="A312" t="str">
            <v>ГД-Тиквеш Кавадарци</v>
          </cell>
          <cell r="B312">
            <v>1000</v>
          </cell>
        </row>
        <row r="313">
          <cell r="A313" t="str">
            <v>НЛБ Банка АД Скопје</v>
          </cell>
        </row>
        <row r="314">
          <cell r="A314" t="str">
            <v>Транскоп-Патнички сооб. Битола</v>
          </cell>
          <cell r="B314">
            <v>1800</v>
          </cell>
        </row>
        <row r="315">
          <cell r="A315" t="str">
            <v>Трготекстил малопродажба Скопје</v>
          </cell>
          <cell r="B315">
            <v>97</v>
          </cell>
        </row>
        <row r="316">
          <cell r="A316" t="str">
            <v>Универзална Инвестициона Банка Скопје</v>
          </cell>
        </row>
        <row r="317">
          <cell r="A317" t="str">
            <v>Цементарница УСЈЕ Скопје</v>
          </cell>
        </row>
        <row r="318">
          <cell r="A318" t="str">
            <v>Триглав осигурување Скопје</v>
          </cell>
        </row>
        <row r="319">
          <cell r="A319" t="str">
            <v>Ветекс Велес</v>
          </cell>
        </row>
        <row r="320">
          <cell r="A320" t="str">
            <v>ЖАС Скопје</v>
          </cell>
        </row>
        <row r="321">
          <cell r="A321" t="str">
            <v>Жито Караорман Кичево</v>
          </cell>
        </row>
        <row r="322">
          <cell r="A322" t="str">
            <v>Жито Полог Тетово</v>
          </cell>
        </row>
        <row r="323">
          <cell r="A323" t="str">
            <v>Задолжителна котација - приоритетни акции</v>
          </cell>
        </row>
        <row r="324">
          <cell r="A324" t="str">
            <v>Стопанска банка Скопје</v>
          </cell>
        </row>
        <row r="325">
          <cell r="A325" t="str">
            <v>Редовен пазар</v>
          </cell>
        </row>
        <row r="326">
          <cell r="A326" t="str">
            <v>Пазар на акционерски друштва со посебни обврски за известување - обични акции</v>
          </cell>
        </row>
        <row r="327">
          <cell r="A327" t="str">
            <v>Шпаркасе банка Македонија АД Скопје</v>
          </cell>
        </row>
        <row r="328">
          <cell r="A328" t="str">
            <v>Слободен пазар - обични акции</v>
          </cell>
        </row>
        <row r="329">
          <cell r="A329" t="str">
            <v>Еуромак брокер АД Скопје</v>
          </cell>
        </row>
        <row r="330">
          <cell r="A330" t="str">
            <v>Квасара Битола</v>
          </cell>
        </row>
        <row r="331">
          <cell r="A331" t="str">
            <v>Млекара АД Битола</v>
          </cell>
        </row>
        <row r="332">
          <cell r="A332" t="str">
            <v>РЖ Скопје-Инженеринг Скопје</v>
          </cell>
        </row>
        <row r="333">
          <cell r="A333" t="str">
            <v>АрцелорМиттал (ХРМ) АД Скопје - долгорочно суспендирано од котација</v>
          </cell>
        </row>
        <row r="334">
          <cell r="A334" t="str">
            <v>Пивара Скопје АД Скопје</v>
          </cell>
        </row>
        <row r="335">
          <cell r="A335" t="str">
            <v>Вкупен промет на сите пазарни сегменти: 13.253.338,00</v>
          </cell>
        </row>
        <row r="336">
          <cell r="A336" t="str">
            <v>МБИ10</v>
          </cell>
        </row>
        <row r="337">
          <cell r="A337" t="str">
            <v>ОМБ</v>
          </cell>
        </row>
        <row r="338">
          <cell r="A338" t="str">
            <v>1 EUR = 61,5350 МКД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  <cell r="B6">
            <v>18005.47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  <cell r="B8">
            <v>20077.78</v>
          </cell>
        </row>
        <row r="9">
          <cell r="A9" t="str">
            <v>Фершпед Скопје</v>
          </cell>
          <cell r="B9">
            <v>52002</v>
          </cell>
        </row>
        <row r="10">
          <cell r="A10" t="str">
            <v>Гранит Скопје</v>
          </cell>
          <cell r="B10">
            <v>1380</v>
          </cell>
        </row>
        <row r="11">
          <cell r="A11" t="str">
            <v>Интернешнел Хотелс АД Скопје</v>
          </cell>
          <cell r="B11">
            <v>4005</v>
          </cell>
        </row>
        <row r="12">
          <cell r="A12" t="str">
            <v>ДС Смитх АД Скопје</v>
          </cell>
          <cell r="B12">
            <v>480</v>
          </cell>
        </row>
        <row r="13">
          <cell r="A13" t="str">
            <v>Макотекс Скопје</v>
          </cell>
          <cell r="B13">
            <v>20</v>
          </cell>
        </row>
        <row r="14">
          <cell r="A14" t="str">
            <v>Макошпед Скопје</v>
          </cell>
          <cell r="B14">
            <v>231</v>
          </cell>
        </row>
        <row r="15">
          <cell r="A15" t="str">
            <v>Хотели Метропол Охрид</v>
          </cell>
        </row>
        <row r="16">
          <cell r="A16" t="str">
            <v>Макпетрол Скопје</v>
          </cell>
          <cell r="B16">
            <v>70977.57</v>
          </cell>
        </row>
        <row r="17">
          <cell r="A17" t="str">
            <v>Македонијатурист Скопје</v>
          </cell>
          <cell r="B17">
            <v>5722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  <cell r="B19">
            <v>20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  <cell r="B21">
            <v>2900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Р.Македонија - државна обврзница DO2023/19-1125</v>
          </cell>
        </row>
        <row r="37">
          <cell r="A37" t="str">
            <v>Р. Македонија - државна обврзница DO2023/12-0725</v>
          </cell>
        </row>
        <row r="38">
          <cell r="A38" t="str">
            <v>Р. Македонија - државна обврзница DO2021/05-0428</v>
          </cell>
        </row>
        <row r="39">
          <cell r="A39" t="str">
            <v>Р. Македонија - државна обврзница DO2021/06-0428dk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Р.Македонија државна обврзница DO2022/16-1237</v>
          </cell>
        </row>
        <row r="44">
          <cell r="A44" t="str">
            <v>Р.Македонија - државна обврзница DO2024/01-0126</v>
          </cell>
        </row>
        <row r="45">
          <cell r="A45" t="str">
            <v>Р.Македонија - државна обврзница DO2024/02-0127</v>
          </cell>
        </row>
        <row r="46">
          <cell r="A46" t="str">
            <v>Р. Македонија - државна обврзница DO2014/10-0524dk</v>
          </cell>
        </row>
        <row r="47">
          <cell r="A47" t="str">
            <v>Р. Македонија - државна обврзница DO2014/23-1024</v>
          </cell>
        </row>
        <row r="48">
          <cell r="A48" t="str">
            <v>Р. Македонија - државна обврзница DO2017/35-1132dk</v>
          </cell>
        </row>
        <row r="49">
          <cell r="A49" t="str">
            <v>Р. Македонија - државна обврзница DO2022/03-0337</v>
          </cell>
        </row>
        <row r="50">
          <cell r="A50" t="str">
            <v>Р. Македонија - државна обврзница DO2023/04-0338</v>
          </cell>
        </row>
        <row r="51">
          <cell r="A51" t="str">
            <v>Р. Македонија - државна обврзница DO2014/16-0724dk</v>
          </cell>
        </row>
        <row r="52">
          <cell r="A52" t="str">
            <v>Р. Македонија - државна обврзница DO2016/26-1131dk</v>
          </cell>
        </row>
        <row r="53">
          <cell r="A53" t="str">
            <v>Р. Македонија - државна обврзница DO2015/44-1230dk</v>
          </cell>
        </row>
        <row r="54">
          <cell r="A54" t="str">
            <v>Р. Македонија - државна обврзница DO2020/15-1235dk</v>
          </cell>
        </row>
        <row r="55">
          <cell r="A55" t="str">
            <v>Р. Македонија - државна обврзница DO2021/04-0336</v>
          </cell>
        </row>
        <row r="56">
          <cell r="A56" t="str">
            <v>Р. Македонија - државна обврзница DO2017/14-0532dk</v>
          </cell>
        </row>
        <row r="57">
          <cell r="A57" t="str">
            <v>Р. Македонија - државна обврзница DO2015/19-0630dk</v>
          </cell>
        </row>
        <row r="58">
          <cell r="A58" t="str">
            <v>Р.Македонија - државна обврзница DO2022/09-0837</v>
          </cell>
        </row>
        <row r="59">
          <cell r="A59" t="str">
            <v>Р.Македонија - државна обврзница DO2022/10-0837dk</v>
          </cell>
        </row>
        <row r="60">
          <cell r="A60" t="str">
            <v>Р. Македонија - државна обврзница DO2023/14-0838</v>
          </cell>
        </row>
        <row r="61">
          <cell r="A61" t="str">
            <v>Р. Македонија - државна обврзница DO2014/19-0924dk</v>
          </cell>
        </row>
        <row r="62">
          <cell r="A62" t="str">
            <v>Р. Македонија - државна обврзница DO2014/38-1224</v>
          </cell>
        </row>
        <row r="63">
          <cell r="A63" t="str">
            <v>Р. Македонија - државна обврзница DO2020/03-0325</v>
          </cell>
        </row>
        <row r="64">
          <cell r="A64" t="str">
            <v>Р. Македонија - државна обврзница DO2014/13-0624dk</v>
          </cell>
        </row>
        <row r="65">
          <cell r="A65" t="str">
            <v>Р. Македонија - државна обврзница ДО2021/13-0836</v>
          </cell>
        </row>
        <row r="66">
          <cell r="A66" t="str">
            <v>Р. Македонија - државна обврзница DO2017/30-1032dk</v>
          </cell>
        </row>
        <row r="67">
          <cell r="A67" t="str">
            <v>Р. Македонија - државна обврзница DO2020/12-1125</v>
          </cell>
        </row>
        <row r="68">
          <cell r="A68" t="str">
            <v>Р. Македонија - државна обврзница DO2019/16-1234dk</v>
          </cell>
        </row>
        <row r="69">
          <cell r="A69" t="str">
            <v>Р. Македонија - државна обврзница DO2017/12-0432dk</v>
          </cell>
        </row>
        <row r="70">
          <cell r="A70" t="str">
            <v>Р. Македонија - државна обврзница DO2017/19-0732dk</v>
          </cell>
        </row>
        <row r="71">
          <cell r="A71" t="str">
            <v>Р. Македонија - државна обврзница DO2015/30-0825dk</v>
          </cell>
        </row>
        <row r="72">
          <cell r="A72" t="str">
            <v>Р. Македонија - државна обврзница DO2015/31-0830dk</v>
          </cell>
        </row>
        <row r="73">
          <cell r="A73" t="str">
            <v>Р. Македонија - државна обврзница DO2020/07-0850dk</v>
          </cell>
        </row>
        <row r="74">
          <cell r="A74" t="str">
            <v>Р.Македонија - државна обврзница DO2024/06-0329</v>
          </cell>
        </row>
        <row r="75">
          <cell r="A75" t="str">
            <v>Р.Македонија - државна обврзница DO2024/07-0339</v>
          </cell>
        </row>
        <row r="76">
          <cell r="A76" t="str">
            <v>Р. Македонија - државна обврзница DO2016/11-0426dk</v>
          </cell>
        </row>
        <row r="77">
          <cell r="A77" t="str">
            <v>Р. Македонија - државна обврзница DO2015/17-0530dk</v>
          </cell>
        </row>
        <row r="78">
          <cell r="A78" t="str">
            <v>Р. Македонија - државна обврзница DO2018/12-0633</v>
          </cell>
        </row>
        <row r="79">
          <cell r="A79" t="str">
            <v>Р. Македонија - државна обврзница DO2017/26-0932dk</v>
          </cell>
        </row>
        <row r="80">
          <cell r="A80" t="str">
            <v>Р.Македонија - државна обврзница DO2023/15-0938</v>
          </cell>
        </row>
        <row r="81">
          <cell r="A81" t="str">
            <v>Р.Македонија - државна обврзница DO2023/16-0938dk</v>
          </cell>
        </row>
        <row r="82">
          <cell r="A82" t="str">
            <v>Р. Македонија - државна обврзница DO2019/15-1134</v>
          </cell>
        </row>
        <row r="83">
          <cell r="A83" t="str">
            <v>Р. Македонија - државна обврзница DO2017/38-1232dk</v>
          </cell>
        </row>
        <row r="84">
          <cell r="A84" t="str">
            <v>Р.Македонија - државна обврзница DO2024/04-0239</v>
          </cell>
        </row>
        <row r="85">
          <cell r="A85" t="str">
            <v>Р.Македонија - државна обврзница DO2024/05-0239</v>
          </cell>
        </row>
        <row r="86">
          <cell r="A86" t="str">
            <v>Р. Македонија - државна обврзница DO2018/10-0333dk</v>
          </cell>
        </row>
        <row r="87">
          <cell r="A87" t="str">
            <v>Р. Македонија - државна обврзница DO2017/16-0632dk</v>
          </cell>
        </row>
        <row r="88">
          <cell r="A88" t="str">
            <v>Р. Македонија - државна обврзница DO2016/15-0731dk</v>
          </cell>
        </row>
        <row r="89">
          <cell r="A89" t="str">
            <v>Р. Македонија - државна обврзница DO2019/11-0834dk</v>
          </cell>
        </row>
        <row r="90">
          <cell r="A90" t="str">
            <v>Р. Македонија - државна обврзница DO2015/40-1030dk</v>
          </cell>
        </row>
        <row r="91">
          <cell r="A91" t="str">
            <v>Р. Македонија - државна обврзница DO2023/02-0238</v>
          </cell>
        </row>
        <row r="92">
          <cell r="A92" t="str">
            <v>Р. Македонија - државна обврзница DO2017/08-0332dk</v>
          </cell>
        </row>
        <row r="93">
          <cell r="A93" t="str">
            <v>Р. Македонија - државна обврзница DO2016/13-0631dk</v>
          </cell>
        </row>
        <row r="94">
          <cell r="A94" t="str">
            <v>Р. Македонија - државна обврзница DO2015/23-0725</v>
          </cell>
        </row>
        <row r="95">
          <cell r="A95" t="str">
            <v>Р. Македонија - државна обврзница DO2015/24-0725dk</v>
          </cell>
        </row>
        <row r="96">
          <cell r="A96" t="str">
            <v>Р. Македонија - државна обврзница DO2015/25-0730dk</v>
          </cell>
        </row>
        <row r="97">
          <cell r="A97" t="str">
            <v>Р. Македонија - државна обврзница DO2018/17-0833dk</v>
          </cell>
        </row>
        <row r="98">
          <cell r="A98" t="str">
            <v>Р.Македонија државна обврзница DO2022/13-0937</v>
          </cell>
        </row>
        <row r="99">
          <cell r="A99" t="str">
            <v>Р.Македонија државна обврзница DO2022/12-0937dk</v>
          </cell>
        </row>
        <row r="100">
          <cell r="A100" t="str">
            <v>Р. Македонија - државна обврзница DO2017/22-0832dk</v>
          </cell>
        </row>
        <row r="101">
          <cell r="A101" t="str">
            <v>Р. Македонија - државна обврзница DO2018/02-0128</v>
          </cell>
        </row>
        <row r="102">
          <cell r="A102" t="str">
            <v>Р. Македонија - државна обврзница DO2018/03-0133dk</v>
          </cell>
        </row>
        <row r="103">
          <cell r="A103" t="str">
            <v>Р.Македонија - државна обврзница DO2024/03-0139</v>
          </cell>
        </row>
        <row r="104">
          <cell r="A104" t="str">
            <v>Р. Македонија - државна обврзница DO2016/05-0226</v>
          </cell>
        </row>
        <row r="105">
          <cell r="A105" t="str">
            <v>Р. Македонија - државна обврзница DO2016/06-0226dk</v>
          </cell>
        </row>
        <row r="106">
          <cell r="A106" t="str">
            <v>Р. Македонија - државна обврзница DO2016/07-0231dk</v>
          </cell>
        </row>
        <row r="107">
          <cell r="A107" t="str">
            <v>Р. Македонија - државна обврзница DO2023/06-0538</v>
          </cell>
        </row>
        <row r="108">
          <cell r="A108" t="str">
            <v>Р. Македонија - државна обврзница DO2017/02-0132dk</v>
          </cell>
        </row>
        <row r="109">
          <cell r="A109" t="str">
            <v>Р. Македонија - државна обврзница DO2023/01-0138</v>
          </cell>
        </row>
        <row r="110">
          <cell r="A110" t="str">
            <v>Р. Македонија - државна обврзница DO2015/05-0230dk</v>
          </cell>
        </row>
        <row r="111">
          <cell r="A111" t="str">
            <v>Р. Македонија - државна обврзница DO2015/09-0325</v>
          </cell>
        </row>
        <row r="112">
          <cell r="A112" t="str">
            <v>Р. Македонија - државна обврзница DO2015/10-0330dk</v>
          </cell>
        </row>
        <row r="113">
          <cell r="A113" t="str">
            <v>Р.Македонија - државна обврзница DO2024/08-0439</v>
          </cell>
        </row>
        <row r="114">
          <cell r="A114" t="str">
            <v>Р.Македонија - државна обврзница DO2024/09-0439dk</v>
          </cell>
        </row>
        <row r="115">
          <cell r="A115" t="str">
            <v>Р. Македонија - државна обврзница DO2022/05-0537</v>
          </cell>
        </row>
        <row r="116">
          <cell r="A116" t="str">
            <v>Р. Македонија - државна обврзница DO2022/01-0137</v>
          </cell>
        </row>
        <row r="117">
          <cell r="A117" t="str">
            <v>Р. Македонија - државна обврзница DO2020/02-0235</v>
          </cell>
        </row>
        <row r="118">
          <cell r="A118" t="str">
            <v>Р. Македонија - државна обврзница DO2023/11-0738</v>
          </cell>
        </row>
        <row r="119">
          <cell r="A119" t="str">
            <v>Р. Македонија - државна обврзница DO2022/14-1037</v>
          </cell>
        </row>
        <row r="120">
          <cell r="A120" t="str">
            <v>Р. Македонија - државна обврзница DO2016/01-0126dk</v>
          </cell>
        </row>
        <row r="121">
          <cell r="A121" t="str">
            <v>Р. Македонија - државна обврзница DO2016/02-0131dk</v>
          </cell>
        </row>
        <row r="122">
          <cell r="A122" t="str">
            <v>Р. Македонија - државна обврзница DO2021/01-0136</v>
          </cell>
        </row>
        <row r="123">
          <cell r="A123" t="str">
            <v>Р. Македонија - државна обврзница DO2016/12-0431dk</v>
          </cell>
        </row>
        <row r="124">
          <cell r="A124" t="str">
            <v>Р. Македонија - државна обврзница DO2022/04-0437dk</v>
          </cell>
        </row>
        <row r="125">
          <cell r="A125" t="str">
            <v>Р. Македонија - државна обврзница DO2021/09-0526</v>
          </cell>
        </row>
        <row r="126">
          <cell r="A126" t="str">
            <v>Р. Македонија - државна обврзница DO2016/23-1031dk</v>
          </cell>
        </row>
        <row r="127">
          <cell r="A127" t="str">
            <v>Р. Македонија - државна обврзница DO2021/15-1036</v>
          </cell>
        </row>
        <row r="128">
          <cell r="A128" t="str">
            <v>Р.Македонија - државна обврзница DO2023/21-1226</v>
          </cell>
        </row>
        <row r="129">
          <cell r="A129" t="str">
            <v>Р.Македонија - државна обврзница DO2023/22-1238</v>
          </cell>
        </row>
        <row r="130">
          <cell r="A130" t="str">
            <v>Р. Македонија - државна обврзница DO2018/08-0233dk</v>
          </cell>
        </row>
        <row r="131">
          <cell r="A131" t="str">
            <v>Р. Македонија - државна обврзница DO2021/07-0436</v>
          </cell>
        </row>
        <row r="132">
          <cell r="A132" t="str">
            <v>Р. Македонија - државна обврзница DO2021/08-0436dk</v>
          </cell>
        </row>
        <row r="133">
          <cell r="A133" t="str">
            <v>Р.Македонија - државна обврзница DO2023/08-0638</v>
          </cell>
        </row>
        <row r="134">
          <cell r="A134" t="str">
            <v>Р.Македонија - државна обврзница DO2023/09-0638dk</v>
          </cell>
        </row>
        <row r="135">
          <cell r="A135" t="str">
            <v>Р. Македонија - државна обврзница DO2020/08-1030</v>
          </cell>
        </row>
        <row r="136">
          <cell r="A136" t="str">
            <v>Р. Македонија - државна обврзница DO2020/09-1030dk</v>
          </cell>
        </row>
        <row r="137">
          <cell r="A137" t="str">
            <v>Р.Македонија - државна обврзница DO2023/03-225</v>
          </cell>
        </row>
        <row r="138">
          <cell r="A138" t="str">
            <v>Р. Македонија - државна обврзница DO2017/06-0232dk</v>
          </cell>
        </row>
        <row r="139">
          <cell r="A139" t="str">
            <v>Р. Македонија - државна обврзница DO2015/15-0430dk</v>
          </cell>
        </row>
        <row r="140">
          <cell r="A140" t="str">
            <v>Р. Македонија - државна обврзница DO2019/08-0524</v>
          </cell>
        </row>
        <row r="141">
          <cell r="A141" t="str">
            <v>Р. Македонија - државна обврзница DO2019/09-0534</v>
          </cell>
        </row>
        <row r="142">
          <cell r="A142" t="str">
            <v>Р.Македонија - државна обврзница DO2022/06-0637</v>
          </cell>
        </row>
        <row r="143">
          <cell r="A143" t="str">
            <v>Р.Македонија - државна обврзница DO2022/07-0637dk</v>
          </cell>
        </row>
        <row r="144">
          <cell r="A144" t="str">
            <v>Р. Македонија - државна обврзница DO2021/14-0936</v>
          </cell>
        </row>
        <row r="145">
          <cell r="A145" t="str">
            <v>Р. Македонија - државна обврзница DO2014/27-1024</v>
          </cell>
        </row>
        <row r="146">
          <cell r="A146" t="str">
            <v>Р. Македонија - државна обврзница DO2014/28-1024dk</v>
          </cell>
        </row>
        <row r="147">
          <cell r="A147" t="str">
            <v>Р.Македонија - државна обврзница DO2023/20-1138</v>
          </cell>
        </row>
        <row r="148">
          <cell r="A148" t="str">
            <v>Р. Македонија - државна обврзница DO2021/17-1224</v>
          </cell>
        </row>
        <row r="149">
          <cell r="A149" t="str">
            <v>Р. Македонија - државна обврзница DO2016/08-0331dk</v>
          </cell>
        </row>
        <row r="150">
          <cell r="A150" t="str">
            <v>Р. Македонија - државна обврзница DO2021/10-0636</v>
          </cell>
        </row>
        <row r="151">
          <cell r="A151" t="str">
            <v>Р. Македонија - државна обврзница DO2021/11-0636dk</v>
          </cell>
        </row>
        <row r="152">
          <cell r="A152" t="str">
            <v>Р. Македонија - државна обврзница DO2017/24-0832dk</v>
          </cell>
        </row>
        <row r="153">
          <cell r="A153" t="str">
            <v>Р. Македонија - државна обврзница DO2015/37-0930dk</v>
          </cell>
        </row>
        <row r="154">
          <cell r="A154" t="str">
            <v>Р. Македонија - државна обврзница DO2019/13-1024</v>
          </cell>
        </row>
        <row r="155">
          <cell r="A155" t="str">
            <v>Р.Македонија државна обврзница DO2022/15-1137</v>
          </cell>
        </row>
        <row r="156">
          <cell r="A156" t="str">
            <v>Р. Македонија - државна обврзница DO2015/45-1225dk</v>
          </cell>
        </row>
        <row r="157">
          <cell r="A157" t="str">
            <v>Р. Македонија - државна обврзница DO2019/06-0449dk</v>
          </cell>
        </row>
        <row r="158">
          <cell r="A158" t="str">
            <v>Р. Македонија - државна обврзница DO2020/06-0635</v>
          </cell>
        </row>
        <row r="159">
          <cell r="A159" t="str">
            <v>Р. Македонија - државна обврзница DO2019/10-0749dk</v>
          </cell>
        </row>
        <row r="160">
          <cell r="A160" t="str">
            <v>Р. Македонија - државна обврзница DO2016/17-0826</v>
          </cell>
        </row>
        <row r="161">
          <cell r="A161" t="str">
            <v>Р. Македонија - државна обврзница DO2016/18-0826dk</v>
          </cell>
        </row>
        <row r="162">
          <cell r="A162" t="str">
            <v>Р. Македонија - државна обврзница DO2016/19-0831dk</v>
          </cell>
        </row>
        <row r="163">
          <cell r="A163" t="str">
            <v>Р. Македонија - државна обврзница DО2022/11-0837dk</v>
          </cell>
        </row>
        <row r="164">
          <cell r="A164" t="str">
            <v>Р. Македонија - државна обврзница DO2018/23-1048dk</v>
          </cell>
        </row>
        <row r="165">
          <cell r="A165" t="str">
            <v>Р. Македонија - државна обврзница DO2021/16-1136dk</v>
          </cell>
        </row>
        <row r="166">
          <cell r="A166" t="str">
            <v>Р. Македонија - државна обврзница DO2018/15-0748dk</v>
          </cell>
        </row>
        <row r="167">
          <cell r="A167" t="str">
            <v>Р. Македонија - државна обврзница DO2019/12-0934</v>
          </cell>
        </row>
        <row r="168">
          <cell r="A168" t="str">
            <v>Р. Македонија - државна обврзница DO2017/32-1032dk</v>
          </cell>
        </row>
        <row r="169">
          <cell r="A169" t="str">
            <v>Р. Македонија - државна обврзница DO2015/42-1125dk</v>
          </cell>
        </row>
        <row r="170">
          <cell r="A170" t="str">
            <v>Р. Македонија - државна обврзница DO2015/43-1130dk</v>
          </cell>
        </row>
        <row r="171">
          <cell r="A171" t="str">
            <v>Р. Македонија - државна обврзница DO2017/20-0732dk</v>
          </cell>
        </row>
        <row r="172">
          <cell r="A172" t="str">
            <v>Р. Македонија - државна обврзница DO2023/13-0738</v>
          </cell>
        </row>
        <row r="173">
          <cell r="A173" t="str">
            <v>Р. Македонија - државна обврзница DO2015/32-0825</v>
          </cell>
        </row>
        <row r="174">
          <cell r="A174" t="str">
            <v>Р. Македонија - државна обврзница DO2015/33-0830dk</v>
          </cell>
        </row>
        <row r="175">
          <cell r="A175" t="str">
            <v>Р. Македонија - државна обврзница DO2018/19-0933</v>
          </cell>
        </row>
        <row r="176">
          <cell r="A176" t="str">
            <v>Р. Македонија - државна обврзница DO2018/20-0933dk</v>
          </cell>
        </row>
        <row r="177">
          <cell r="A177" t="str">
            <v>Р. Македонија - државна обврзница DO2015/18-0525dk</v>
          </cell>
        </row>
        <row r="178">
          <cell r="A178" t="str">
            <v>Р. Македонија - државна обврзница DO2018/13-0633dk</v>
          </cell>
        </row>
        <row r="179">
          <cell r="A179" t="str">
            <v>Р. Македонија - државна обврзница DO2014/18-0824dk</v>
          </cell>
        </row>
        <row r="180">
          <cell r="A180" t="str">
            <v>Р. Македонија - државна обврзница DO2017/27-0932dk</v>
          </cell>
        </row>
        <row r="181">
          <cell r="A181" t="str">
            <v>Р.Македонија - државна обврзница DO2023/17-0938</v>
          </cell>
        </row>
        <row r="182">
          <cell r="A182" t="str">
            <v>Р. Македонија - државна обврзница DO2016/03-0131dk</v>
          </cell>
        </row>
        <row r="183">
          <cell r="A183" t="str">
            <v>Р. Македонија - државна обврзница DO2017/17-0632dk</v>
          </cell>
        </row>
        <row r="184">
          <cell r="A184" t="str">
            <v>Р. Македонија - државна обврзница DO2016/21-0931dk</v>
          </cell>
        </row>
        <row r="185">
          <cell r="A185" t="str">
            <v>Р. Македонија - државна обврзница DO2018/27-1133dk</v>
          </cell>
        </row>
        <row r="186">
          <cell r="A186" t="str">
            <v>Р. Македонија - државна обврзница DO2016/29-1231dk</v>
          </cell>
        </row>
        <row r="187">
          <cell r="A187" t="str">
            <v>Р. Македонија - државна обврзница DO2017/10-0332dk</v>
          </cell>
        </row>
        <row r="188">
          <cell r="A188" t="str">
            <v>Р. Македонија - државна обврзница DO2016/14-0631dk</v>
          </cell>
        </row>
        <row r="189">
          <cell r="A189" t="str">
            <v>Р. Македонија - државна обврзница DO2015/27-0725dk</v>
          </cell>
        </row>
        <row r="190">
          <cell r="A190" t="str">
            <v>Р. Македонија - државна обврзница DO2015/28-0730dk</v>
          </cell>
        </row>
        <row r="191">
          <cell r="A191" t="str">
            <v>Р. Македонија - државна обврзница DO2017/36-1132dk</v>
          </cell>
        </row>
        <row r="192">
          <cell r="A192" t="str">
            <v>Р. Македонија - државна обврзница DO2016/09-0326</v>
          </cell>
        </row>
        <row r="193">
          <cell r="A193" t="str">
            <v>Р. Македонија - државна обврзница DO2014/17-0724dk</v>
          </cell>
        </row>
        <row r="194">
          <cell r="A194" t="str">
            <v>Р. Македонија - државна обврзница DO2015/38-0925dk</v>
          </cell>
        </row>
        <row r="195">
          <cell r="A195" t="str">
            <v>Р. Македонија - државна обврзница DO2015/39-0930dk</v>
          </cell>
        </row>
        <row r="196">
          <cell r="A196" t="str">
            <v>Р. Македонија - државна обврзница DO2015/46-1225dk</v>
          </cell>
        </row>
        <row r="197">
          <cell r="A197" t="str">
            <v>Р. Македонија - државна обврзница DO2018/04-0133</v>
          </cell>
        </row>
        <row r="198">
          <cell r="A198" t="str">
            <v>Р. Македонија - државна обврзница DO2018/05-0133dk</v>
          </cell>
        </row>
        <row r="199">
          <cell r="A199" t="str">
            <v>Р. Македонија - државна обврзница DO2015/20-0625</v>
          </cell>
        </row>
        <row r="200">
          <cell r="A200" t="str">
            <v>Р. Македонија - државна обврзница DO2015/21-0625dk</v>
          </cell>
        </row>
        <row r="201">
          <cell r="A201" t="str">
            <v>Р. Македонија - државна обврзница DO2015/22-0630dk</v>
          </cell>
        </row>
        <row r="202">
          <cell r="A202" t="str">
            <v>Р. Македонија - државна обврзница DO2017/05-0132dk</v>
          </cell>
        </row>
        <row r="203">
          <cell r="A203" t="str">
            <v>Р. Македонија - државна обврзница DO2015/08-0230dk</v>
          </cell>
        </row>
        <row r="204">
          <cell r="A204" t="str">
            <v>Р. Македонија - државна обврзница DO2015/12-0325</v>
          </cell>
        </row>
        <row r="205">
          <cell r="A205" t="str">
            <v>Р. Македонија - државна обврзница DO2015/13-0330dk</v>
          </cell>
        </row>
        <row r="206">
          <cell r="A206" t="str">
            <v>Р. Македонија - државна обврзница DO2018/11-0448dk</v>
          </cell>
        </row>
        <row r="207">
          <cell r="A207" t="str">
            <v>Р.Македонија - државна обврзница DO2023/07-0538dk</v>
          </cell>
        </row>
        <row r="208">
          <cell r="A208" t="str">
            <v>Р. Македонија - државна обврзница DO2022/02-0125</v>
          </cell>
        </row>
        <row r="209">
          <cell r="A209" t="str">
            <v>Р. Македонија - државна обврзница DO2015/34-0825</v>
          </cell>
        </row>
        <row r="210">
          <cell r="A210" t="str">
            <v>Р. Македонија - државна обврзница DO2015/35-0825dk</v>
          </cell>
        </row>
        <row r="211">
          <cell r="A211" t="str">
            <v>Р. Македонија - државна обврзница DO2015/36-0830dk</v>
          </cell>
        </row>
        <row r="212">
          <cell r="A212" t="str">
            <v>Р. Македонија - државна обврзница DO2016/04-0131dk</v>
          </cell>
        </row>
        <row r="213">
          <cell r="A213" t="str">
            <v>Р. Македонија - државна обврзница DO2019/04-0234</v>
          </cell>
        </row>
        <row r="214">
          <cell r="A214" t="str">
            <v>Р. Македонија - државна обврзница DO2016/16-0731dk</v>
          </cell>
        </row>
        <row r="215">
          <cell r="A215" t="str">
            <v>Р.Македонија - државна обврзница DO2023/23-1238dk</v>
          </cell>
        </row>
        <row r="216">
          <cell r="A216" t="str">
            <v>Р. Македонија - државна обврзница DO2015/03-0125</v>
          </cell>
        </row>
        <row r="217">
          <cell r="A217" t="str">
            <v>Р. Македонија - државна обврзница DO2015/04-0125dk</v>
          </cell>
        </row>
        <row r="218">
          <cell r="A218" t="str">
            <v>Р. Македонија - државна обврзница DO2017/18-0632dk</v>
          </cell>
        </row>
        <row r="219">
          <cell r="A219" t="str">
            <v>Р. Македонија - државна обврзница DO2023/10-0638dk</v>
          </cell>
        </row>
        <row r="220">
          <cell r="A220" t="str">
            <v>Р. Македонија - држaвна обврзница DO2021/12-0724</v>
          </cell>
        </row>
        <row r="221">
          <cell r="A221" t="str">
            <v>Р. Македонија - државна обврзница DO2016/22-0931dk</v>
          </cell>
        </row>
        <row r="222">
          <cell r="A222" t="str">
            <v>Р. Македонија - државна обврзница DO2015/41-1030dk</v>
          </cell>
        </row>
        <row r="223">
          <cell r="A223" t="str">
            <v>Р. Македонија - државна обврзница DO2020/10-1035</v>
          </cell>
        </row>
        <row r="224">
          <cell r="A224" t="str">
            <v>Р. Македонија - државна обврзница DO2022/17-1237</v>
          </cell>
        </row>
        <row r="225">
          <cell r="A225" t="str">
            <v>Р. Македонија - државна обврзница DO2022/18-1237dk</v>
          </cell>
        </row>
        <row r="226">
          <cell r="A226" t="str">
            <v>Р. Македонија - државна обврзница DO2020/01-0150dk</v>
          </cell>
        </row>
        <row r="227">
          <cell r="A227" t="str">
            <v>Р. Македонија - државна обврзница DO2017/11-0332dk</v>
          </cell>
        </row>
        <row r="228">
          <cell r="A228" t="str">
            <v>Р. Македонија - државна обврзница DO2023/05-0338</v>
          </cell>
        </row>
        <row r="229">
          <cell r="A229" t="str">
            <v>Р. Македонија - државна обврзница DO2023/06-0338dk</v>
          </cell>
        </row>
        <row r="230">
          <cell r="A230" t="str">
            <v>Р. Македонија - државна обврзница DO2020/04-0450dk</v>
          </cell>
          <cell r="B230">
            <v>100</v>
          </cell>
        </row>
        <row r="231">
          <cell r="A231" t="str">
            <v>Р. Македонија - државна обврзница DO2022/08-0637</v>
          </cell>
        </row>
        <row r="232">
          <cell r="A232" t="str">
            <v>Р. Македонија - државна обврзница DO2015/29-0730dk</v>
          </cell>
        </row>
        <row r="233">
          <cell r="A233" t="str">
            <v>Р. Македонија - државна обврзница DO2014/30-1024dk</v>
          </cell>
        </row>
        <row r="234">
          <cell r="A234" t="str">
            <v>Р. Македонија - државна обврзница DO2017/37-1132dk</v>
          </cell>
        </row>
        <row r="235">
          <cell r="A235" t="str">
            <v>Р. Македонија - државна обврзница DO2019/02-0149dk</v>
          </cell>
        </row>
        <row r="236">
          <cell r="A236" t="str">
            <v>Р. Македонија - државна обврзница DO2016/10-0331dk</v>
          </cell>
        </row>
        <row r="237">
          <cell r="A237" t="str">
            <v>Р. Македонија - државна обврзница DO2019/14-1049dk</v>
          </cell>
        </row>
        <row r="238">
          <cell r="A238" t="str">
            <v>Р. Македонија - денационализација 13</v>
          </cell>
        </row>
        <row r="239">
          <cell r="A239" t="str">
            <v>Р. Македонија - денационализација 14</v>
          </cell>
        </row>
        <row r="240">
          <cell r="A240" t="str">
            <v>Р. Македонија - денационализација 15</v>
          </cell>
        </row>
        <row r="241">
          <cell r="A241" t="str">
            <v>Р. Македонија - денационализација 16</v>
          </cell>
        </row>
        <row r="242">
          <cell r="A242" t="str">
            <v>Р. Македонија - денационализација 17</v>
          </cell>
        </row>
        <row r="243">
          <cell r="A243" t="str">
            <v>Р. Македонија - денационализација 18</v>
          </cell>
          <cell r="B243">
            <v>93</v>
          </cell>
        </row>
        <row r="244">
          <cell r="A244" t="str">
            <v>Р. Македонија - денационализација 19</v>
          </cell>
          <cell r="B244">
            <v>92</v>
          </cell>
        </row>
        <row r="245">
          <cell r="A245" t="str">
            <v>Р. Македонија - денационализација 20</v>
          </cell>
          <cell r="B245">
            <v>94</v>
          </cell>
        </row>
        <row r="246">
          <cell r="A246" t="str">
            <v>Р. Македонија - денационализација 21</v>
          </cell>
          <cell r="B246">
            <v>92</v>
          </cell>
        </row>
        <row r="247">
          <cell r="A247" t="str">
            <v>Р. Македонија - денационализација 22</v>
          </cell>
          <cell r="B247">
            <v>87</v>
          </cell>
        </row>
        <row r="248">
          <cell r="A248" t="str">
            <v>Р.Македонија - структурни обврзници општина Виница</v>
          </cell>
        </row>
        <row r="249">
          <cell r="A249" t="str">
            <v>Р.Македонија - структурни обврзници општина Желино</v>
          </cell>
          <cell r="B249">
            <v>97.1</v>
          </cell>
        </row>
        <row r="250">
          <cell r="A250" t="str">
            <v>Р.Македонија - структурни обврзници општина Тетово</v>
          </cell>
          <cell r="B250">
            <v>95.2</v>
          </cell>
        </row>
        <row r="251">
          <cell r="A251" t="str">
            <v>СН Осигурителен Брокер АД Битола - корпоративна обврзница I емисија</v>
          </cell>
          <cell r="B251">
            <v>90</v>
          </cell>
        </row>
        <row r="252">
          <cell r="A252" t="str">
            <v>ТТК банка АД Скопје - корпоративна обврзница I емисија</v>
          </cell>
          <cell r="B252">
            <v>100</v>
          </cell>
        </row>
        <row r="253">
          <cell r="A253" t="str">
            <v>ТТК банка АД Скопје - корпоративна обврзница II емисија</v>
          </cell>
        </row>
        <row r="254">
          <cell r="A254" t="str">
            <v>Р.Македонија - државна обврзница DO2023/18-1025</v>
          </cell>
        </row>
        <row r="255">
          <cell r="A255" t="str">
            <v>Берзанска котација - други хартии од вредност</v>
          </cell>
        </row>
        <row r="256">
          <cell r="A256" t="str">
            <v>Универзална Инвестициона Банка Скопје - перпетуални обврзници - втора емисија</v>
          </cell>
        </row>
        <row r="257">
          <cell r="A257" t="str">
            <v>Универзална Инвестициона Банка Скопје - перпетуални обврзници - трета емисија</v>
          </cell>
        </row>
        <row r="258">
          <cell r="A258" t="str">
            <v>Задолжителна котација - обични акции</v>
          </cell>
        </row>
        <row r="259">
          <cell r="A259" t="str">
            <v>Адинг Скопје</v>
          </cell>
          <cell r="B259">
            <v>1200</v>
          </cell>
        </row>
        <row r="260">
          <cell r="A260" t="str">
            <v>Агромеханика Скопје</v>
          </cell>
          <cell r="B260">
            <v>300</v>
          </cell>
        </row>
        <row r="261">
          <cell r="A261" t="str">
            <v>Ангропромет-Тиквешанка Кавадарци</v>
          </cell>
          <cell r="B261">
            <v>750</v>
          </cell>
        </row>
        <row r="262">
          <cell r="A262" t="str">
            <v>Аутомакедонија Скопје</v>
          </cell>
          <cell r="B262">
            <v>2950</v>
          </cell>
        </row>
        <row r="263">
          <cell r="A263" t="str">
            <v>Рудници Бањани Скопје</v>
          </cell>
          <cell r="B263">
            <v>603</v>
          </cell>
        </row>
        <row r="264">
          <cell r="A264" t="str">
            <v>Кристал 1923 АД Велес</v>
          </cell>
          <cell r="B264">
            <v>158</v>
          </cell>
        </row>
        <row r="265">
          <cell r="A265" t="str">
            <v>БИМ Свети Николе</v>
          </cell>
          <cell r="B265">
            <v>15550</v>
          </cell>
        </row>
        <row r="266">
          <cell r="A266" t="str">
            <v>ФЗЦ 11 Октомври Куманово</v>
          </cell>
          <cell r="B266">
            <v>220</v>
          </cell>
        </row>
        <row r="267">
          <cell r="A267" t="str">
            <v>Централна кооперативна банка Скопје</v>
          </cell>
          <cell r="B267">
            <v>350</v>
          </cell>
        </row>
        <row r="268">
          <cell r="A268" t="str">
            <v>Дебарски бањи Дебар</v>
          </cell>
          <cell r="B268">
            <v>1550</v>
          </cell>
        </row>
        <row r="269">
          <cell r="A269" t="str">
            <v>Димко Митрев Велес</v>
          </cell>
          <cell r="B269">
            <v>185</v>
          </cell>
        </row>
        <row r="270">
          <cell r="A270" t="str">
            <v>Единство Струмица</v>
          </cell>
          <cell r="B270">
            <v>80</v>
          </cell>
        </row>
        <row r="271">
          <cell r="A271" t="str">
            <v>Европа Скопје</v>
          </cell>
          <cell r="B271">
            <v>3168</v>
          </cell>
        </row>
        <row r="272">
          <cell r="A272" t="str">
            <v>Факом Скопје</v>
          </cell>
          <cell r="B272">
            <v>6984</v>
          </cell>
        </row>
        <row r="273">
          <cell r="A273" t="str">
            <v>Фустеларко Борец Битола</v>
          </cell>
          <cell r="B273">
            <v>2101</v>
          </cell>
        </row>
        <row r="274">
          <cell r="A274" t="str">
            <v>Герас Цунев конфекција Струмица</v>
          </cell>
          <cell r="B274">
            <v>500</v>
          </cell>
        </row>
        <row r="275">
          <cell r="A275" t="str">
            <v>Герас Цунев трговија Струмица</v>
          </cell>
          <cell r="B275">
            <v>500</v>
          </cell>
        </row>
        <row r="276">
          <cell r="A276" t="str">
            <v>Грозд Струмица</v>
          </cell>
          <cell r="B276">
            <v>2250</v>
          </cell>
        </row>
        <row r="277">
          <cell r="A277" t="str">
            <v>Градски Трговски Центар Скопје</v>
          </cell>
          <cell r="B277">
            <v>1790</v>
          </cell>
        </row>
        <row r="278">
          <cell r="A278" t="str">
            <v>Интерпромет Тетово</v>
          </cell>
          <cell r="B278">
            <v>4500</v>
          </cell>
        </row>
        <row r="279">
          <cell r="A279" t="str">
            <v>Македонија осигурување АД Скопје - Виена Иншуренс Груп</v>
          </cell>
          <cell r="B279">
            <v>1237</v>
          </cell>
        </row>
        <row r="280">
          <cell r="A280" t="str">
            <v>Кланица со ладилник Струмица</v>
          </cell>
          <cell r="B280">
            <v>120</v>
          </cell>
        </row>
        <row r="281">
          <cell r="A281" t="str">
            <v>Фруктал МАК Скопје</v>
          </cell>
          <cell r="B281">
            <v>119</v>
          </cell>
        </row>
        <row r="282">
          <cell r="A282" t="str">
            <v>Карпош Скопје</v>
          </cell>
          <cell r="B282">
            <v>333</v>
          </cell>
        </row>
        <row r="283">
          <cell r="A283" t="str">
            <v>Лотарија на Македонија Скопје</v>
          </cell>
          <cell r="B283">
            <v>180</v>
          </cell>
        </row>
        <row r="284">
          <cell r="A284" t="str">
            <v>Пелистерка АД Скопје</v>
          </cell>
          <cell r="B284">
            <v>2619</v>
          </cell>
        </row>
        <row r="285">
          <cell r="A285" t="str">
            <v>Макпромет Штип</v>
          </cell>
          <cell r="B285">
            <v>600</v>
          </cell>
        </row>
        <row r="286">
          <cell r="A286" t="str">
            <v>Мермерен комбинат Прилеп</v>
          </cell>
          <cell r="B286">
            <v>2575</v>
          </cell>
        </row>
        <row r="287">
          <cell r="A287" t="str">
            <v>Мода Свети Николе</v>
          </cell>
          <cell r="B287">
            <v>99</v>
          </cell>
        </row>
        <row r="288">
          <cell r="A288" t="str">
            <v>Вабтек МЗТ Скопје</v>
          </cell>
          <cell r="B288">
            <v>3133</v>
          </cell>
        </row>
        <row r="289">
          <cell r="A289" t="str">
            <v>МЗТ Пумпи Скопје</v>
          </cell>
          <cell r="B289">
            <v>607</v>
          </cell>
        </row>
        <row r="290">
          <cell r="A290" t="str">
            <v>Огражден Струмица</v>
          </cell>
        </row>
        <row r="291">
          <cell r="A291" t="str">
            <v>Нова стоковна куќа Струмица</v>
          </cell>
          <cell r="B291">
            <v>61500</v>
          </cell>
        </row>
        <row r="292">
          <cell r="A292" t="str">
            <v>Оилко КДА Скопје</v>
          </cell>
          <cell r="B292">
            <v>6000</v>
          </cell>
        </row>
        <row r="293">
          <cell r="A293" t="str">
            <v>ОКТА Скопје</v>
          </cell>
          <cell r="B293">
            <v>5146</v>
          </cell>
        </row>
        <row r="294">
          <cell r="A294" t="str">
            <v>Оранжерии Хамзали Струмица</v>
          </cell>
          <cell r="B294">
            <v>300</v>
          </cell>
        </row>
        <row r="295">
          <cell r="A295" t="str">
            <v>Пекабеско Скопје</v>
          </cell>
          <cell r="B295">
            <v>16500</v>
          </cell>
        </row>
        <row r="296">
          <cell r="A296" t="str">
            <v>Попова Кула Демир Капија</v>
          </cell>
          <cell r="B296">
            <v>16</v>
          </cell>
        </row>
        <row r="297">
          <cell r="A297" t="str">
            <v>Прилепска Пиварница Прилеп</v>
          </cell>
          <cell r="B297">
            <v>34300</v>
          </cell>
        </row>
        <row r="298">
          <cell r="A298" t="str">
            <v>Раде Кончар Скопје</v>
          </cell>
          <cell r="B298">
            <v>2000</v>
          </cell>
        </row>
        <row r="299">
          <cell r="A299" t="str">
            <v>РЖ Економика Скопје</v>
          </cell>
          <cell r="B299">
            <v>50</v>
          </cell>
        </row>
        <row r="300">
          <cell r="A300" t="str">
            <v>Либерти АД Скопје</v>
          </cell>
          <cell r="B300">
            <v>46</v>
          </cell>
        </row>
        <row r="301">
          <cell r="A301" t="str">
            <v>РЖ Техничка контрола Скопје</v>
          </cell>
          <cell r="B301">
            <v>367</v>
          </cell>
        </row>
        <row r="302">
          <cell r="A302" t="str">
            <v>РЖ Уготур Скопје</v>
          </cell>
          <cell r="B302">
            <v>20</v>
          </cell>
        </row>
        <row r="303">
          <cell r="A303" t="str">
            <v>Современ дом Прилеп</v>
          </cell>
          <cell r="B303">
            <v>30</v>
          </cell>
        </row>
        <row r="304">
          <cell r="A304" t="str">
            <v>Силекс Кратово</v>
          </cell>
          <cell r="B304">
            <v>70</v>
          </cell>
        </row>
        <row r="305">
          <cell r="A305" t="str">
            <v>Славеј Скопје</v>
          </cell>
          <cell r="B305">
            <v>3100</v>
          </cell>
        </row>
        <row r="306">
          <cell r="A306" t="str">
            <v>Струмичко поле с.Василево</v>
          </cell>
        </row>
        <row r="307">
          <cell r="A307" t="str">
            <v>Сигурносно стакло Прилеп</v>
          </cell>
          <cell r="B307">
            <v>360</v>
          </cell>
        </row>
        <row r="308">
          <cell r="A308" t="str">
            <v>Стопанска банка Скопје</v>
          </cell>
        </row>
        <row r="309">
          <cell r="A309" t="str">
            <v>Стокопромет Скопје</v>
          </cell>
          <cell r="B309">
            <v>1200</v>
          </cell>
        </row>
        <row r="310">
          <cell r="A310" t="str">
            <v>ТЕАЛ-Алумина Тетово</v>
          </cell>
        </row>
        <row r="311">
          <cell r="A311" t="str">
            <v>Технокомерц Скопје</v>
          </cell>
        </row>
        <row r="312">
          <cell r="A312" t="str">
            <v>Македонски Телеком Скопје</v>
          </cell>
          <cell r="B312">
            <v>420</v>
          </cell>
        </row>
        <row r="313">
          <cell r="A313" t="str">
            <v>ГД-Тиквеш Кавадарци</v>
          </cell>
        </row>
        <row r="314">
          <cell r="A314" t="str">
            <v>НЛБ Банка АД Скопје</v>
          </cell>
          <cell r="B314">
            <v>38080.35</v>
          </cell>
        </row>
        <row r="315">
          <cell r="A315" t="str">
            <v>Транскоп-Патнички сооб. Битола</v>
          </cell>
          <cell r="B315">
            <v>1800</v>
          </cell>
        </row>
        <row r="316">
          <cell r="A316" t="str">
            <v>Трготекстил малопродажба Скопје</v>
          </cell>
          <cell r="B316">
            <v>97</v>
          </cell>
        </row>
        <row r="317">
          <cell r="A317" t="str">
            <v>Универзална Инвестициона Банка Скопје</v>
          </cell>
          <cell r="B317">
            <v>7134.5</v>
          </cell>
        </row>
        <row r="318">
          <cell r="A318" t="str">
            <v>Цементарница УСЈЕ Скопје</v>
          </cell>
          <cell r="B318">
            <v>31250</v>
          </cell>
        </row>
        <row r="319">
          <cell r="A319" t="str">
            <v>Триглав осигурување Скопје</v>
          </cell>
          <cell r="B319">
            <v>7838</v>
          </cell>
        </row>
        <row r="320">
          <cell r="A320" t="str">
            <v>Ветекс Велес</v>
          </cell>
          <cell r="B320">
            <v>1002</v>
          </cell>
        </row>
        <row r="321">
          <cell r="A321" t="str">
            <v>ЖАС Скопје</v>
          </cell>
        </row>
        <row r="322">
          <cell r="A322" t="str">
            <v>Жито Караорман Кичево</v>
          </cell>
        </row>
        <row r="323">
          <cell r="A323" t="str">
            <v>Жито Полог Тетово</v>
          </cell>
        </row>
        <row r="324">
          <cell r="A324" t="str">
            <v>Задолжителна котација - приоритетни акции</v>
          </cell>
        </row>
        <row r="325">
          <cell r="A325" t="str">
            <v>Стопанска банка Скопје</v>
          </cell>
        </row>
        <row r="326">
          <cell r="A326" t="str">
            <v>Редовен пазар</v>
          </cell>
        </row>
        <row r="327">
          <cell r="A327" t="str">
            <v>Пазар на акционерски друштва со посебни обврски за известување - обични акции</v>
          </cell>
        </row>
        <row r="328">
          <cell r="A328" t="str">
            <v>Шпаркасе банка Македонија АД Скопје</v>
          </cell>
        </row>
        <row r="329">
          <cell r="A329" t="str">
            <v>Слободен пазар - обични акции</v>
          </cell>
        </row>
        <row r="330">
          <cell r="A330" t="str">
            <v>Град. институт Македонија Скопје</v>
          </cell>
        </row>
        <row r="331">
          <cell r="A331" t="str">
            <v>Караорман Скопје</v>
          </cell>
        </row>
        <row r="332">
          <cell r="A332" t="str">
            <v>Квасара Битола</v>
          </cell>
        </row>
        <row r="333">
          <cell r="A333" t="str">
            <v>Млекара АД Битола</v>
          </cell>
        </row>
        <row r="334">
          <cell r="A334" t="str">
            <v>АрцелорМиттал (ХРМ) АД Скопје - долгорочно суспендирано од котација</v>
          </cell>
        </row>
        <row r="335">
          <cell r="A335" t="str">
            <v>Пивара Скопје АД Скопје</v>
          </cell>
        </row>
        <row r="336">
          <cell r="A336" t="str">
            <v>Ветеринарно сточарски центар Куманово</v>
          </cell>
        </row>
        <row r="337">
          <cell r="A337" t="str">
            <v>БЛОКОВИ</v>
          </cell>
        </row>
        <row r="338">
          <cell r="A338" t="str">
            <v>Официјален пазар</v>
          </cell>
        </row>
        <row r="339">
          <cell r="A339" t="str">
            <v>Берзанска котација - обични акции</v>
          </cell>
        </row>
        <row r="340">
          <cell r="A340" t="str">
            <v>Македонијатурист Скопје</v>
          </cell>
        </row>
        <row r="341">
          <cell r="A341" t="str">
            <v>Вкупен промет на сите пазарни сегменти: 25.462.535,00</v>
          </cell>
        </row>
        <row r="342">
          <cell r="A342" t="str">
            <v>МБИ10</v>
          </cell>
        </row>
        <row r="343">
          <cell r="A343" t="str">
            <v>ОМБ</v>
          </cell>
        </row>
        <row r="344">
          <cell r="A344" t="str">
            <v>1 EUR = 61,4950 МКД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  <cell r="B6">
            <v>17947.95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  <cell r="B8">
            <v>20395.21</v>
          </cell>
        </row>
        <row r="9">
          <cell r="A9" t="str">
            <v>Фершпед Скопје</v>
          </cell>
          <cell r="B9">
            <v>50500</v>
          </cell>
        </row>
        <row r="10">
          <cell r="A10" t="str">
            <v>Гранит Скопје</v>
          </cell>
        </row>
        <row r="11">
          <cell r="A11" t="str">
            <v>Интернешнел Хотелс АД Скопје</v>
          </cell>
          <cell r="B11">
            <v>4005</v>
          </cell>
        </row>
        <row r="12">
          <cell r="A12" t="str">
            <v>ДС Смитх АД Скопје</v>
          </cell>
        </row>
        <row r="13">
          <cell r="A13" t="str">
            <v>Макотекс Скопје</v>
          </cell>
          <cell r="B13">
            <v>20</v>
          </cell>
        </row>
        <row r="14">
          <cell r="A14" t="str">
            <v>Макошпед Скопје</v>
          </cell>
        </row>
        <row r="15">
          <cell r="A15" t="str">
            <v>Хотели Метропол Охрид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  <cell r="B30">
            <v>3604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Р.Македонија - државна обврзница DO2023/19-1125</v>
          </cell>
        </row>
        <row r="37">
          <cell r="A37" t="str">
            <v>Р. Македонија - државна обврзница DO2023/12-0725</v>
          </cell>
        </row>
        <row r="38">
          <cell r="A38" t="str">
            <v>Р. Македонија - државна обврзница DO2021/05-0428</v>
          </cell>
        </row>
        <row r="39">
          <cell r="A39" t="str">
            <v>Р. Македонија - државна обврзница DO2021/06-0428dk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Р.Македонија државна обврзница DO2022/16-1237</v>
          </cell>
        </row>
        <row r="44">
          <cell r="A44" t="str">
            <v>Р.Македонија - државна обврзница DO2024/01-0126</v>
          </cell>
        </row>
        <row r="45">
          <cell r="A45" t="str">
            <v>Р.Македонија - државна обврзница DO2024/02-0127</v>
          </cell>
        </row>
        <row r="46">
          <cell r="A46" t="str">
            <v>Р. Македонија - државна обврзница DO2014/10-0524dk</v>
          </cell>
        </row>
        <row r="47">
          <cell r="A47" t="str">
            <v>Р. Македонија - државна обврзница DO2014/23-1024</v>
          </cell>
        </row>
        <row r="48">
          <cell r="A48" t="str">
            <v>Р. Македонија - државна обврзница DO2017/35-1132dk</v>
          </cell>
        </row>
        <row r="49">
          <cell r="A49" t="str">
            <v>Р. Македонија - државна обврзница DO2022/03-0337</v>
          </cell>
        </row>
        <row r="50">
          <cell r="A50" t="str">
            <v>Р. Македонија - државна обврзница DO2023/04-0338</v>
          </cell>
        </row>
        <row r="51">
          <cell r="A51" t="str">
            <v>Р. Македонија - државна обврзница DO2014/16-0724dk</v>
          </cell>
        </row>
        <row r="52">
          <cell r="A52" t="str">
            <v>Р. Македонија - државна обврзница DO2016/26-1131dk</v>
          </cell>
        </row>
        <row r="53">
          <cell r="A53" t="str">
            <v>Р. Македонија - државна обврзница DO2015/44-1230dk</v>
          </cell>
        </row>
        <row r="54">
          <cell r="A54" t="str">
            <v>Р. Македонија - државна обврзница DO2020/15-1235dk</v>
          </cell>
        </row>
        <row r="55">
          <cell r="A55" t="str">
            <v>Р. Македонија - државна обврзница DO2021/04-0336</v>
          </cell>
        </row>
        <row r="56">
          <cell r="A56" t="str">
            <v>Р. Македонија - државна обврзница DO2017/14-0532dk</v>
          </cell>
        </row>
        <row r="57">
          <cell r="A57" t="str">
            <v>Р. Македонија - државна обврзница DO2015/19-0630dk</v>
          </cell>
        </row>
        <row r="58">
          <cell r="A58" t="str">
            <v>Р.Македонија - државна обврзница DO2022/09-0837</v>
          </cell>
        </row>
        <row r="59">
          <cell r="A59" t="str">
            <v>Р.Македонија - државна обврзница DO2022/10-0837dk</v>
          </cell>
        </row>
        <row r="60">
          <cell r="A60" t="str">
            <v>Р. Македонија - државна обврзница DO2023/14-0838</v>
          </cell>
        </row>
        <row r="61">
          <cell r="A61" t="str">
            <v>Р. Македонија - државна обврзница DO2014/19-0924dk</v>
          </cell>
        </row>
        <row r="62">
          <cell r="A62" t="str">
            <v>Р. Македонија - државна обврзница DO2014/38-1224</v>
          </cell>
        </row>
        <row r="63">
          <cell r="A63" t="str">
            <v>Р. Македонија - државна обврзница DO2020/03-0325</v>
          </cell>
        </row>
        <row r="64">
          <cell r="A64" t="str">
            <v>Р. Македонија - државна обврзница DO2014/13-0624dk</v>
          </cell>
        </row>
        <row r="65">
          <cell r="A65" t="str">
            <v>Р. Македонија - државна обврзница ДО2021/13-0836</v>
          </cell>
          <cell r="B65">
            <v>100</v>
          </cell>
        </row>
        <row r="66">
          <cell r="A66" t="str">
            <v>Р. Македонија - државна обврзница DO2017/30-1032dk</v>
          </cell>
        </row>
        <row r="67">
          <cell r="A67" t="str">
            <v>Р. Македонија - државна обврзница DO2020/12-1125</v>
          </cell>
        </row>
        <row r="68">
          <cell r="A68" t="str">
            <v>Р. Македонија - државна обврзница DO2019/16-1234dk</v>
          </cell>
        </row>
        <row r="69">
          <cell r="A69" t="str">
            <v>Р. Македонија - државна обврзница DO2017/12-0432dk</v>
          </cell>
        </row>
        <row r="70">
          <cell r="A70" t="str">
            <v>Р. Македонија - државна обврзница DO2017/19-0732dk</v>
          </cell>
        </row>
        <row r="71">
          <cell r="A71" t="str">
            <v>Р. Македонија - државна обврзница DO2015/30-0825dk</v>
          </cell>
        </row>
        <row r="72">
          <cell r="A72" t="str">
            <v>Р. Македонија - државна обврзница DO2015/31-0830dk</v>
          </cell>
        </row>
        <row r="73">
          <cell r="A73" t="str">
            <v>Р. Македонија - државна обврзница DO2020/07-0850dk</v>
          </cell>
        </row>
        <row r="74">
          <cell r="A74" t="str">
            <v>Р.Македонија - државна обврзница DO2024/06-0329</v>
          </cell>
        </row>
        <row r="75">
          <cell r="A75" t="str">
            <v>Р.Македонија - државна обврзница DO2024/07-0339</v>
          </cell>
        </row>
        <row r="76">
          <cell r="A76" t="str">
            <v>Р. Македонија - државна обврзница DO2016/11-0426dk</v>
          </cell>
        </row>
        <row r="77">
          <cell r="A77" t="str">
            <v>Р. Македонија - државна обврзница DO2015/17-0530dk</v>
          </cell>
        </row>
        <row r="78">
          <cell r="A78" t="str">
            <v>Р. Македонија - државна обврзница DO2018/12-0633</v>
          </cell>
        </row>
        <row r="79">
          <cell r="A79" t="str">
            <v>Р. Македонија - државна обврзница DO2017/26-0932dk</v>
          </cell>
        </row>
        <row r="80">
          <cell r="A80" t="str">
            <v>Р.Македонија - државна обврзница DO2023/15-0938</v>
          </cell>
        </row>
        <row r="81">
          <cell r="A81" t="str">
            <v>Р.Македонија - државна обврзница DO2023/16-0938dk</v>
          </cell>
        </row>
        <row r="82">
          <cell r="A82" t="str">
            <v>Р. Македонија - државна обврзница DO2019/15-1134</v>
          </cell>
        </row>
        <row r="83">
          <cell r="A83" t="str">
            <v>Р. Македонија - државна обврзница DO2017/38-1232dk</v>
          </cell>
        </row>
        <row r="84">
          <cell r="A84" t="str">
            <v>Р.Македонија - државна обврзница DO2024/04-0239</v>
          </cell>
        </row>
        <row r="85">
          <cell r="A85" t="str">
            <v>Р.Македонија - државна обврзница DO2024/05-0239</v>
          </cell>
        </row>
        <row r="86">
          <cell r="A86" t="str">
            <v>Р. Македонија - државна обврзница DO2018/10-0333dk</v>
          </cell>
        </row>
        <row r="87">
          <cell r="A87" t="str">
            <v>Р. Македонија - државна обврзница DO2017/16-0632dk</v>
          </cell>
        </row>
        <row r="88">
          <cell r="A88" t="str">
            <v>Р. Македонија - државна обврзница DO2016/15-0731dk</v>
          </cell>
        </row>
        <row r="89">
          <cell r="A89" t="str">
            <v>Р. Македонија - државна обврзница DO2019/11-0834dk</v>
          </cell>
        </row>
        <row r="90">
          <cell r="A90" t="str">
            <v>Р. Македонија - државна обврзница DO2015/40-1030dk</v>
          </cell>
        </row>
        <row r="91">
          <cell r="A91" t="str">
            <v>Р. Македонија - државна обврзница DO2023/02-0238</v>
          </cell>
        </row>
        <row r="92">
          <cell r="A92" t="str">
            <v>Р. Македонија - државна обврзница DO2017/08-0332dk</v>
          </cell>
        </row>
        <row r="93">
          <cell r="A93" t="str">
            <v>Р. Македонија - државна обврзница DO2016/13-0631dk</v>
          </cell>
        </row>
        <row r="94">
          <cell r="A94" t="str">
            <v>Р. Македонија - државна обврзница DO2015/23-0725</v>
          </cell>
        </row>
        <row r="95">
          <cell r="A95" t="str">
            <v>Р. Македонија - државна обврзница DO2015/24-0725dk</v>
          </cell>
        </row>
        <row r="96">
          <cell r="A96" t="str">
            <v>Р. Македонија - државна обврзница DO2015/25-0730dk</v>
          </cell>
        </row>
        <row r="97">
          <cell r="A97" t="str">
            <v>Р. Македонија - државна обврзница DO2018/17-0833dk</v>
          </cell>
        </row>
        <row r="98">
          <cell r="A98" t="str">
            <v>Р.Македонија државна обврзница DO2022/13-0937</v>
          </cell>
        </row>
        <row r="99">
          <cell r="A99" t="str">
            <v>Р.Македонија државна обврзница DO2022/12-0937dk</v>
          </cell>
        </row>
        <row r="100">
          <cell r="A100" t="str">
            <v>Р. Македонија - државна обврзница DO2017/22-0832dk</v>
          </cell>
        </row>
        <row r="101">
          <cell r="A101" t="str">
            <v>Р. Македонија - државна обврзница DO2018/02-0128</v>
          </cell>
        </row>
        <row r="102">
          <cell r="A102" t="str">
            <v>Р. Македонија - државна обврзница DO2018/03-0133dk</v>
          </cell>
        </row>
        <row r="103">
          <cell r="A103" t="str">
            <v>Р.Македонија - државна обврзница DO2024/03-0139</v>
          </cell>
        </row>
        <row r="104">
          <cell r="A104" t="str">
            <v>Р. Македонија - државна обврзница DO2016/05-0226</v>
          </cell>
        </row>
        <row r="105">
          <cell r="A105" t="str">
            <v>Р. Македонија - државна обврзница DO2016/06-0226dk</v>
          </cell>
        </row>
        <row r="106">
          <cell r="A106" t="str">
            <v>Р. Македонија - државна обврзница DO2016/07-0231dk</v>
          </cell>
        </row>
        <row r="107">
          <cell r="A107" t="str">
            <v>Р. Македонија - државна обврзница DO2023/06-0538</v>
          </cell>
        </row>
        <row r="108">
          <cell r="A108" t="str">
            <v>Р. Македонија - државна обврзница DO2017/02-0132dk</v>
          </cell>
        </row>
        <row r="109">
          <cell r="A109" t="str">
            <v>Р. Македонија - државна обврзница DO2023/01-0138</v>
          </cell>
        </row>
        <row r="110">
          <cell r="A110" t="str">
            <v>Р. Македонија - државна обврзница DO2015/05-0230dk</v>
          </cell>
        </row>
        <row r="111">
          <cell r="A111" t="str">
            <v>Р. Македонија - државна обврзница DO2015/09-0325</v>
          </cell>
        </row>
        <row r="112">
          <cell r="A112" t="str">
            <v>Р. Македонија - државна обврзница DO2015/10-0330dk</v>
          </cell>
        </row>
        <row r="113">
          <cell r="A113" t="str">
            <v>Р. Македонија - државна обврзница DO2022/05-0537</v>
          </cell>
        </row>
        <row r="114">
          <cell r="A114" t="str">
            <v>Р. Македонија - државна обврзница DO2022/01-0137</v>
          </cell>
        </row>
        <row r="115">
          <cell r="A115" t="str">
            <v>Р. Македонија - државна обврзница DO2020/02-0235</v>
          </cell>
        </row>
        <row r="116">
          <cell r="A116" t="str">
            <v>Р. Македонија - државна обврзница DO2023/11-0738</v>
          </cell>
        </row>
        <row r="117">
          <cell r="A117" t="str">
            <v>Р. Македонија - државна обврзница DO2022/14-1037</v>
          </cell>
        </row>
        <row r="118">
          <cell r="A118" t="str">
            <v>Р. Македонија - државна обврзница DO2016/01-0126dk</v>
          </cell>
        </row>
        <row r="119">
          <cell r="A119" t="str">
            <v>Р. Македонија - државна обврзница DO2016/02-0131dk</v>
          </cell>
        </row>
        <row r="120">
          <cell r="A120" t="str">
            <v>Р. Македонија - државна обврзница DO2021/01-0136</v>
          </cell>
        </row>
        <row r="121">
          <cell r="A121" t="str">
            <v>Р. Македонија - државна обврзница DO2016/12-0431dk</v>
          </cell>
        </row>
        <row r="122">
          <cell r="A122" t="str">
            <v>Р. Македонија - државна обврзница DO2022/04-0437dk</v>
          </cell>
        </row>
        <row r="123">
          <cell r="A123" t="str">
            <v>Р. Македонија - државна обврзница DO2021/09-0526</v>
          </cell>
        </row>
        <row r="124">
          <cell r="A124" t="str">
            <v>Р. Македонија - државна обврзница DO2016/23-1031dk</v>
          </cell>
        </row>
        <row r="125">
          <cell r="A125" t="str">
            <v>Р. Македонија - државна обврзница DO2021/15-1036</v>
          </cell>
        </row>
        <row r="126">
          <cell r="A126" t="str">
            <v>Р.Македонија - државна обврзница DO2023/21-1226</v>
          </cell>
        </row>
        <row r="127">
          <cell r="A127" t="str">
            <v>Р.Македонија - државна обврзница DO2023/22-1238</v>
          </cell>
        </row>
        <row r="128">
          <cell r="A128" t="str">
            <v>Р. Македонија - државна обврзница DO2018/08-0233dk</v>
          </cell>
        </row>
        <row r="129">
          <cell r="A129" t="str">
            <v>Р. Македонија - државна обврзница DO2021/07-0436</v>
          </cell>
        </row>
        <row r="130">
          <cell r="A130" t="str">
            <v>Р. Македонија - државна обврзница DO2021/08-0436dk</v>
          </cell>
        </row>
        <row r="131">
          <cell r="A131" t="str">
            <v>Р.Македонија - државна обврзница DO2023/08-0638</v>
          </cell>
        </row>
        <row r="132">
          <cell r="A132" t="str">
            <v>Р.Македонија - државна обврзница DO2023/09-0638dk</v>
          </cell>
        </row>
        <row r="133">
          <cell r="A133" t="str">
            <v>Р. Македонија - државна обврзница DO2020/08-1030</v>
          </cell>
        </row>
        <row r="134">
          <cell r="A134" t="str">
            <v>Р. Македонија - државна обврзница DO2020/09-1030dk</v>
          </cell>
        </row>
        <row r="135">
          <cell r="A135" t="str">
            <v>Р.Македонија - државна обврзница DO2023/03-225</v>
          </cell>
        </row>
        <row r="136">
          <cell r="A136" t="str">
            <v>Р. Македонија - државна обврзница DO2017/06-0232dk</v>
          </cell>
        </row>
        <row r="137">
          <cell r="A137" t="str">
            <v>Р. Македонија - државна обврзница DO2015/15-0430dk</v>
          </cell>
        </row>
        <row r="138">
          <cell r="A138" t="str">
            <v>Р. Македонија - државна обврзница DO2019/08-0524</v>
          </cell>
        </row>
        <row r="139">
          <cell r="A139" t="str">
            <v>Р. Македонија - државна обврзница DO2019/09-0534</v>
          </cell>
        </row>
        <row r="140">
          <cell r="A140" t="str">
            <v>Р.Македонија - државна обврзница DO2022/06-0637</v>
          </cell>
        </row>
        <row r="141">
          <cell r="A141" t="str">
            <v>Р.Македонија - државна обврзница DO2022/07-0637dk</v>
          </cell>
        </row>
        <row r="142">
          <cell r="A142" t="str">
            <v>Р. Македонија - државна обврзница DO2021/14-0936</v>
          </cell>
        </row>
        <row r="143">
          <cell r="A143" t="str">
            <v>Р. Македонија - државна обврзница DO2014/27-1024</v>
          </cell>
        </row>
        <row r="144">
          <cell r="A144" t="str">
            <v>Р. Македонија - државна обврзница DO2014/28-1024dk</v>
          </cell>
        </row>
        <row r="145">
          <cell r="A145" t="str">
            <v>Р.Македонија - државна обврзница DO2023/20-1138</v>
          </cell>
        </row>
        <row r="146">
          <cell r="A146" t="str">
            <v>Р. Македонија - државна обврзница DO2021/17-1224</v>
          </cell>
        </row>
        <row r="147">
          <cell r="A147" t="str">
            <v>Р. Македонија - државна обврзница DO2016/08-0331dk</v>
          </cell>
        </row>
        <row r="148">
          <cell r="A148" t="str">
            <v>Р. Македонија - државна обврзница DO2021/10-0636</v>
          </cell>
        </row>
        <row r="149">
          <cell r="A149" t="str">
            <v>Р. Македонија - државна обврзница DO2021/11-0636dk</v>
          </cell>
        </row>
        <row r="150">
          <cell r="A150" t="str">
            <v>Р. Македонија - државна обврзница DO2017/24-0832dk</v>
          </cell>
        </row>
        <row r="151">
          <cell r="A151" t="str">
            <v>Р. Македонија - државна обврзница DO2015/37-0930dk</v>
          </cell>
        </row>
        <row r="152">
          <cell r="A152" t="str">
            <v>Р. Македонија - државна обврзница DO2019/13-1024</v>
          </cell>
        </row>
        <row r="153">
          <cell r="A153" t="str">
            <v>Р.Македонија државна обврзница DO2022/15-1137</v>
          </cell>
        </row>
        <row r="154">
          <cell r="A154" t="str">
            <v>Р. Македонија - државна обврзница DO2015/45-1225dk</v>
          </cell>
        </row>
        <row r="155">
          <cell r="A155" t="str">
            <v>Р. Македонија - државна обврзница DO2019/06-0449dk</v>
          </cell>
        </row>
        <row r="156">
          <cell r="A156" t="str">
            <v>Р. Македонија - државна обврзница DO2020/06-0635</v>
          </cell>
        </row>
        <row r="157">
          <cell r="A157" t="str">
            <v>Р. Македонија - државна обврзница DO2019/10-0749dk</v>
          </cell>
        </row>
        <row r="158">
          <cell r="A158" t="str">
            <v>Р. Македонија - државна обврзница DO2016/17-0826</v>
          </cell>
        </row>
        <row r="159">
          <cell r="A159" t="str">
            <v>Р. Македонија - државна обврзница DO2016/18-0826dk</v>
          </cell>
        </row>
        <row r="160">
          <cell r="A160" t="str">
            <v>Р. Македонија - државна обврзница DO2016/19-0831dk</v>
          </cell>
        </row>
        <row r="161">
          <cell r="A161" t="str">
            <v>Р. Македонија - државна обврзница DО2022/11-0837dk</v>
          </cell>
        </row>
        <row r="162">
          <cell r="A162" t="str">
            <v>Р. Македонија - државна обврзница DO2018/23-1048dk</v>
          </cell>
        </row>
        <row r="163">
          <cell r="A163" t="str">
            <v>Р. Македонија - државна обврзница DO2021/16-1136dk</v>
          </cell>
        </row>
        <row r="164">
          <cell r="A164" t="str">
            <v>Р. Македонија - државна обврзница DO2018/15-0748dk</v>
          </cell>
        </row>
        <row r="165">
          <cell r="A165" t="str">
            <v>Р. Македонија - државна обврзница DO2019/12-0934</v>
          </cell>
        </row>
        <row r="166">
          <cell r="A166" t="str">
            <v>Р. Македонија - државна обврзница DO2017/32-1032dk</v>
          </cell>
        </row>
        <row r="167">
          <cell r="A167" t="str">
            <v>Р. Македонија - државна обврзница DO2015/42-1125dk</v>
          </cell>
        </row>
        <row r="168">
          <cell r="A168" t="str">
            <v>Р. Македонија - државна обврзница DO2015/43-1130dk</v>
          </cell>
        </row>
        <row r="169">
          <cell r="A169" t="str">
            <v>Р. Македонија - државна обврзница DO2017/20-0732dk</v>
          </cell>
        </row>
        <row r="170">
          <cell r="A170" t="str">
            <v>Р. Македонија - државна обврзница DO2023/13-0738</v>
          </cell>
        </row>
        <row r="171">
          <cell r="A171" t="str">
            <v>Р. Македонија - државна обврзница DO2015/32-0825</v>
          </cell>
        </row>
        <row r="172">
          <cell r="A172" t="str">
            <v>Р. Македонија - државна обврзница DO2015/33-0830dk</v>
          </cell>
        </row>
        <row r="173">
          <cell r="A173" t="str">
            <v>Р. Македонија - државна обврзница DO2018/19-0933</v>
          </cell>
        </row>
        <row r="174">
          <cell r="A174" t="str">
            <v>Р. Македонија - државна обврзница DO2018/20-0933dk</v>
          </cell>
        </row>
        <row r="175">
          <cell r="A175" t="str">
            <v>Р. Македонија - државна обврзница DO2015/18-0525dk</v>
          </cell>
        </row>
        <row r="176">
          <cell r="A176" t="str">
            <v>Р. Македонија - државна обврзница DO2018/13-0633dk</v>
          </cell>
        </row>
        <row r="177">
          <cell r="A177" t="str">
            <v>Р. Македонија - државна обврзница DO2014/18-0824dk</v>
          </cell>
        </row>
        <row r="178">
          <cell r="A178" t="str">
            <v>Р. Македонија - државна обврзница DO2017/27-0932dk</v>
          </cell>
        </row>
        <row r="179">
          <cell r="A179" t="str">
            <v>Р.Македонија - државна обврзница DO2023/17-0938</v>
          </cell>
        </row>
        <row r="180">
          <cell r="A180" t="str">
            <v>Р. Македонија - државна обврзница DO2016/03-0131dk</v>
          </cell>
        </row>
        <row r="181">
          <cell r="A181" t="str">
            <v>Р. Македонија - државна обврзница DO2017/17-0632dk</v>
          </cell>
        </row>
        <row r="182">
          <cell r="A182" t="str">
            <v>Р. Македонија - државна обврзница DO2016/21-0931dk</v>
          </cell>
        </row>
        <row r="183">
          <cell r="A183" t="str">
            <v>Р. Македонија - државна обврзница DO2018/27-1133dk</v>
          </cell>
        </row>
        <row r="184">
          <cell r="A184" t="str">
            <v>Р. Македонија - државна обврзница DO2016/29-1231dk</v>
          </cell>
        </row>
        <row r="185">
          <cell r="A185" t="str">
            <v>Р. Македонија - државна обврзница DO2017/10-0332dk</v>
          </cell>
        </row>
        <row r="186">
          <cell r="A186" t="str">
            <v>Р. Македонија - државна обврзница DO2016/14-0631dk</v>
          </cell>
        </row>
        <row r="187">
          <cell r="A187" t="str">
            <v>Р. Македонија - државна обврзница DO2015/27-0725dk</v>
          </cell>
        </row>
        <row r="188">
          <cell r="A188" t="str">
            <v>Р. Македонија - државна обврзница DO2015/28-0730dk</v>
          </cell>
        </row>
        <row r="189">
          <cell r="A189" t="str">
            <v>Р. Македонија - државна обврзница DO2017/36-1132dk</v>
          </cell>
        </row>
        <row r="190">
          <cell r="A190" t="str">
            <v>Р. Македонија - државна обврзница DO2016/09-0326</v>
          </cell>
        </row>
        <row r="191">
          <cell r="A191" t="str">
            <v>Р. Македонија - државна обврзница DO2014/17-0724dk</v>
          </cell>
        </row>
        <row r="192">
          <cell r="A192" t="str">
            <v>Р. Македонија - државна обврзница DO2015/38-0925dk</v>
          </cell>
        </row>
        <row r="193">
          <cell r="A193" t="str">
            <v>Р. Македонија - државна обврзница DO2015/39-0930dk</v>
          </cell>
        </row>
        <row r="194">
          <cell r="A194" t="str">
            <v>Р. Македонија - државна обврзница DO2015/46-1225dk</v>
          </cell>
        </row>
        <row r="195">
          <cell r="A195" t="str">
            <v>Р. Македонија - државна обврзница DO2018/04-0133</v>
          </cell>
        </row>
        <row r="196">
          <cell r="A196" t="str">
            <v>Р. Македонија - државна обврзница DO2018/05-0133dk</v>
          </cell>
        </row>
        <row r="197">
          <cell r="A197" t="str">
            <v>Р. Македонија - државна обврзница DO2015/20-0625</v>
          </cell>
        </row>
        <row r="198">
          <cell r="A198" t="str">
            <v>Р. Македонија - државна обврзница DO2015/21-0625dk</v>
          </cell>
        </row>
        <row r="199">
          <cell r="A199" t="str">
            <v>Р. Македонија - државна обврзница DO2015/22-0630dk</v>
          </cell>
        </row>
        <row r="200">
          <cell r="A200" t="str">
            <v>Р. Македонија - државна обврзница DO2017/05-0132dk</v>
          </cell>
        </row>
        <row r="201">
          <cell r="A201" t="str">
            <v>Р. Македонија - државна обврзница DO2015/08-0230dk</v>
          </cell>
        </row>
        <row r="202">
          <cell r="A202" t="str">
            <v>Р. Македонија - државна обврзница DO2015/12-0325</v>
          </cell>
        </row>
        <row r="203">
          <cell r="A203" t="str">
            <v>Р. Македонија - државна обврзница DO2015/13-0330dk</v>
          </cell>
        </row>
        <row r="204">
          <cell r="A204" t="str">
            <v>Р. Македонија - државна обврзница DO2018/11-0448dk</v>
          </cell>
        </row>
        <row r="205">
          <cell r="A205" t="str">
            <v>Р.Македонија - државна обврзница DO2023/07-0538dk</v>
          </cell>
        </row>
        <row r="206">
          <cell r="A206" t="str">
            <v>Р. Македонија - државна обврзница DO2022/02-0125</v>
          </cell>
        </row>
        <row r="207">
          <cell r="A207" t="str">
            <v>Р. Македонија - државна обврзница DO2015/34-0825</v>
          </cell>
        </row>
        <row r="208">
          <cell r="A208" t="str">
            <v>Р. Македонија - државна обврзница DO2015/35-0825dk</v>
          </cell>
        </row>
        <row r="209">
          <cell r="A209" t="str">
            <v>Р. Македонија - државна обврзница DO2015/36-0830dk</v>
          </cell>
        </row>
        <row r="210">
          <cell r="A210" t="str">
            <v>Р. Македонија - државна обврзница DO2016/04-0131dk</v>
          </cell>
        </row>
        <row r="211">
          <cell r="A211" t="str">
            <v>Р. Македонија - државна обврзница DO2019/04-0234</v>
          </cell>
          <cell r="B211">
            <v>107.1</v>
          </cell>
        </row>
        <row r="212">
          <cell r="A212" t="str">
            <v>Р. Македонија - државна обврзница DO2016/16-0731dk</v>
          </cell>
        </row>
        <row r="213">
          <cell r="A213" t="str">
            <v>Р.Македонија - државна обврзница DO2023/23-1238dk</v>
          </cell>
        </row>
        <row r="214">
          <cell r="A214" t="str">
            <v>Р. Македонија - државна обврзница DO2015/03-0125</v>
          </cell>
        </row>
        <row r="215">
          <cell r="A215" t="str">
            <v>Р. Македонија - државна обврзница DO2015/04-0125dk</v>
          </cell>
        </row>
        <row r="216">
          <cell r="A216" t="str">
            <v>Р. Македонија - државна обврзница DO2017/18-0632dk</v>
          </cell>
        </row>
        <row r="217">
          <cell r="A217" t="str">
            <v>Р. Македонија - државна обврзница DO2023/10-0638dk</v>
          </cell>
        </row>
        <row r="218">
          <cell r="A218" t="str">
            <v>Р. Македонија - држaвна обврзница DO2021/12-0724</v>
          </cell>
        </row>
        <row r="219">
          <cell r="A219" t="str">
            <v>Р. Македонија - државна обврзница DO2016/22-0931dk</v>
          </cell>
        </row>
        <row r="220">
          <cell r="A220" t="str">
            <v>Р. Македонија - државна обврзница DO2015/41-1030dk</v>
          </cell>
        </row>
        <row r="221">
          <cell r="A221" t="str">
            <v>Р. Македонија - државна обврзница DO2020/10-1035</v>
          </cell>
        </row>
        <row r="222">
          <cell r="A222" t="str">
            <v>Р. Македонија - државна обврзница DO2022/17-1237</v>
          </cell>
        </row>
        <row r="223">
          <cell r="A223" t="str">
            <v>Р. Македонија - државна обврзница DO2022/18-1237dk</v>
          </cell>
        </row>
        <row r="224">
          <cell r="A224" t="str">
            <v>Р. Македонија - државна обврзница DO2020/01-0150dk</v>
          </cell>
        </row>
        <row r="225">
          <cell r="A225" t="str">
            <v>Р. Македонија - државна обврзница DO2017/11-0332dk</v>
          </cell>
        </row>
        <row r="226">
          <cell r="A226" t="str">
            <v>Р. Македонија - државна обврзница DO2023/05-0338</v>
          </cell>
        </row>
        <row r="227">
          <cell r="A227" t="str">
            <v>Р. Македонија - државна обврзница DO2023/06-0338dk</v>
          </cell>
        </row>
        <row r="228">
          <cell r="A228" t="str">
            <v>Р. Македонија - државна обврзница DO2020/04-0450dk</v>
          </cell>
        </row>
        <row r="229">
          <cell r="A229" t="str">
            <v>Р. Македонија - државна обврзница DO2022/08-0637</v>
          </cell>
        </row>
        <row r="230">
          <cell r="A230" t="str">
            <v>Р. Македонија - државна обврзница DO2015/29-0730dk</v>
          </cell>
        </row>
        <row r="231">
          <cell r="A231" t="str">
            <v>Р. Македонија - државна обврзница DO2014/30-1024dk</v>
          </cell>
        </row>
        <row r="232">
          <cell r="A232" t="str">
            <v>Р. Македонија - државна обврзница DO2017/37-1132dk</v>
          </cell>
        </row>
        <row r="233">
          <cell r="A233" t="str">
            <v>Р. Македонија - државна обврзница DO2019/02-0149dk</v>
          </cell>
        </row>
        <row r="234">
          <cell r="A234" t="str">
            <v>Р. Македонија - државна обврзница DO2016/10-0331dk</v>
          </cell>
        </row>
        <row r="235">
          <cell r="A235" t="str">
            <v>Р. Македонија - државна обврзница DO2019/14-1049dk</v>
          </cell>
          <cell r="B235">
            <v>103.5</v>
          </cell>
        </row>
        <row r="236">
          <cell r="A236" t="str">
            <v>Р. Македонија - денационализација 13</v>
          </cell>
          <cell r="B236">
            <v>99</v>
          </cell>
        </row>
        <row r="237">
          <cell r="A237" t="str">
            <v>Р. Македонија - денационализација 14</v>
          </cell>
          <cell r="B237">
            <v>90</v>
          </cell>
        </row>
        <row r="238">
          <cell r="A238" t="str">
            <v>Р. Македонија - денационализација 15</v>
          </cell>
          <cell r="B238">
            <v>95</v>
          </cell>
        </row>
        <row r="239">
          <cell r="A239" t="str">
            <v>Р. Македонија - денационализација 16</v>
          </cell>
          <cell r="B239">
            <v>90</v>
          </cell>
        </row>
        <row r="240">
          <cell r="A240" t="str">
            <v>Р. Македонија - денационализација 17</v>
          </cell>
          <cell r="B240">
            <v>90</v>
          </cell>
        </row>
        <row r="241">
          <cell r="A241" t="str">
            <v>Р. Македонија - денационализација 18</v>
          </cell>
          <cell r="B241">
            <v>93</v>
          </cell>
        </row>
        <row r="242">
          <cell r="A242" t="str">
            <v>Р. Македонија - денационализација 19</v>
          </cell>
          <cell r="B242">
            <v>92</v>
          </cell>
        </row>
        <row r="243">
          <cell r="A243" t="str">
            <v>Р. Македонија - денационализација 20</v>
          </cell>
          <cell r="B243">
            <v>94</v>
          </cell>
        </row>
        <row r="244">
          <cell r="A244" t="str">
            <v>Р. Македонија - денационализација 21</v>
          </cell>
          <cell r="B244">
            <v>92</v>
          </cell>
        </row>
        <row r="245">
          <cell r="A245" t="str">
            <v>Р. Македонија - денационализација 22</v>
          </cell>
          <cell r="B245">
            <v>87</v>
          </cell>
        </row>
        <row r="246">
          <cell r="A246" t="str">
            <v>Р.Македонија - структурни обврзници општина Виница</v>
          </cell>
        </row>
        <row r="247">
          <cell r="A247" t="str">
            <v>Р.Македонија - структурни обврзници општина Желино</v>
          </cell>
          <cell r="B247">
            <v>97.1</v>
          </cell>
        </row>
        <row r="248">
          <cell r="A248" t="str">
            <v>Р.Македонија - структурни обврзници општина Тетово</v>
          </cell>
          <cell r="B248">
            <v>95.2</v>
          </cell>
        </row>
        <row r="249">
          <cell r="A249" t="str">
            <v>СН Осигурителен Брокер АД Битола - корпоративна обврзница I емисија</v>
          </cell>
          <cell r="B249">
            <v>90</v>
          </cell>
        </row>
        <row r="250">
          <cell r="A250" t="str">
            <v>ТТК банка АД Скопје - корпоративна обврзница I емисија</v>
          </cell>
          <cell r="B250">
            <v>100</v>
          </cell>
        </row>
        <row r="251">
          <cell r="A251" t="str">
            <v>ТТК банка АД Скопје - корпоративна обврзница II емисија</v>
          </cell>
        </row>
        <row r="252">
          <cell r="A252" t="str">
            <v>Р.Македонија - државна обврзница DO2023/18-1025</v>
          </cell>
        </row>
        <row r="253">
          <cell r="A253" t="str">
            <v>Берзанска котација - други хартии од вредност</v>
          </cell>
        </row>
        <row r="254">
          <cell r="A254" t="str">
            <v>Универзална Инвестициона Банка Скопје - перпетуални обврзници - втора емисија</v>
          </cell>
        </row>
        <row r="255">
          <cell r="A255" t="str">
            <v>Универзална Инвестициона Банка Скопје - перпетуални обврзници - трета емисија</v>
          </cell>
        </row>
        <row r="256">
          <cell r="A256" t="str">
            <v>Задолжителна котација - обични акции</v>
          </cell>
        </row>
        <row r="257">
          <cell r="A257" t="str">
            <v>Адинг Скопје</v>
          </cell>
          <cell r="B257">
            <v>1200</v>
          </cell>
        </row>
        <row r="258">
          <cell r="A258" t="str">
            <v>Агромеханика Скопје</v>
          </cell>
          <cell r="B258">
            <v>300</v>
          </cell>
        </row>
        <row r="259">
          <cell r="A259" t="str">
            <v>Ангропромет-Тиквешанка Кавадарци</v>
          </cell>
          <cell r="B259">
            <v>750</v>
          </cell>
        </row>
        <row r="260">
          <cell r="A260" t="str">
            <v>Аутомакедонија Скопје</v>
          </cell>
          <cell r="B260">
            <v>2950</v>
          </cell>
        </row>
        <row r="261">
          <cell r="A261" t="str">
            <v>Рудници Бањани Скопје</v>
          </cell>
          <cell r="B261">
            <v>603</v>
          </cell>
        </row>
        <row r="262">
          <cell r="A262" t="str">
            <v>Кристал 1923 АД Велес</v>
          </cell>
          <cell r="B262">
            <v>158</v>
          </cell>
        </row>
        <row r="263">
          <cell r="A263" t="str">
            <v>БИМ Свети Николе</v>
          </cell>
          <cell r="B263">
            <v>15550</v>
          </cell>
        </row>
        <row r="264">
          <cell r="A264" t="str">
            <v>ФЗЦ 11 Октомври Куманово</v>
          </cell>
          <cell r="B264">
            <v>220</v>
          </cell>
        </row>
        <row r="265">
          <cell r="A265" t="str">
            <v>Централна кооперативна банка Скопје</v>
          </cell>
          <cell r="B265">
            <v>350</v>
          </cell>
        </row>
        <row r="266">
          <cell r="A266" t="str">
            <v>Дебарски бањи Дебар</v>
          </cell>
          <cell r="B266">
            <v>1550</v>
          </cell>
        </row>
        <row r="267">
          <cell r="A267" t="str">
            <v>Димко Митрев Велес</v>
          </cell>
          <cell r="B267">
            <v>185</v>
          </cell>
        </row>
        <row r="268">
          <cell r="A268" t="str">
            <v>Единство Струмица</v>
          </cell>
          <cell r="B268">
            <v>80</v>
          </cell>
        </row>
        <row r="269">
          <cell r="A269" t="str">
            <v>Европа Скопје</v>
          </cell>
          <cell r="B269">
            <v>3168</v>
          </cell>
        </row>
        <row r="270">
          <cell r="A270" t="str">
            <v>Факом Скопје</v>
          </cell>
          <cell r="B270">
            <v>6984</v>
          </cell>
        </row>
        <row r="271">
          <cell r="A271" t="str">
            <v>Фустеларко Борец Битола</v>
          </cell>
          <cell r="B271">
            <v>2101</v>
          </cell>
        </row>
        <row r="272">
          <cell r="A272" t="str">
            <v>Герас Цунев конфекција Струмица</v>
          </cell>
          <cell r="B272">
            <v>500</v>
          </cell>
        </row>
        <row r="273">
          <cell r="A273" t="str">
            <v>Герас Цунев трговија Струмица</v>
          </cell>
          <cell r="B273">
            <v>500</v>
          </cell>
        </row>
        <row r="274">
          <cell r="A274" t="str">
            <v>Грозд Струмица</v>
          </cell>
          <cell r="B274">
            <v>2250</v>
          </cell>
        </row>
        <row r="275">
          <cell r="A275" t="str">
            <v>Градски Трговски Центар Скопје</v>
          </cell>
          <cell r="B275">
            <v>1790</v>
          </cell>
        </row>
        <row r="276">
          <cell r="A276" t="str">
            <v>Интерпромет Тетово</v>
          </cell>
          <cell r="B276">
            <v>4500</v>
          </cell>
        </row>
        <row r="277">
          <cell r="A277" t="str">
            <v>Македонија осигурување АД Скопје - Виена Иншуренс Груп</v>
          </cell>
          <cell r="B277">
            <v>1237</v>
          </cell>
        </row>
        <row r="278">
          <cell r="A278" t="str">
            <v>Кланица со ладилник Струмица</v>
          </cell>
          <cell r="B278">
            <v>120</v>
          </cell>
        </row>
        <row r="279">
          <cell r="A279" t="str">
            <v>Фруктал МАК Скопје</v>
          </cell>
          <cell r="B279">
            <v>119</v>
          </cell>
        </row>
        <row r="280">
          <cell r="A280" t="str">
            <v>Карпош Скопје</v>
          </cell>
        </row>
        <row r="281">
          <cell r="A281" t="str">
            <v>Лотарија на Македонија Скопје</v>
          </cell>
          <cell r="B281">
            <v>180</v>
          </cell>
        </row>
        <row r="282">
          <cell r="A282" t="str">
            <v>Пелистерка АД Скопје</v>
          </cell>
          <cell r="B282">
            <v>2619</v>
          </cell>
        </row>
        <row r="283">
          <cell r="A283" t="str">
            <v>Макпромет Штип</v>
          </cell>
          <cell r="B283">
            <v>600</v>
          </cell>
        </row>
        <row r="284">
          <cell r="A284" t="str">
            <v>Мермерен комбинат Прилеп</v>
          </cell>
          <cell r="B284">
            <v>2575</v>
          </cell>
        </row>
        <row r="285">
          <cell r="A285" t="str">
            <v>Мода Свети Николе</v>
          </cell>
          <cell r="B285">
            <v>99</v>
          </cell>
        </row>
        <row r="286">
          <cell r="A286" t="str">
            <v>Вабтек МЗТ Скопје</v>
          </cell>
          <cell r="B286">
            <v>3133</v>
          </cell>
        </row>
        <row r="287">
          <cell r="A287" t="str">
            <v>МЗТ Пумпи Скопје</v>
          </cell>
          <cell r="B287">
            <v>607</v>
          </cell>
        </row>
        <row r="288">
          <cell r="A288" t="str">
            <v>Огражден Струмица</v>
          </cell>
          <cell r="B288">
            <v>1900</v>
          </cell>
        </row>
        <row r="289">
          <cell r="A289" t="str">
            <v>Нова стоковна куќа Струмица</v>
          </cell>
          <cell r="B289">
            <v>61500</v>
          </cell>
        </row>
        <row r="290">
          <cell r="A290" t="str">
            <v>Оилко КДА Скопје</v>
          </cell>
          <cell r="B290">
            <v>6000</v>
          </cell>
        </row>
        <row r="291">
          <cell r="A291" t="str">
            <v>ОКТА Скопје</v>
          </cell>
          <cell r="B291">
            <v>5146</v>
          </cell>
        </row>
        <row r="292">
          <cell r="A292" t="str">
            <v>Оранжерии Хамзали Струмица</v>
          </cell>
          <cell r="B292">
            <v>300</v>
          </cell>
        </row>
        <row r="293">
          <cell r="A293" t="str">
            <v>Пекабеско Скопје</v>
          </cell>
          <cell r="B293">
            <v>16500</v>
          </cell>
        </row>
        <row r="294">
          <cell r="A294" t="str">
            <v>Попова Кула Демир Капија</v>
          </cell>
          <cell r="B294">
            <v>16</v>
          </cell>
        </row>
        <row r="295">
          <cell r="A295" t="str">
            <v>Прилепска Пиварница Прилеп</v>
          </cell>
          <cell r="B295">
            <v>33301</v>
          </cell>
        </row>
        <row r="296">
          <cell r="A296" t="str">
            <v>Раде Кончар Скопје</v>
          </cell>
          <cell r="B296">
            <v>2000</v>
          </cell>
        </row>
        <row r="297">
          <cell r="A297" t="str">
            <v>РЖ Економика Скопје</v>
          </cell>
          <cell r="B297">
            <v>50</v>
          </cell>
        </row>
        <row r="298">
          <cell r="A298" t="str">
            <v>Либерти АД Скопје</v>
          </cell>
        </row>
        <row r="299">
          <cell r="A299" t="str">
            <v>РЖ Техничка контрола Скопје</v>
          </cell>
          <cell r="B299">
            <v>367</v>
          </cell>
        </row>
        <row r="300">
          <cell r="A300" t="str">
            <v>РЖ Уготур Скопје</v>
          </cell>
        </row>
        <row r="301">
          <cell r="A301" t="str">
            <v>Современ дом Прилеп</v>
          </cell>
        </row>
        <row r="302">
          <cell r="A302" t="str">
            <v>Силекс Кратово</v>
          </cell>
          <cell r="B302">
            <v>70</v>
          </cell>
        </row>
        <row r="303">
          <cell r="A303" t="str">
            <v>Славеј Скопје</v>
          </cell>
        </row>
        <row r="304">
          <cell r="A304" t="str">
            <v>Струмичко поле с.Василево</v>
          </cell>
        </row>
        <row r="305">
          <cell r="A305" t="str">
            <v>Сигурносно стакло Прилеп</v>
          </cell>
          <cell r="B305">
            <v>360</v>
          </cell>
        </row>
        <row r="306">
          <cell r="A306" t="str">
            <v>Стопанска банка Скопје</v>
          </cell>
          <cell r="B306">
            <v>1512.34</v>
          </cell>
        </row>
        <row r="307">
          <cell r="A307" t="str">
            <v>Стокопромет Скопје</v>
          </cell>
          <cell r="B307">
            <v>1200</v>
          </cell>
        </row>
        <row r="308">
          <cell r="A308" t="str">
            <v>ТЕАЛ-Алумина Тетово</v>
          </cell>
          <cell r="B308">
            <v>730</v>
          </cell>
        </row>
        <row r="309">
          <cell r="A309" t="str">
            <v>Технокомерц Скопје</v>
          </cell>
        </row>
        <row r="310">
          <cell r="A310" t="str">
            <v>Македонски Телеком Скопје</v>
          </cell>
          <cell r="B310">
            <v>420</v>
          </cell>
        </row>
        <row r="311">
          <cell r="A311" t="str">
            <v>ГД-Тиквеш Кавадарци</v>
          </cell>
          <cell r="B311">
            <v>1000</v>
          </cell>
        </row>
        <row r="312">
          <cell r="A312" t="str">
            <v>НЛБ Банка АД Скопје</v>
          </cell>
        </row>
        <row r="313">
          <cell r="A313" t="str">
            <v>Транскоп-Патнички сооб. Битола</v>
          </cell>
        </row>
        <row r="314">
          <cell r="A314" t="str">
            <v>Трготекстил малопродажба Скопје</v>
          </cell>
        </row>
        <row r="315">
          <cell r="A315" t="str">
            <v>Универзална Инвестициона Банка Скопје</v>
          </cell>
        </row>
        <row r="316">
          <cell r="A316" t="str">
            <v>Цементарница УСЈЕ Скопје</v>
          </cell>
        </row>
        <row r="317">
          <cell r="A317" t="str">
            <v>Триглав осигурување Скопје</v>
          </cell>
        </row>
        <row r="318">
          <cell r="A318" t="str">
            <v>Ветекс Велес</v>
          </cell>
        </row>
        <row r="319">
          <cell r="A319" t="str">
            <v>ЖАС Скопје</v>
          </cell>
        </row>
        <row r="320">
          <cell r="A320" t="str">
            <v>Жито Караорман Кичево</v>
          </cell>
        </row>
        <row r="321">
          <cell r="A321" t="str">
            <v>Жито Полог Тетово</v>
          </cell>
        </row>
        <row r="322">
          <cell r="A322" t="str">
            <v>Задолжителна котација - приоритетни акции</v>
          </cell>
        </row>
        <row r="323">
          <cell r="A323" t="str">
            <v>Стопанска банка Скопје</v>
          </cell>
        </row>
        <row r="324">
          <cell r="A324" t="str">
            <v>Редовен пазар</v>
          </cell>
        </row>
        <row r="325">
          <cell r="A325" t="str">
            <v>Пазар на акционерски друштва со посебни обврски за известување - обични акции</v>
          </cell>
        </row>
        <row r="326">
          <cell r="A326" t="str">
            <v>Шпаркасе банка Македонија АД Скопје</v>
          </cell>
        </row>
        <row r="327">
          <cell r="A327" t="str">
            <v>Слободен пазар - обични акции</v>
          </cell>
        </row>
        <row r="328">
          <cell r="A328" t="str">
            <v>Квасара Битола</v>
          </cell>
        </row>
        <row r="329">
          <cell r="A329" t="str">
            <v>Млекара АД Битола</v>
          </cell>
        </row>
        <row r="330">
          <cell r="A330" t="str">
            <v>АрцелорМиттал (ХРМ) АД Скопје - долгорочно суспендирано од котација</v>
          </cell>
        </row>
        <row r="331">
          <cell r="A331" t="str">
            <v>Пивара Скопје АД Скопје</v>
          </cell>
        </row>
        <row r="332">
          <cell r="A332" t="str">
            <v>Ветеринарно сточарски центар Куманово</v>
          </cell>
        </row>
        <row r="333">
          <cell r="A333" t="str">
            <v>Вкупен промет на сите пазарни сегменти: 23.761.898,00</v>
          </cell>
        </row>
        <row r="334">
          <cell r="A334" t="str">
            <v>МБИ10</v>
          </cell>
        </row>
        <row r="335">
          <cell r="A335" t="str">
            <v>ОМБ</v>
          </cell>
        </row>
        <row r="336">
          <cell r="A336" t="str">
            <v>1 EUR = 61,5094 МКД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  <cell r="B6">
            <v>16709.04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Фершпед Скопје</v>
          </cell>
          <cell r="B9">
            <v>51400</v>
          </cell>
        </row>
        <row r="10">
          <cell r="A10" t="str">
            <v>Гранит Скопје</v>
          </cell>
          <cell r="B10">
            <v>1172.86</v>
          </cell>
        </row>
        <row r="11">
          <cell r="A11" t="str">
            <v>Интернешнел Хотелс АД Скопје</v>
          </cell>
        </row>
        <row r="12">
          <cell r="A12" t="str">
            <v>ДС Смитх АД Скопје</v>
          </cell>
          <cell r="B12">
            <v>480</v>
          </cell>
        </row>
        <row r="13">
          <cell r="A13" t="str">
            <v>Макотекс Скопје</v>
          </cell>
        </row>
        <row r="14">
          <cell r="A14" t="str">
            <v>Макошпед Скопје</v>
          </cell>
          <cell r="B14">
            <v>219</v>
          </cell>
        </row>
        <row r="15">
          <cell r="A15" t="str">
            <v>Хотели Метропол Охрид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Р.Македонија - државна обврзница DO2023/19-1125</v>
          </cell>
        </row>
        <row r="37">
          <cell r="A37" t="str">
            <v>Р. Македонија - државна обврзница DO2023/12-0725</v>
          </cell>
        </row>
        <row r="38">
          <cell r="A38" t="str">
            <v>Р. Македонија - државна обврзница DO2021/05-0428</v>
          </cell>
        </row>
        <row r="39">
          <cell r="A39" t="str">
            <v>Р. Македонија - државна обврзница DO2021/06-0428dk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Р.Македонија државна обврзница DO2022/16-1237</v>
          </cell>
        </row>
        <row r="44">
          <cell r="A44" t="str">
            <v>Р.Македонија - државна обврзница DO2024/01-0126</v>
          </cell>
        </row>
        <row r="45">
          <cell r="A45" t="str">
            <v>Р.Македонија - државна обврзница DO2024/02-0127</v>
          </cell>
        </row>
        <row r="46">
          <cell r="A46" t="str">
            <v>Р. Македонија - државна обврзница DO2014/10-0524dk</v>
          </cell>
        </row>
        <row r="47">
          <cell r="A47" t="str">
            <v>Р. Македонија - државна обврзница DO2014/23-1024</v>
          </cell>
        </row>
        <row r="48">
          <cell r="A48" t="str">
            <v>Р. Македонија - државна обврзница DO2017/35-1132dk</v>
          </cell>
        </row>
        <row r="49">
          <cell r="A49" t="str">
            <v>Р. Македонија - државна обврзница DO2022/03-0337</v>
          </cell>
        </row>
        <row r="50">
          <cell r="A50" t="str">
            <v>Р. Македонија - државна обврзница DO2023/04-0338</v>
          </cell>
        </row>
        <row r="51">
          <cell r="A51" t="str">
            <v>Р. Македонија - државна обврзница DO2014/16-0724dk</v>
          </cell>
        </row>
        <row r="52">
          <cell r="A52" t="str">
            <v>Р. Македонија - државна обврзница DO2016/26-1131dk</v>
          </cell>
        </row>
        <row r="53">
          <cell r="A53" t="str">
            <v>Р. Македонија - државна обврзница DO2015/44-1230dk</v>
          </cell>
        </row>
        <row r="54">
          <cell r="A54" t="str">
            <v>Р. Македонија - државна обврзница DO2020/15-1235dk</v>
          </cell>
        </row>
        <row r="55">
          <cell r="A55" t="str">
            <v>Р. Македонија - државна обврзница DO2021/04-0336</v>
          </cell>
        </row>
        <row r="56">
          <cell r="A56" t="str">
            <v>Р. Македонија - државна обврзница DO2017/14-0532dk</v>
          </cell>
        </row>
        <row r="57">
          <cell r="A57" t="str">
            <v>Р. Македонија - државна обврзница DO2015/19-0630dk</v>
          </cell>
        </row>
        <row r="58">
          <cell r="A58" t="str">
            <v>Р.Македонија - државна обврзница DO2022/09-0837</v>
          </cell>
        </row>
        <row r="59">
          <cell r="A59" t="str">
            <v>Р.Македонија - државна обврзница DO2022/10-0837dk</v>
          </cell>
        </row>
        <row r="60">
          <cell r="A60" t="str">
            <v>Р. Македонија - државна обврзница DO2023/14-0838</v>
          </cell>
        </row>
        <row r="61">
          <cell r="A61" t="str">
            <v>Р. Македонија - државна обврзница DO2014/19-0924dk</v>
          </cell>
        </row>
        <row r="62">
          <cell r="A62" t="str">
            <v>Р. Македонија - државна обврзница DO2014/38-1224</v>
          </cell>
        </row>
        <row r="63">
          <cell r="A63" t="str">
            <v>Р. Македонија - државна обврзница DO2020/03-0325</v>
          </cell>
        </row>
        <row r="64">
          <cell r="A64" t="str">
            <v>Р. Македонија - државна обврзница DO2014/13-0624dk</v>
          </cell>
        </row>
        <row r="65">
          <cell r="A65" t="str">
            <v>Р. Македонија - државна обврзница ДО2021/13-0836</v>
          </cell>
          <cell r="B65">
            <v>100</v>
          </cell>
        </row>
        <row r="66">
          <cell r="A66" t="str">
            <v>Р. Македонија - државна обврзница DO2017/30-1032dk</v>
          </cell>
        </row>
        <row r="67">
          <cell r="A67" t="str">
            <v>Р. Македонија - државна обврзница DO2020/12-1125</v>
          </cell>
        </row>
        <row r="68">
          <cell r="A68" t="str">
            <v>Р. Македонија - државна обврзница DO2019/16-1234dk</v>
          </cell>
        </row>
        <row r="69">
          <cell r="A69" t="str">
            <v>Р. Македонија - државна обврзница DO2017/12-0432dk</v>
          </cell>
        </row>
        <row r="70">
          <cell r="A70" t="str">
            <v>Р. Македонија - државна обврзница DO2017/19-0732dk</v>
          </cell>
        </row>
        <row r="71">
          <cell r="A71" t="str">
            <v>Р. Македонија - државна обврзница DO2015/30-0825dk</v>
          </cell>
        </row>
        <row r="72">
          <cell r="A72" t="str">
            <v>Р. Македонија - државна обврзница DO2015/31-0830dk</v>
          </cell>
        </row>
        <row r="73">
          <cell r="A73" t="str">
            <v>Р. Македонија - државна обврзница DO2020/07-0850dk</v>
          </cell>
        </row>
        <row r="74">
          <cell r="A74" t="str">
            <v>Р. Македонија - државна обврзница DO2019/05-0324</v>
          </cell>
        </row>
        <row r="75">
          <cell r="A75" t="str">
            <v>Р. Македонија - државна обврзница DO2016/11-0426dk</v>
          </cell>
        </row>
        <row r="76">
          <cell r="A76" t="str">
            <v>Р. Македонија - државна обврзница DO2015/17-0530dk</v>
          </cell>
        </row>
        <row r="77">
          <cell r="A77" t="str">
            <v>Р. Македонија - државна обврзница DO2018/12-0633</v>
          </cell>
        </row>
        <row r="78">
          <cell r="A78" t="str">
            <v>Р. Македонија - државна обврзница DO2017/26-0932dk</v>
          </cell>
        </row>
        <row r="79">
          <cell r="A79" t="str">
            <v>Р.Македонија - државна обврзница DO2023/15-0938</v>
          </cell>
        </row>
        <row r="80">
          <cell r="A80" t="str">
            <v>Р.Македонија - државна обврзница DO2023/16-0938dk</v>
          </cell>
        </row>
        <row r="81">
          <cell r="A81" t="str">
            <v>Р. Македонија - државна обврзница DO2019/15-1134</v>
          </cell>
        </row>
        <row r="82">
          <cell r="A82" t="str">
            <v>Р. Македонија - државна обврзница DO2017/38-1232dk</v>
          </cell>
        </row>
        <row r="83">
          <cell r="A83" t="str">
            <v>Р.Македонија - државна обврзница DO2024/04-0239</v>
          </cell>
        </row>
        <row r="84">
          <cell r="A84" t="str">
            <v>Р.Македонија - државна обврзница DO2024/05-0239</v>
          </cell>
        </row>
        <row r="85">
          <cell r="A85" t="str">
            <v>Р. Македонија - државна обврзница DO2018/10-0333dk</v>
          </cell>
        </row>
        <row r="86">
          <cell r="A86" t="str">
            <v>Р. Македонија - државна обврзница DO2017/16-0632dk</v>
          </cell>
        </row>
        <row r="87">
          <cell r="A87" t="str">
            <v>Р. Македонија - државна обврзница DO2016/15-0731dk</v>
          </cell>
        </row>
        <row r="88">
          <cell r="A88" t="str">
            <v>Р. Македонија - државна обврзница DO2019/11-0834dk</v>
          </cell>
        </row>
        <row r="89">
          <cell r="A89" t="str">
            <v>Р. Македонија - државна обврзница DO2015/40-1030dk</v>
          </cell>
        </row>
        <row r="90">
          <cell r="A90" t="str">
            <v>Р. Македонија - државна обврзница DO2023/02-0238</v>
          </cell>
        </row>
        <row r="91">
          <cell r="A91" t="str">
            <v>Р. Македонија - државна обврзница DO2017/08-0332dk</v>
          </cell>
        </row>
        <row r="92">
          <cell r="A92" t="str">
            <v>Р. Македонија - државна обврзница DO2016/13-0631dk</v>
          </cell>
        </row>
        <row r="93">
          <cell r="A93" t="str">
            <v>Р. Македонија - државна обврзница DO2015/23-0725</v>
          </cell>
        </row>
        <row r="94">
          <cell r="A94" t="str">
            <v>Р. Македонија - државна обврзница DO2015/24-0725dk</v>
          </cell>
        </row>
        <row r="95">
          <cell r="A95" t="str">
            <v>Р. Македонија - државна обврзница DO2015/25-0730dk</v>
          </cell>
        </row>
        <row r="96">
          <cell r="A96" t="str">
            <v>Р. Македонија - државна обврзница DO2018/17-0833dk</v>
          </cell>
        </row>
        <row r="97">
          <cell r="A97" t="str">
            <v>Р.Македонија државна обврзница DO2022/13-0937</v>
          </cell>
        </row>
        <row r="98">
          <cell r="A98" t="str">
            <v>Р.Македонија државна обврзница DO2022/12-0937dk</v>
          </cell>
        </row>
        <row r="99">
          <cell r="A99" t="str">
            <v>Р. Македонија - државна обврзница DO2017/22-0832dk</v>
          </cell>
        </row>
        <row r="100">
          <cell r="A100" t="str">
            <v>Р. Македонија - државна обврзница DO2018/02-0128</v>
          </cell>
        </row>
        <row r="101">
          <cell r="A101" t="str">
            <v>Р. Македонија - државна обврзница DO2018/03-0133dk</v>
          </cell>
        </row>
        <row r="102">
          <cell r="A102" t="str">
            <v>Р.Македонија - државна обврзница DO2024/03-0139</v>
          </cell>
        </row>
        <row r="103">
          <cell r="A103" t="str">
            <v>Р. Македонија - државна обврзница DO2016/05-0226</v>
          </cell>
        </row>
        <row r="104">
          <cell r="A104" t="str">
            <v>Р. Македонија - државна обврзница DO2016/06-0226dk</v>
          </cell>
        </row>
        <row r="105">
          <cell r="A105" t="str">
            <v>Р. Македонија - државна обврзница DO2016/07-0231dk</v>
          </cell>
        </row>
        <row r="106">
          <cell r="A106" t="str">
            <v>Р. Македонија - државна обврзница DO2023/06-0538</v>
          </cell>
        </row>
        <row r="107">
          <cell r="A107" t="str">
            <v>Р. Македонија - државна обврзница DO2017/02-0132dk</v>
          </cell>
        </row>
        <row r="108">
          <cell r="A108" t="str">
            <v>Р. Македонија - државна обврзница DO2023/01-0138</v>
          </cell>
        </row>
        <row r="109">
          <cell r="A109" t="str">
            <v>Р. Македонија - државна обврзница DO2015/05-0230dk</v>
          </cell>
        </row>
        <row r="110">
          <cell r="A110" t="str">
            <v>Р. Македонија - државна обврзница DO2015/09-0325</v>
          </cell>
        </row>
        <row r="111">
          <cell r="A111" t="str">
            <v>Р. Македонија - државна обврзница DO2015/10-0330dk</v>
          </cell>
        </row>
        <row r="112">
          <cell r="A112" t="str">
            <v>Р. Македонија - државна обврзница DO2022/05-0537</v>
          </cell>
        </row>
        <row r="113">
          <cell r="A113" t="str">
            <v>Р. Македонија - државна обврзница DO2022/01-0137</v>
          </cell>
        </row>
        <row r="114">
          <cell r="A114" t="str">
            <v>Р. Македонија - државна обврзница DO2020/02-0235</v>
          </cell>
        </row>
        <row r="115">
          <cell r="A115" t="str">
            <v>Р. Македонија - државна обврзница DO2023/11-0738</v>
          </cell>
        </row>
        <row r="116">
          <cell r="A116" t="str">
            <v>Р. Македонија - државна обврзница DO2022/14-1037</v>
          </cell>
        </row>
        <row r="117">
          <cell r="A117" t="str">
            <v>Р. Македонија - државна обврзница DO2016/01-0126dk</v>
          </cell>
        </row>
        <row r="118">
          <cell r="A118" t="str">
            <v>Р. Македонија - државна обврзница DO2016/02-0131dk</v>
          </cell>
        </row>
        <row r="119">
          <cell r="A119" t="str">
            <v>Р. Македонија - државна обврзница DO2021/01-0136</v>
          </cell>
        </row>
        <row r="120">
          <cell r="A120" t="str">
            <v>Р. Македонија - државна обврзница DO2016/12-0431dk</v>
          </cell>
        </row>
        <row r="121">
          <cell r="A121" t="str">
            <v>Р. Македонија - државна обврзница DO2022/04-0437dk</v>
          </cell>
        </row>
        <row r="122">
          <cell r="A122" t="str">
            <v>Р. Македонија - државна обврзница DO2021/09-0526</v>
          </cell>
        </row>
        <row r="123">
          <cell r="A123" t="str">
            <v>Р. Македонија - државна обврзница DO2016/23-1031dk</v>
          </cell>
        </row>
        <row r="124">
          <cell r="A124" t="str">
            <v>Р. Македонија - државна обврзница DO2021/15-1036</v>
          </cell>
        </row>
        <row r="125">
          <cell r="A125" t="str">
            <v>Р.Македонија - државна обврзница DO2023/21-1226</v>
          </cell>
        </row>
        <row r="126">
          <cell r="A126" t="str">
            <v>Р.Македонија - државна обврзница DO2023/22-1238</v>
          </cell>
        </row>
        <row r="127">
          <cell r="A127" t="str">
            <v>Р. Македонија - државна обврзница DO2018/08-0233dk</v>
          </cell>
        </row>
        <row r="128">
          <cell r="A128" t="str">
            <v>Р. Македонија - државна обврзница DO2021/07-0436</v>
          </cell>
        </row>
        <row r="129">
          <cell r="A129" t="str">
            <v>Р. Македонија - државна обврзница DO2021/08-0436dk</v>
          </cell>
        </row>
        <row r="130">
          <cell r="A130" t="str">
            <v>Р.Македонија - државна обврзница DO2023/08-0638</v>
          </cell>
        </row>
        <row r="131">
          <cell r="A131" t="str">
            <v>Р.Македонија - државна обврзница DO2023/09-0638dk</v>
          </cell>
        </row>
        <row r="132">
          <cell r="A132" t="str">
            <v>Р. Македонија - државна обврзница DO2020/08-1030</v>
          </cell>
        </row>
        <row r="133">
          <cell r="A133" t="str">
            <v>Р. Македонија - државна обврзница DO2020/09-1030dk</v>
          </cell>
        </row>
        <row r="134">
          <cell r="A134" t="str">
            <v>Р.Македонија - државна обврзница DO2023/03-225</v>
          </cell>
        </row>
        <row r="135">
          <cell r="A135" t="str">
            <v>Р. Македонија - државна обврзница DO2017/06-0232dk</v>
          </cell>
        </row>
        <row r="136">
          <cell r="A136" t="str">
            <v>Р. Македонија - државна обврзница DO2015/15-0430dk</v>
          </cell>
        </row>
        <row r="137">
          <cell r="A137" t="str">
            <v>Р. Македонија - државна обврзница DO2019/08-0524</v>
          </cell>
        </row>
        <row r="138">
          <cell r="A138" t="str">
            <v>Р. Македонија - државна обврзница DO2019/09-0534</v>
          </cell>
        </row>
        <row r="139">
          <cell r="A139" t="str">
            <v>Р.Македонија - државна обврзница DO2022/06-0637</v>
          </cell>
        </row>
        <row r="140">
          <cell r="A140" t="str">
            <v>Р.Македонија - државна обврзница DO2022/07-0637dk</v>
          </cell>
        </row>
        <row r="141">
          <cell r="A141" t="str">
            <v>Р. Македонија - државна обврзница DO2021/14-0936</v>
          </cell>
          <cell r="B141">
            <v>100</v>
          </cell>
        </row>
        <row r="142">
          <cell r="A142" t="str">
            <v>Р. Македонија - државна обврзница DO2014/27-1024</v>
          </cell>
        </row>
        <row r="143">
          <cell r="A143" t="str">
            <v>Р. Македонија - државна обврзница DO2014/28-1024dk</v>
          </cell>
        </row>
        <row r="144">
          <cell r="A144" t="str">
            <v>Р.Македонија - државна обврзница DO2023/20-1138</v>
          </cell>
        </row>
        <row r="145">
          <cell r="A145" t="str">
            <v>Р. Македонија - државна обврзница DO2021/17-1224</v>
          </cell>
        </row>
        <row r="146">
          <cell r="A146" t="str">
            <v>Р. Македонија - државна обврзница DO2016/08-0331dk</v>
          </cell>
        </row>
        <row r="147">
          <cell r="A147" t="str">
            <v>Р. Македонија - државна обврзница DO2021/10-0636</v>
          </cell>
        </row>
        <row r="148">
          <cell r="A148" t="str">
            <v>Р. Македонија - државна обврзница DO2021/11-0636dk</v>
          </cell>
        </row>
        <row r="149">
          <cell r="A149" t="str">
            <v>Р. Македонија - државна обврзница DO2017/24-0832dk</v>
          </cell>
        </row>
        <row r="150">
          <cell r="A150" t="str">
            <v>Р. Македонија - државна обврзница DO2015/37-0930dk</v>
          </cell>
        </row>
        <row r="151">
          <cell r="A151" t="str">
            <v>Р. Македонија - државна обврзница DO2019/13-1024</v>
          </cell>
        </row>
        <row r="152">
          <cell r="A152" t="str">
            <v>Р.Македонија државна обврзница DO2022/15-1137</v>
          </cell>
        </row>
        <row r="153">
          <cell r="A153" t="str">
            <v>Р. Македонија - државна обврзница DO2015/45-1225dk</v>
          </cell>
        </row>
        <row r="154">
          <cell r="A154" t="str">
            <v>Р. Македонија - државна обврзница DO2019/06-0449dk</v>
          </cell>
        </row>
        <row r="155">
          <cell r="A155" t="str">
            <v>Р. Македонија - државна обврзница DO2020/06-0635</v>
          </cell>
        </row>
        <row r="156">
          <cell r="A156" t="str">
            <v>Р. Македонија - државна обврзница DO2019/10-0749dk</v>
          </cell>
        </row>
        <row r="157">
          <cell r="A157" t="str">
            <v>Р. Македонија - државна обврзница DO2016/17-0826</v>
          </cell>
        </row>
        <row r="158">
          <cell r="A158" t="str">
            <v>Р. Македонија - државна обврзница DO2016/18-0826dk</v>
          </cell>
        </row>
        <row r="159">
          <cell r="A159" t="str">
            <v>Р. Македонија - државна обврзница DO2016/19-0831dk</v>
          </cell>
        </row>
        <row r="160">
          <cell r="A160" t="str">
            <v>Р. Македонија - државна обврзница DО2022/11-0837dk</v>
          </cell>
        </row>
        <row r="161">
          <cell r="A161" t="str">
            <v>Р. Македонија - државна обврзница DO2018/23-1048dk</v>
          </cell>
        </row>
        <row r="162">
          <cell r="A162" t="str">
            <v>Р. Македонија - државна обврзница DO2021/16-1136dk</v>
          </cell>
        </row>
        <row r="163">
          <cell r="A163" t="str">
            <v>Р. Македонија - државна обврзница DO2018/15-0748dk</v>
          </cell>
        </row>
        <row r="164">
          <cell r="A164" t="str">
            <v>Р. Македонија - државна обврзница DO2019/12-0934</v>
          </cell>
        </row>
        <row r="165">
          <cell r="A165" t="str">
            <v>Р. Македонија - државна обврзница DO2017/32-1032dk</v>
          </cell>
        </row>
        <row r="166">
          <cell r="A166" t="str">
            <v>Р. Македонија - државна обврзница DO2015/42-1125dk</v>
          </cell>
        </row>
        <row r="167">
          <cell r="A167" t="str">
            <v>Р. Македонија - државна обврзница DO2015/43-1130dk</v>
          </cell>
        </row>
        <row r="168">
          <cell r="A168" t="str">
            <v>Р. Македонија - државна обврзница DO2017/20-0732dk</v>
          </cell>
        </row>
        <row r="169">
          <cell r="A169" t="str">
            <v>Р. Македонија - државна обврзница DO2023/13-0738</v>
          </cell>
        </row>
        <row r="170">
          <cell r="A170" t="str">
            <v>Р. Македонија - државна обврзница DO2015/32-0825</v>
          </cell>
        </row>
        <row r="171">
          <cell r="A171" t="str">
            <v>Р. Македонија - државна обврзница DO2015/33-0830dk</v>
          </cell>
        </row>
        <row r="172">
          <cell r="A172" t="str">
            <v>Р. Македонија - државна обврзница DO2018/19-0933</v>
          </cell>
        </row>
        <row r="173">
          <cell r="A173" t="str">
            <v>Р. Македонија - државна обврзница DO2018/20-0933dk</v>
          </cell>
        </row>
        <row r="174">
          <cell r="A174" t="str">
            <v>Р. Македонија - државна обврзница DO2015/18-0525dk</v>
          </cell>
        </row>
        <row r="175">
          <cell r="A175" t="str">
            <v>Р. Македонија - државна обврзница DO2018/13-0633dk</v>
          </cell>
        </row>
        <row r="176">
          <cell r="A176" t="str">
            <v>Р. Македонија - државна обврзница DO2014/18-0824dk</v>
          </cell>
        </row>
        <row r="177">
          <cell r="A177" t="str">
            <v>Р. Македонија - државна обврзница DO2017/27-0932dk</v>
          </cell>
        </row>
        <row r="178">
          <cell r="A178" t="str">
            <v>Р.Македонија - државна обврзница DO2023/17-0938</v>
          </cell>
        </row>
        <row r="179">
          <cell r="A179" t="str">
            <v>Р. Македонија - државна обврзница DO2016/03-0131dk</v>
          </cell>
        </row>
        <row r="180">
          <cell r="A180" t="str">
            <v>Р. Македонија - државна обврзница DO2017/17-0632dk</v>
          </cell>
        </row>
        <row r="181">
          <cell r="A181" t="str">
            <v>Р. Македонија - државна обврзница DO2016/21-0931dk</v>
          </cell>
        </row>
        <row r="182">
          <cell r="A182" t="str">
            <v>Р. Македонија - државна обврзница DO2018/27-1133dk</v>
          </cell>
        </row>
        <row r="183">
          <cell r="A183" t="str">
            <v>Р. Македонија - државна обврзница DO2016/29-1231dk</v>
          </cell>
        </row>
        <row r="184">
          <cell r="A184" t="str">
            <v>Р. Македонија - државна обврзница DO2017/10-0332dk</v>
          </cell>
        </row>
        <row r="185">
          <cell r="A185" t="str">
            <v>Р. Македонија - државна обврзница DO2016/14-0631dk</v>
          </cell>
        </row>
        <row r="186">
          <cell r="A186" t="str">
            <v>Р. Македонија - државна обврзница DO2015/27-0725dk</v>
          </cell>
        </row>
        <row r="187">
          <cell r="A187" t="str">
            <v>Р. Македонија - државна обврзница DO2015/28-0730dk</v>
          </cell>
        </row>
        <row r="188">
          <cell r="A188" t="str">
            <v>Р. Македонија - државна обврзница DO2017/36-1132dk</v>
          </cell>
        </row>
        <row r="189">
          <cell r="A189" t="str">
            <v>Р. Македонија - државна обврзница DO2016/09-0326</v>
          </cell>
        </row>
        <row r="190">
          <cell r="A190" t="str">
            <v>Р. Македонија - државна обврзница DO2014/17-0724dk</v>
          </cell>
        </row>
        <row r="191">
          <cell r="A191" t="str">
            <v>Р. Македонија - државна обврзница DO2015/38-0925dk</v>
          </cell>
        </row>
        <row r="192">
          <cell r="A192" t="str">
            <v>Р. Македонија - државна обврзница DO2015/39-0930dk</v>
          </cell>
        </row>
        <row r="193">
          <cell r="A193" t="str">
            <v>Р. Македонија - државна обврзница DO2015/46-1225dk</v>
          </cell>
        </row>
        <row r="194">
          <cell r="A194" t="str">
            <v>Р. Македонија - државна обврзница DO2018/04-0133</v>
          </cell>
        </row>
        <row r="195">
          <cell r="A195" t="str">
            <v>Р. Македонија - државна обврзница DO2018/05-0133dk</v>
          </cell>
        </row>
        <row r="196">
          <cell r="A196" t="str">
            <v>Р. Македонија - државна обврзница DO2015/20-0625</v>
          </cell>
        </row>
        <row r="197">
          <cell r="A197" t="str">
            <v>Р. Македонија - државна обврзница DO2015/21-0625dk</v>
          </cell>
        </row>
        <row r="198">
          <cell r="A198" t="str">
            <v>Р. Македонија - државна обврзница DO2015/22-0630dk</v>
          </cell>
        </row>
        <row r="199">
          <cell r="A199" t="str">
            <v>Р. Македонија - државна обврзница DO2017/05-0132dk</v>
          </cell>
        </row>
        <row r="200">
          <cell r="A200" t="str">
            <v>Р. Македонија - државна обврзница DO2015/08-0230dk</v>
          </cell>
        </row>
        <row r="201">
          <cell r="A201" t="str">
            <v>Р. Македонија - државна обврзница DO2015/12-0325</v>
          </cell>
        </row>
        <row r="202">
          <cell r="A202" t="str">
            <v>Р. Македонија - државна обврзница DO2015/13-0330dk</v>
          </cell>
        </row>
        <row r="203">
          <cell r="A203" t="str">
            <v>Р. Македонија - државна обврзница DO2018/11-0448dk</v>
          </cell>
        </row>
        <row r="204">
          <cell r="A204" t="str">
            <v>Р.Македонија - државна обврзница DO2023/07-0538dk</v>
          </cell>
        </row>
        <row r="205">
          <cell r="A205" t="str">
            <v>Р. Македонија - државна обврзница DO2022/02-0125</v>
          </cell>
        </row>
        <row r="206">
          <cell r="A206" t="str">
            <v>Р. Македонија - државна обврзница DO2015/34-0825</v>
          </cell>
        </row>
        <row r="207">
          <cell r="A207" t="str">
            <v>Р. Македонија - државна обврзница DO2015/35-0825dk</v>
          </cell>
        </row>
        <row r="208">
          <cell r="A208" t="str">
            <v>Р. Македонија - државна обврзница DO2015/36-0830dk</v>
          </cell>
        </row>
        <row r="209">
          <cell r="A209" t="str">
            <v>Р. Македонија - државна обврзница DO2016/04-0131dk</v>
          </cell>
        </row>
        <row r="210">
          <cell r="A210" t="str">
            <v>Р. Македонија - државна обврзница DO2019/04-0234</v>
          </cell>
        </row>
        <row r="211">
          <cell r="A211" t="str">
            <v>Р. Македонија - државна обврзница DO2016/16-0731dk</v>
          </cell>
        </row>
        <row r="212">
          <cell r="A212" t="str">
            <v>Р.Македонија - државна обврзница DO2023/23-1238dk</v>
          </cell>
        </row>
        <row r="213">
          <cell r="A213" t="str">
            <v>Р. Македонија - државна обврзница DO2015/03-0125</v>
          </cell>
        </row>
        <row r="214">
          <cell r="A214" t="str">
            <v>Р. Македонија - државна обврзница DO2015/04-0125dk</v>
          </cell>
        </row>
        <row r="215">
          <cell r="A215" t="str">
            <v>Р. Македонија - државна обврзница DO2017/18-0632dk</v>
          </cell>
        </row>
        <row r="216">
          <cell r="A216" t="str">
            <v>Р. Македонија - државна обврзница DO2023/10-0638dk</v>
          </cell>
        </row>
        <row r="217">
          <cell r="A217" t="str">
            <v>Р. Македонија - држaвна обврзница DO2021/12-0724</v>
          </cell>
        </row>
        <row r="218">
          <cell r="A218" t="str">
            <v>Р. Македонија - државна обврзница DO2016/22-0931dk</v>
          </cell>
        </row>
        <row r="219">
          <cell r="A219" t="str">
            <v>Р. Македонија - државна обврзница DO2015/41-1030dk</v>
          </cell>
        </row>
        <row r="220">
          <cell r="A220" t="str">
            <v>Р. Македонија - државна обврзница DO2020/10-1035</v>
          </cell>
        </row>
        <row r="221">
          <cell r="A221" t="str">
            <v>Р. Македонија - државна обврзница DO2022/17-1237</v>
          </cell>
        </row>
        <row r="222">
          <cell r="A222" t="str">
            <v>Р. Македонија - државна обврзница DO2022/18-1237dk</v>
          </cell>
        </row>
        <row r="223">
          <cell r="A223" t="str">
            <v>Р. Македонија - државна обврзница DO2020/01-0150dk</v>
          </cell>
        </row>
        <row r="224">
          <cell r="A224" t="str">
            <v>Р. Македонија - државна обврзница DO2017/11-0332dk</v>
          </cell>
        </row>
        <row r="225">
          <cell r="A225" t="str">
            <v>Р. Македонија - државна обврзница DO2023/05-0338</v>
          </cell>
        </row>
        <row r="226">
          <cell r="A226" t="str">
            <v>Р. Македонија - државна обврзница DO2023/06-0338dk</v>
          </cell>
        </row>
        <row r="227">
          <cell r="A227" t="str">
            <v>Р. Македонија - државна обврзница DO2020/04-0450dk</v>
          </cell>
        </row>
        <row r="228">
          <cell r="A228" t="str">
            <v>Р. Македонија - државна обврзница DO2022/08-0637</v>
          </cell>
        </row>
        <row r="229">
          <cell r="A229" t="str">
            <v>Р. Македонија - државна обврзница DO2015/29-0730dk</v>
          </cell>
        </row>
        <row r="230">
          <cell r="A230" t="str">
            <v>Р. Македонија - државна обврзница DO2014/30-1024dk</v>
          </cell>
        </row>
        <row r="231">
          <cell r="A231" t="str">
            <v>Р. Македонија - државна обврзница DO2017/37-1132dk</v>
          </cell>
        </row>
        <row r="232">
          <cell r="A232" t="str">
            <v>Р. Македонија - државна обврзница DO2019/02-0149dk</v>
          </cell>
        </row>
        <row r="233">
          <cell r="A233" t="str">
            <v>Р. Македонија - државна обврзница DO2016/10-0331dk</v>
          </cell>
        </row>
        <row r="234">
          <cell r="A234" t="str">
            <v>Р. Македонија - државна обврзница DO2019/14-1049dk</v>
          </cell>
          <cell r="B234">
            <v>103.5</v>
          </cell>
        </row>
        <row r="235">
          <cell r="A235" t="str">
            <v>Р. Македонија - денационализација 13</v>
          </cell>
          <cell r="B235">
            <v>99</v>
          </cell>
        </row>
        <row r="236">
          <cell r="A236" t="str">
            <v>Р. Македонија - денационализација 14</v>
          </cell>
          <cell r="B236">
            <v>90</v>
          </cell>
        </row>
        <row r="237">
          <cell r="A237" t="str">
            <v>Р. Македонија - денационализација 15</v>
          </cell>
          <cell r="B237">
            <v>95</v>
          </cell>
        </row>
        <row r="238">
          <cell r="A238" t="str">
            <v>Р. Македонија - денационализација 16</v>
          </cell>
          <cell r="B238">
            <v>90</v>
          </cell>
        </row>
        <row r="239">
          <cell r="A239" t="str">
            <v>Р. Македонија - денационализација 17</v>
          </cell>
          <cell r="B239">
            <v>90</v>
          </cell>
        </row>
        <row r="240">
          <cell r="A240" t="str">
            <v>Р. Македонија - денационализација 18</v>
          </cell>
          <cell r="B240">
            <v>93</v>
          </cell>
        </row>
        <row r="241">
          <cell r="A241" t="str">
            <v>Р. Македонија - денационализација 19</v>
          </cell>
          <cell r="B241">
            <v>92</v>
          </cell>
        </row>
        <row r="242">
          <cell r="A242" t="str">
            <v>Р. Македонија - денационализација 20</v>
          </cell>
          <cell r="B242">
            <v>94</v>
          </cell>
        </row>
        <row r="243">
          <cell r="A243" t="str">
            <v>Р. Македонија - денационализација 21</v>
          </cell>
          <cell r="B243">
            <v>92</v>
          </cell>
        </row>
        <row r="244">
          <cell r="A244" t="str">
            <v>Р. Македонија - денационализација 22</v>
          </cell>
          <cell r="B244">
            <v>87</v>
          </cell>
        </row>
        <row r="245">
          <cell r="A245" t="str">
            <v>Р.Македонија - структурни обврзници општина Виница</v>
          </cell>
        </row>
        <row r="246">
          <cell r="A246" t="str">
            <v>Р.Македонија - структурни обврзници општина Желино</v>
          </cell>
          <cell r="B246">
            <v>93.1</v>
          </cell>
        </row>
        <row r="247">
          <cell r="A247" t="str">
            <v>Р.Македонија - структурни обврзници општина Тетово</v>
          </cell>
          <cell r="B247">
            <v>93.1</v>
          </cell>
        </row>
        <row r="248">
          <cell r="A248" t="str">
            <v>СН Осигурителен Брокер АД Битола - корпоративна обврзница I емисија</v>
          </cell>
          <cell r="B248">
            <v>100</v>
          </cell>
        </row>
        <row r="249">
          <cell r="A249" t="str">
            <v>ТТК банка АД Скопје - корпоративна обврзница I емисија</v>
          </cell>
          <cell r="B249">
            <v>100</v>
          </cell>
        </row>
        <row r="250">
          <cell r="A250" t="str">
            <v>ТТК банка АД Скопје - корпоративна обврзница II емисија</v>
          </cell>
        </row>
        <row r="251">
          <cell r="A251" t="str">
            <v>Р.Македонија - државна обврзница DO2023/18-1025</v>
          </cell>
        </row>
        <row r="252">
          <cell r="A252" t="str">
            <v>Берзанска котација - други хартии од вредност</v>
          </cell>
        </row>
        <row r="253">
          <cell r="A253" t="str">
            <v>Универзална Инвестициона Банка Скопје - перпетуални обврзници - втора емисија</v>
          </cell>
        </row>
        <row r="254">
          <cell r="A254" t="str">
            <v>Универзална Инвестициона Банка Скопје - перпетуални обврзници - трета емисија</v>
          </cell>
        </row>
        <row r="255">
          <cell r="A255" t="str">
            <v>Задолжителна котација - обични акции</v>
          </cell>
        </row>
        <row r="256">
          <cell r="A256" t="str">
            <v>Адинг Скопје</v>
          </cell>
          <cell r="B256">
            <v>1200</v>
          </cell>
        </row>
        <row r="257">
          <cell r="A257" t="str">
            <v>Агромеханика Скопје</v>
          </cell>
          <cell r="B257">
            <v>300</v>
          </cell>
        </row>
        <row r="258">
          <cell r="A258" t="str">
            <v>Ангропромет-Тиквешанка Кавадарци</v>
          </cell>
          <cell r="B258">
            <v>750</v>
          </cell>
        </row>
        <row r="259">
          <cell r="A259" t="str">
            <v>Аутомакедонија Скопје</v>
          </cell>
          <cell r="B259">
            <v>2950</v>
          </cell>
        </row>
        <row r="260">
          <cell r="A260" t="str">
            <v>Рудници Бањани Скопје</v>
          </cell>
          <cell r="B260">
            <v>603</v>
          </cell>
        </row>
        <row r="261">
          <cell r="A261" t="str">
            <v>Кристал 1923 АД Велес</v>
          </cell>
          <cell r="B261">
            <v>158</v>
          </cell>
        </row>
        <row r="262">
          <cell r="A262" t="str">
            <v>БИМ Свети Николе</v>
          </cell>
          <cell r="B262">
            <v>15550</v>
          </cell>
        </row>
        <row r="263">
          <cell r="A263" t="str">
            <v>ФЗЦ 11 Октомври Куманово</v>
          </cell>
          <cell r="B263">
            <v>400</v>
          </cell>
        </row>
        <row r="264">
          <cell r="A264" t="str">
            <v>Централна кооперативна банка Скопје</v>
          </cell>
          <cell r="B264">
            <v>350</v>
          </cell>
        </row>
        <row r="265">
          <cell r="A265" t="str">
            <v>Дебарски бањи Дебар</v>
          </cell>
          <cell r="B265">
            <v>1550</v>
          </cell>
        </row>
        <row r="266">
          <cell r="A266" t="str">
            <v>Димко Митрев Велес</v>
          </cell>
          <cell r="B266">
            <v>185</v>
          </cell>
        </row>
        <row r="267">
          <cell r="A267" t="str">
            <v>Единство Струмица</v>
          </cell>
          <cell r="B267">
            <v>80</v>
          </cell>
        </row>
        <row r="268">
          <cell r="A268" t="str">
            <v>Европа Скопје</v>
          </cell>
          <cell r="B268">
            <v>2987</v>
          </cell>
        </row>
        <row r="269">
          <cell r="A269" t="str">
            <v>Факом Скопје</v>
          </cell>
          <cell r="B269">
            <v>6984</v>
          </cell>
        </row>
        <row r="270">
          <cell r="A270" t="str">
            <v>Фустеларко Борец Битола</v>
          </cell>
          <cell r="B270">
            <v>2101</v>
          </cell>
        </row>
        <row r="271">
          <cell r="A271" t="str">
            <v>Герас Цунев конфекција Струмица</v>
          </cell>
          <cell r="B271">
            <v>500</v>
          </cell>
        </row>
        <row r="272">
          <cell r="A272" t="str">
            <v>Герас Цунев трговија Струмица</v>
          </cell>
          <cell r="B272">
            <v>500</v>
          </cell>
        </row>
        <row r="273">
          <cell r="A273" t="str">
            <v>Грозд Струмица</v>
          </cell>
          <cell r="B273">
            <v>2250</v>
          </cell>
        </row>
        <row r="274">
          <cell r="A274" t="str">
            <v>Градски Трговски Центар Скопје</v>
          </cell>
          <cell r="B274">
            <v>1790</v>
          </cell>
        </row>
        <row r="275">
          <cell r="A275" t="str">
            <v>Интерпромет Тетово</v>
          </cell>
          <cell r="B275">
            <v>4500</v>
          </cell>
        </row>
        <row r="276">
          <cell r="A276" t="str">
            <v>Македонија осигурување АД Скопје - Виена Иншуренс Груп</v>
          </cell>
          <cell r="B276">
            <v>1237</v>
          </cell>
        </row>
        <row r="277">
          <cell r="A277" t="str">
            <v>Кланица со ладилник Струмица</v>
          </cell>
          <cell r="B277">
            <v>120</v>
          </cell>
        </row>
        <row r="278">
          <cell r="A278" t="str">
            <v>Фруктал МАК Скопје</v>
          </cell>
          <cell r="B278">
            <v>119</v>
          </cell>
        </row>
        <row r="279">
          <cell r="A279" t="str">
            <v>Карпош Скопје</v>
          </cell>
          <cell r="B279">
            <v>333</v>
          </cell>
        </row>
        <row r="280">
          <cell r="A280" t="str">
            <v>Лотарија на Македонија Скопје</v>
          </cell>
        </row>
        <row r="281">
          <cell r="A281" t="str">
            <v>Пелистерка АД Скопје</v>
          </cell>
          <cell r="B281">
            <v>2619</v>
          </cell>
        </row>
        <row r="282">
          <cell r="A282" t="str">
            <v>Макпромет Штип</v>
          </cell>
          <cell r="B282">
            <v>600</v>
          </cell>
        </row>
        <row r="283">
          <cell r="A283" t="str">
            <v>Мермерен комбинат Прилеп</v>
          </cell>
          <cell r="B283">
            <v>2575</v>
          </cell>
        </row>
        <row r="284">
          <cell r="A284" t="str">
            <v>Мода Свети Николе</v>
          </cell>
          <cell r="B284">
            <v>99</v>
          </cell>
        </row>
        <row r="285">
          <cell r="A285" t="str">
            <v>Вабтек МЗТ Скопје</v>
          </cell>
          <cell r="B285">
            <v>3133</v>
          </cell>
        </row>
        <row r="286">
          <cell r="A286" t="str">
            <v>МЗТ Пумпи Скопје</v>
          </cell>
          <cell r="B286">
            <v>607</v>
          </cell>
        </row>
        <row r="287">
          <cell r="A287" t="str">
            <v>Огражден Струмица</v>
          </cell>
          <cell r="B287">
            <v>1900</v>
          </cell>
        </row>
        <row r="288">
          <cell r="A288" t="str">
            <v>Нова стоковна куќа Струмица</v>
          </cell>
          <cell r="B288">
            <v>61500</v>
          </cell>
        </row>
        <row r="289">
          <cell r="A289" t="str">
            <v>Оилко КДА Скопје</v>
          </cell>
          <cell r="B289">
            <v>6000</v>
          </cell>
        </row>
        <row r="290">
          <cell r="A290" t="str">
            <v>ОКТА Скопје</v>
          </cell>
          <cell r="B290">
            <v>4900</v>
          </cell>
        </row>
        <row r="291">
          <cell r="A291" t="str">
            <v>Оранжерии Хамзали Струмица</v>
          </cell>
          <cell r="B291">
            <v>308</v>
          </cell>
        </row>
        <row r="292">
          <cell r="A292" t="str">
            <v>Пекабеско Скопје</v>
          </cell>
          <cell r="B292">
            <v>16500</v>
          </cell>
        </row>
        <row r="293">
          <cell r="A293" t="str">
            <v>Попова Кула Демир Капија</v>
          </cell>
          <cell r="B293">
            <v>16</v>
          </cell>
        </row>
        <row r="294">
          <cell r="A294" t="str">
            <v>Прилепска Пиварница Прилеп</v>
          </cell>
          <cell r="B294">
            <v>33301</v>
          </cell>
        </row>
        <row r="295">
          <cell r="A295" t="str">
            <v>Раде Кончар Скопје</v>
          </cell>
          <cell r="B295">
            <v>2000</v>
          </cell>
        </row>
        <row r="296">
          <cell r="A296" t="str">
            <v>РЖ Економика Скопје</v>
          </cell>
          <cell r="B296">
            <v>50</v>
          </cell>
        </row>
        <row r="297">
          <cell r="A297" t="str">
            <v>Либерти АД Скопје</v>
          </cell>
          <cell r="B297">
            <v>46</v>
          </cell>
        </row>
        <row r="298">
          <cell r="A298" t="str">
            <v>РЖ Техничка контрола Скопје</v>
          </cell>
        </row>
        <row r="299">
          <cell r="A299" t="str">
            <v>РЖ Уготур Скопје</v>
          </cell>
          <cell r="B299">
            <v>20</v>
          </cell>
        </row>
        <row r="300">
          <cell r="A300" t="str">
            <v>Современ дом Прилеп</v>
          </cell>
        </row>
        <row r="301">
          <cell r="A301" t="str">
            <v>Силекс Кратово</v>
          </cell>
        </row>
        <row r="302">
          <cell r="A302" t="str">
            <v>Славеј Скопје</v>
          </cell>
          <cell r="B302">
            <v>3100</v>
          </cell>
        </row>
        <row r="303">
          <cell r="A303" t="str">
            <v>Струмичко поле с.Василево</v>
          </cell>
        </row>
        <row r="304">
          <cell r="A304" t="str">
            <v>Сигурносно стакло Прилеп</v>
          </cell>
        </row>
        <row r="305">
          <cell r="A305" t="str">
            <v>Стопанска банка Скопје</v>
          </cell>
          <cell r="B305">
            <v>1410</v>
          </cell>
        </row>
        <row r="306">
          <cell r="A306" t="str">
            <v>Стокопромет Скопје</v>
          </cell>
          <cell r="B306">
            <v>1200</v>
          </cell>
        </row>
        <row r="307">
          <cell r="A307" t="str">
            <v>ТЕАЛ-Алумина Тетово</v>
          </cell>
          <cell r="B307">
            <v>730</v>
          </cell>
        </row>
        <row r="308">
          <cell r="A308" t="str">
            <v>Технокомерц Скопје</v>
          </cell>
          <cell r="B308">
            <v>1000</v>
          </cell>
        </row>
        <row r="309">
          <cell r="A309" t="str">
            <v>Македонски Телеком Скопје</v>
          </cell>
          <cell r="B309">
            <v>420</v>
          </cell>
        </row>
        <row r="310">
          <cell r="A310" t="str">
            <v>ГД-Тиквеш Кавадарци</v>
          </cell>
          <cell r="B310">
            <v>1000</v>
          </cell>
        </row>
        <row r="311">
          <cell r="A311" t="str">
            <v>НЛБ Банка АД Скопје</v>
          </cell>
        </row>
        <row r="312">
          <cell r="A312" t="str">
            <v>Транскоп-Патнички сооб. Битола</v>
          </cell>
          <cell r="B312">
            <v>1800</v>
          </cell>
        </row>
        <row r="313">
          <cell r="A313" t="str">
            <v>Трготекстил малопродажба Скопје</v>
          </cell>
          <cell r="B313">
            <v>97</v>
          </cell>
        </row>
        <row r="314">
          <cell r="A314" t="str">
            <v>Универзална Инвестициона Банка Скопје</v>
          </cell>
        </row>
        <row r="315">
          <cell r="A315" t="str">
            <v>Цементарница УСЈЕ Скопје</v>
          </cell>
        </row>
        <row r="316">
          <cell r="A316" t="str">
            <v>Триглав осигурување Скопје</v>
          </cell>
        </row>
        <row r="317">
          <cell r="A317" t="str">
            <v>Ветекс Велес</v>
          </cell>
        </row>
        <row r="318">
          <cell r="A318" t="str">
            <v>ЖАС Скопје</v>
          </cell>
        </row>
        <row r="319">
          <cell r="A319" t="str">
            <v>Жито Караорман Кичево</v>
          </cell>
        </row>
        <row r="320">
          <cell r="A320" t="str">
            <v>Жито Полог Тетово</v>
          </cell>
        </row>
        <row r="321">
          <cell r="A321" t="str">
            <v>Задолжителна котација - приоритетни акции</v>
          </cell>
        </row>
        <row r="322">
          <cell r="A322" t="str">
            <v>Стопанска банка Скопје</v>
          </cell>
        </row>
        <row r="323">
          <cell r="A323" t="str">
            <v>Редовен пазар</v>
          </cell>
        </row>
        <row r="324">
          <cell r="A324" t="str">
            <v>Пазар на акционерски друштва со посебни обврски за известување - обични акции</v>
          </cell>
        </row>
        <row r="325">
          <cell r="A325" t="str">
            <v>Гетро Гостивар</v>
          </cell>
        </row>
        <row r="326">
          <cell r="A326" t="str">
            <v>Шпаркасе банка Македонија АД Скопје</v>
          </cell>
        </row>
        <row r="327">
          <cell r="A327" t="str">
            <v>Слободен пазар - обични акции</v>
          </cell>
        </row>
        <row r="328">
          <cell r="A328" t="str">
            <v>Текстил Елма Прилеп</v>
          </cell>
        </row>
        <row r="329">
          <cell r="A329" t="str">
            <v>АрцелорМиттал (ХРМ) АД Скопје - долгорочно суспендирано од котација</v>
          </cell>
        </row>
        <row r="330">
          <cell r="A330" t="str">
            <v>Пивара Скопје АД Скопје</v>
          </cell>
        </row>
        <row r="331">
          <cell r="A331" t="str">
            <v>Ветеринарно сточарски центар Куманово</v>
          </cell>
        </row>
        <row r="332">
          <cell r="A332" t="str">
            <v>ЗИМ Скопје</v>
          </cell>
        </row>
        <row r="333">
          <cell r="A333" t="str">
            <v>ЗУАС АД Скопје</v>
          </cell>
        </row>
        <row r="334">
          <cell r="A334" t="str">
            <v>Вкупен промет на сите пазарни сегменти: 28.926.231,00</v>
          </cell>
        </row>
        <row r="335">
          <cell r="A335" t="str">
            <v>МБИ10</v>
          </cell>
        </row>
        <row r="336">
          <cell r="A336" t="str">
            <v>ОМБ</v>
          </cell>
        </row>
        <row r="337">
          <cell r="A337" t="str">
            <v>1 EUR = 61,6950 МКД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  <cell r="B6">
            <v>14226.83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Фершпед Скопје</v>
          </cell>
          <cell r="B9">
            <v>51400</v>
          </cell>
        </row>
        <row r="10">
          <cell r="A10" t="str">
            <v>Гранит Скопје</v>
          </cell>
        </row>
        <row r="11">
          <cell r="A11" t="str">
            <v>Интернешнел Хотелс АД Скопје</v>
          </cell>
        </row>
        <row r="12">
          <cell r="A12" t="str">
            <v>ДС Смитх АД Скопје</v>
          </cell>
        </row>
        <row r="13">
          <cell r="A13" t="str">
            <v>Макотекс Скопје</v>
          </cell>
        </row>
        <row r="14">
          <cell r="A14" t="str">
            <v>Макошпед Скопје</v>
          </cell>
        </row>
        <row r="15">
          <cell r="A15" t="str">
            <v>Хотели Метропол Охрид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  <cell r="B26">
            <v>6101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Р.Македонија - државна обврзница DO2023/19-1125</v>
          </cell>
        </row>
        <row r="37">
          <cell r="A37" t="str">
            <v>Р. Македонија - државна обврзница DO2023/12-0725</v>
          </cell>
        </row>
        <row r="38">
          <cell r="A38" t="str">
            <v>Р. Македонија - државна обврзница DO2021/05-0428</v>
          </cell>
        </row>
        <row r="39">
          <cell r="A39" t="str">
            <v>Р. Македонија - државна обврзница DO2021/06-0428dk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Р.Македонија државна обврзница DO2022/16-1237</v>
          </cell>
        </row>
        <row r="44">
          <cell r="A44" t="str">
            <v>Р. Македонија - државна обврзница DO2014/10-0524dk</v>
          </cell>
        </row>
        <row r="45">
          <cell r="A45" t="str">
            <v>Р. Македонија - државна обврзница DO2014/23-1024</v>
          </cell>
        </row>
        <row r="46">
          <cell r="A46" t="str">
            <v>Р. Македонија - државна обврзница DO2017/35-1132dk</v>
          </cell>
        </row>
        <row r="47">
          <cell r="A47" t="str">
            <v>Р. Македонија - државна обврзница DO2022/03-0337</v>
          </cell>
        </row>
        <row r="48">
          <cell r="A48" t="str">
            <v>Р. Македонија - државна обврзница DO2023/04-0338</v>
          </cell>
        </row>
        <row r="49">
          <cell r="A49" t="str">
            <v>Р. Македонија - државна обврзница DO2014/16-0724dk</v>
          </cell>
        </row>
        <row r="50">
          <cell r="A50" t="str">
            <v>Р. Македонија - државна обврзница DO2016/26-1131dk</v>
          </cell>
        </row>
        <row r="51">
          <cell r="A51" t="str">
            <v>Р. Македонија - државна обврзница DO2015/44-1230dk</v>
          </cell>
        </row>
        <row r="52">
          <cell r="A52" t="str">
            <v>Р. Македонија - државна обврзница DO2020/15-1235dk</v>
          </cell>
        </row>
        <row r="53">
          <cell r="A53" t="str">
            <v>Р. Македонија - државна обврзница DO2021/04-0336</v>
          </cell>
        </row>
        <row r="54">
          <cell r="A54" t="str">
            <v>Р. Македонија - државна обврзница DO2017/14-0532dk</v>
          </cell>
        </row>
        <row r="55">
          <cell r="A55" t="str">
            <v>Р. Македонија - државна обврзница DO2015/19-0630dk</v>
          </cell>
        </row>
        <row r="56">
          <cell r="A56" t="str">
            <v>Р.Македонија - државна обврзница DO2022/09-0837</v>
          </cell>
        </row>
        <row r="57">
          <cell r="A57" t="str">
            <v>Р.Македонија - државна обврзница DO2022/10-0837dk</v>
          </cell>
        </row>
        <row r="58">
          <cell r="A58" t="str">
            <v>Р. Македонија - државна обврзница DO2023/14-0838</v>
          </cell>
        </row>
        <row r="59">
          <cell r="A59" t="str">
            <v>Р. Македонија - државна обврзница DO2014/19-0924dk</v>
          </cell>
        </row>
        <row r="60">
          <cell r="A60" t="str">
            <v>Р. Македонија - државна обврзница DO2014/38-1224</v>
          </cell>
        </row>
        <row r="61">
          <cell r="A61" t="str">
            <v>Р. Македонија - државна обврзница DO2020/03-0325</v>
          </cell>
        </row>
        <row r="62">
          <cell r="A62" t="str">
            <v>Р. Македонија - државна обврзница DO2014/13-0624dk</v>
          </cell>
        </row>
        <row r="63">
          <cell r="A63" t="str">
            <v>Р. Македонија - државна обврзница ДО2021/13-0836</v>
          </cell>
        </row>
        <row r="64">
          <cell r="A64" t="str">
            <v>Р. Македонија - државна обврзница DO2017/30-1032dk</v>
          </cell>
        </row>
        <row r="65">
          <cell r="A65" t="str">
            <v>Р. Македонија - државна обврзница DO2020/12-1125</v>
          </cell>
        </row>
        <row r="66">
          <cell r="A66" t="str">
            <v>Р. Македонија - државна обврзница DO2019/16-1234dk</v>
          </cell>
        </row>
        <row r="67">
          <cell r="A67" t="str">
            <v>Р. Македонија - државна обврзница DO2017/12-0432dk</v>
          </cell>
        </row>
        <row r="68">
          <cell r="A68" t="str">
            <v>Р. Македонија - државна обврзница DO2017/19-0732dk</v>
          </cell>
        </row>
        <row r="69">
          <cell r="A69" t="str">
            <v>Р. Македонија - државна обврзница DO2015/30-0825dk</v>
          </cell>
        </row>
        <row r="70">
          <cell r="A70" t="str">
            <v>Р. Македонија - државна обврзница DO2015/31-0830dk</v>
          </cell>
        </row>
        <row r="71">
          <cell r="A71" t="str">
            <v>Р. Македонија - државна обврзница DO2020/07-0850dk</v>
          </cell>
        </row>
        <row r="72">
          <cell r="A72" t="str">
            <v>Р. Македонија - државна обврзница DO2019/05-0324</v>
          </cell>
        </row>
        <row r="73">
          <cell r="A73" t="str">
            <v>Р. Македонија - државна обврзница DO2016/11-0426dk</v>
          </cell>
        </row>
        <row r="74">
          <cell r="A74" t="str">
            <v>Р. Македонија - државна обврзница DO2015/17-0530dk</v>
          </cell>
        </row>
        <row r="75">
          <cell r="A75" t="str">
            <v>Р. Македонија - државна обврзница DO2018/12-0633</v>
          </cell>
        </row>
        <row r="76">
          <cell r="A76" t="str">
            <v>Р. Македонија - државна обврзница DO2017/26-0932dk</v>
          </cell>
        </row>
        <row r="77">
          <cell r="A77" t="str">
            <v>Р.Македонија - државна обврзница DO2023/15-0938</v>
          </cell>
        </row>
        <row r="78">
          <cell r="A78" t="str">
            <v>Р.Македонија - државна обврзница DO2023/16-0938dk</v>
          </cell>
        </row>
        <row r="79">
          <cell r="A79" t="str">
            <v>Р. Македонија - државна обврзница DO2019/15-1134</v>
          </cell>
        </row>
        <row r="80">
          <cell r="A80" t="str">
            <v>Р. Македонија - државна обврзница DO2017/38-1232dk</v>
          </cell>
        </row>
        <row r="81">
          <cell r="A81" t="str">
            <v>Р. Македонија - државна обврзница DO2018/10-0333dk</v>
          </cell>
        </row>
        <row r="82">
          <cell r="A82" t="str">
            <v>Р. Македонија - државна обврзница DO2017/16-0632dk</v>
          </cell>
        </row>
        <row r="83">
          <cell r="A83" t="str">
            <v>Р. Македонија - државна обврзница DO2016/15-0731dk</v>
          </cell>
        </row>
        <row r="84">
          <cell r="A84" t="str">
            <v>Р. Македонија - државна обврзница DO2019/11-0834dk</v>
          </cell>
        </row>
        <row r="85">
          <cell r="A85" t="str">
            <v>Р. Македонија - државна обврзница DO2015/40-1030dk</v>
          </cell>
        </row>
        <row r="86">
          <cell r="A86" t="str">
            <v>Р. Македонија - државна обврзница DO2023/02-0238</v>
          </cell>
        </row>
        <row r="87">
          <cell r="A87" t="str">
            <v>Р. Македонија - државна обврзница DO2017/08-0332dk</v>
          </cell>
        </row>
        <row r="88">
          <cell r="A88" t="str">
            <v>Р. Македонија - државна обврзница DO2016/13-0631dk</v>
          </cell>
        </row>
        <row r="89">
          <cell r="A89" t="str">
            <v>Р. Македонија - државна обврзница DO2015/23-0725</v>
          </cell>
        </row>
        <row r="90">
          <cell r="A90" t="str">
            <v>Р. Македонија - државна обврзница DO2015/24-0725dk</v>
          </cell>
        </row>
        <row r="91">
          <cell r="A91" t="str">
            <v>Р. Македонија - државна обврзница DO2015/25-0730dk</v>
          </cell>
        </row>
        <row r="92">
          <cell r="A92" t="str">
            <v>Р. Македонија - државна обврзница DO2018/17-0833dk</v>
          </cell>
        </row>
        <row r="93">
          <cell r="A93" t="str">
            <v>Р.Македонија државна обврзница DO2022/13-0937</v>
          </cell>
        </row>
        <row r="94">
          <cell r="A94" t="str">
            <v>Р.Македонија државна обврзница DO2022/12-0937dk</v>
          </cell>
        </row>
        <row r="95">
          <cell r="A95" t="str">
            <v>Р. Македонија - државна обврзница DO2017/22-0832dk</v>
          </cell>
        </row>
        <row r="96">
          <cell r="A96" t="str">
            <v>Р. Македонија - државна обврзница DO2018/02-0128</v>
          </cell>
        </row>
        <row r="97">
          <cell r="A97" t="str">
            <v>Р. Македонија - државна обврзница DO2018/03-0133dk</v>
          </cell>
        </row>
        <row r="98">
          <cell r="A98" t="str">
            <v>Р. Македонија - државна обврзница DO2016/05-0226</v>
          </cell>
        </row>
        <row r="99">
          <cell r="A99" t="str">
            <v>Р. Македонија - државна обврзница DO2016/06-0226dk</v>
          </cell>
        </row>
        <row r="100">
          <cell r="A100" t="str">
            <v>Р. Македонија - државна обврзница DO2016/07-0231dk</v>
          </cell>
        </row>
        <row r="101">
          <cell r="A101" t="str">
            <v>Р. Македонија - државна обврзница DO2023/06-0538</v>
          </cell>
        </row>
        <row r="102">
          <cell r="A102" t="str">
            <v>Р. Македонија - државна обврзница DO2017/02-0132dk</v>
          </cell>
        </row>
        <row r="103">
          <cell r="A103" t="str">
            <v>Р. Македонија - државна обврзница DO2023/01-0138</v>
          </cell>
        </row>
        <row r="104">
          <cell r="A104" t="str">
            <v>Р. Македонија - државна обврзница DO2015/05-0230dk</v>
          </cell>
        </row>
        <row r="105">
          <cell r="A105" t="str">
            <v>Р. Македонија - државна обврзница DO2015/09-0325</v>
          </cell>
        </row>
        <row r="106">
          <cell r="A106" t="str">
            <v>Р. Македонија - државна обврзница DO2015/10-0330dk</v>
          </cell>
        </row>
        <row r="107">
          <cell r="A107" t="str">
            <v>Р. Македонија - државна обврзница DO2022/05-0537</v>
          </cell>
        </row>
        <row r="108">
          <cell r="A108" t="str">
            <v>Р. Македонија - државна обврзница DO2022/01-0137</v>
          </cell>
        </row>
        <row r="109">
          <cell r="A109" t="str">
            <v>Р. Македонија - државна обврзница DO2020/02-0235</v>
          </cell>
        </row>
        <row r="110">
          <cell r="A110" t="str">
            <v>Р. Македонија - државна обврзница DO2023/11-0738</v>
          </cell>
        </row>
        <row r="111">
          <cell r="A111" t="str">
            <v>Р. Македонија - државна обврзница DO2022/14-1037</v>
          </cell>
        </row>
        <row r="112">
          <cell r="A112" t="str">
            <v>Р. Македонија - државна обврзница DO2016/01-0126dk</v>
          </cell>
        </row>
        <row r="113">
          <cell r="A113" t="str">
            <v>Р. Македонија - државна обврзница DO2016/02-0131dk</v>
          </cell>
        </row>
        <row r="114">
          <cell r="A114" t="str">
            <v>Р. Македонија - државна обврзница DO2021/01-0136</v>
          </cell>
        </row>
        <row r="115">
          <cell r="A115" t="str">
            <v>Р. Македонија - државна обврзница DO2019/03-0224dk</v>
          </cell>
        </row>
        <row r="116">
          <cell r="A116" t="str">
            <v>Р. Македонија - државна обврзница DO2016/12-0431dk</v>
          </cell>
        </row>
        <row r="117">
          <cell r="A117" t="str">
            <v>Р. Македонија - државна обврзница DO2022/04-0437dk</v>
          </cell>
        </row>
        <row r="118">
          <cell r="A118" t="str">
            <v>Р. Македонија - државна обврзница DO2021/09-0526</v>
          </cell>
        </row>
        <row r="119">
          <cell r="A119" t="str">
            <v>Р. Македонија - државна обврзница DO2016/23-1031dk</v>
          </cell>
        </row>
        <row r="120">
          <cell r="A120" t="str">
            <v>Р. Македонија - државна обврзница DO2021/15-1036</v>
          </cell>
        </row>
        <row r="121">
          <cell r="A121" t="str">
            <v>Р.Македонија - државна обврзница DO2023/21-1226</v>
          </cell>
        </row>
        <row r="122">
          <cell r="A122" t="str">
            <v>Р.Македонија - државна обврзница DO2023/22-1238</v>
          </cell>
        </row>
        <row r="123">
          <cell r="A123" t="str">
            <v>Р. Македонија - државна обврзница DO2018/08-0233dk</v>
          </cell>
        </row>
        <row r="124">
          <cell r="A124" t="str">
            <v>Р. Македонија - државна обврзница DO2021/07-0436</v>
          </cell>
        </row>
        <row r="125">
          <cell r="A125" t="str">
            <v>Р. Македонија - државна обврзница DO2021/08-0436dk</v>
          </cell>
        </row>
        <row r="126">
          <cell r="A126" t="str">
            <v>Р.Македонија - државна обврзница DO2023/08-0638</v>
          </cell>
        </row>
        <row r="127">
          <cell r="A127" t="str">
            <v>Р.Македонија - државна обврзница DO2023/09-0638dk</v>
          </cell>
        </row>
        <row r="128">
          <cell r="A128" t="str">
            <v>Р. Македонија - државна обврзница DO2020/08-1030</v>
          </cell>
        </row>
        <row r="129">
          <cell r="A129" t="str">
            <v>Р. Македонија - државна обврзница DO2020/09-1030dk</v>
          </cell>
        </row>
        <row r="130">
          <cell r="A130" t="str">
            <v>Р.Македонија - државна обврзница DO2023/03-225</v>
          </cell>
        </row>
        <row r="131">
          <cell r="A131" t="str">
            <v>Р. Македонија - државна обврзница DO2017/06-0232dk</v>
          </cell>
        </row>
        <row r="132">
          <cell r="A132" t="str">
            <v>Р. Македонија - државна обврзница DO2015/15-0430dk</v>
          </cell>
        </row>
        <row r="133">
          <cell r="A133" t="str">
            <v>Р. Македонија - државна обврзница DO2019/08-0524</v>
          </cell>
        </row>
        <row r="134">
          <cell r="A134" t="str">
            <v>Р. Македонија - државна обврзница DO2019/09-0534</v>
          </cell>
        </row>
        <row r="135">
          <cell r="A135" t="str">
            <v>Р.Македонија - државна обврзница DO2022/06-0637</v>
          </cell>
        </row>
        <row r="136">
          <cell r="A136" t="str">
            <v>Р.Македонија - државна обврзница DO2022/07-0637dk</v>
          </cell>
        </row>
        <row r="137">
          <cell r="A137" t="str">
            <v>Р. Македонија - државна обврзница DO2021/14-0936</v>
          </cell>
        </row>
        <row r="138">
          <cell r="A138" t="str">
            <v>Р. Македонија - државна обврзница DO2014/27-1024</v>
          </cell>
        </row>
        <row r="139">
          <cell r="A139" t="str">
            <v>Р. Македонија - државна обврзница DO2014/28-1024dk</v>
          </cell>
        </row>
        <row r="140">
          <cell r="A140" t="str">
            <v>Р.Македонија - државна обврзница DO2023/20-1138</v>
          </cell>
        </row>
        <row r="141">
          <cell r="A141" t="str">
            <v>Р. Македонија - државна обврзница DO2021/17-1224</v>
          </cell>
        </row>
        <row r="142">
          <cell r="A142" t="str">
            <v>Р. Македонија - државна обврзница DO2016/08-0331dk</v>
          </cell>
        </row>
        <row r="143">
          <cell r="A143" t="str">
            <v>Р. Македонија - државна обврзница DO2021/10-0636</v>
          </cell>
        </row>
        <row r="144">
          <cell r="A144" t="str">
            <v>Р. Македонија - државна обврзница DO2021/11-0636dk</v>
          </cell>
        </row>
        <row r="145">
          <cell r="A145" t="str">
            <v>Р. Македонија - државна обврзница DO2017/24-0832dk</v>
          </cell>
        </row>
        <row r="146">
          <cell r="A146" t="str">
            <v>Р. Македонија - државна обврзница DO2015/37-0930dk</v>
          </cell>
        </row>
        <row r="147">
          <cell r="A147" t="str">
            <v>Р. Македонија - државна обврзница DO2019/13-1024</v>
          </cell>
        </row>
        <row r="148">
          <cell r="A148" t="str">
            <v>Р.Македонија државна обврзница DO2022/15-1137</v>
          </cell>
        </row>
        <row r="149">
          <cell r="A149" t="str">
            <v>Р. Македонија - државна обврзница DO2015/45-1225dk</v>
          </cell>
        </row>
        <row r="150">
          <cell r="A150" t="str">
            <v>Р. Македонија - државна обврзница DO2021/03-0224</v>
          </cell>
        </row>
        <row r="151">
          <cell r="A151" t="str">
            <v>Р. Македонија - државна обврзница DO2019/06-0449dk</v>
          </cell>
        </row>
        <row r="152">
          <cell r="A152" t="str">
            <v>Р. Македонија - државна обврзница DO2020/06-0635</v>
          </cell>
        </row>
        <row r="153">
          <cell r="A153" t="str">
            <v>Р. Македонија - државна обврзница DO2019/10-0749dk</v>
          </cell>
          <cell r="B153">
            <v>101.6</v>
          </cell>
        </row>
        <row r="154">
          <cell r="A154" t="str">
            <v>Р. Македонија - државна обврзница DO2016/17-0826</v>
          </cell>
        </row>
        <row r="155">
          <cell r="A155" t="str">
            <v>Р. Македонија - државна обврзница DO2016/18-0826dk</v>
          </cell>
        </row>
        <row r="156">
          <cell r="A156" t="str">
            <v>Р. Македонија - државна обврзница DO2016/19-0831dk</v>
          </cell>
        </row>
        <row r="157">
          <cell r="A157" t="str">
            <v>Р. Македонија - државна обврзница DО2022/11-0837dk</v>
          </cell>
        </row>
        <row r="158">
          <cell r="A158" t="str">
            <v>Р. Македонија - државна обврзница DO2018/23-1048dk</v>
          </cell>
        </row>
        <row r="159">
          <cell r="A159" t="str">
            <v>Р. Македонија - државна обврзница DO2021/16-1136dk</v>
          </cell>
        </row>
        <row r="160">
          <cell r="A160" t="str">
            <v>Р. Македонија - државна обврзница DO2018/15-0748dk</v>
          </cell>
        </row>
        <row r="161">
          <cell r="A161" t="str">
            <v>Р. Македонија - државна обврзница DO2019/12-0934</v>
          </cell>
        </row>
        <row r="162">
          <cell r="A162" t="str">
            <v>Р. Македонија - државна обврзница DO2017/32-1032dk</v>
          </cell>
        </row>
        <row r="163">
          <cell r="A163" t="str">
            <v>Р. Македонија - државна обврзница DO2015/42-1125dk</v>
          </cell>
        </row>
        <row r="164">
          <cell r="A164" t="str">
            <v>Р. Македонија - државна обврзница DO2015/43-1130dk</v>
          </cell>
        </row>
        <row r="165">
          <cell r="A165" t="str">
            <v>Р. Македонија - државна обврзница DO2017/20-0732dk</v>
          </cell>
        </row>
        <row r="166">
          <cell r="A166" t="str">
            <v>Р. Македонија - државна обврзница DO2023/13-0738</v>
          </cell>
        </row>
        <row r="167">
          <cell r="A167" t="str">
            <v>Р. Македонија - државна обврзница DO2015/32-0825</v>
          </cell>
        </row>
        <row r="168">
          <cell r="A168" t="str">
            <v>Р. Македонија - државна обврзница DO2015/33-0830dk</v>
          </cell>
        </row>
        <row r="169">
          <cell r="A169" t="str">
            <v>Р. Македонија - државна обврзница DO2018/19-0933</v>
          </cell>
        </row>
        <row r="170">
          <cell r="A170" t="str">
            <v>Р. Македонија - државна обврзница DO2018/20-0933dk</v>
          </cell>
        </row>
        <row r="171">
          <cell r="A171" t="str">
            <v>Р. Македонија - државна обврзница DO2015/18-0525dk</v>
          </cell>
        </row>
        <row r="172">
          <cell r="A172" t="str">
            <v>Р. Македонија - државна обврзница DO2018/13-0633dk</v>
          </cell>
        </row>
        <row r="173">
          <cell r="A173" t="str">
            <v>Р. Македонија - државна обврзница DO2014/18-0824dk</v>
          </cell>
        </row>
        <row r="174">
          <cell r="A174" t="str">
            <v>Р. Македонија - државна обврзница DO2017/27-0932dk</v>
          </cell>
        </row>
        <row r="175">
          <cell r="A175" t="str">
            <v>Р.Македонија - државна обврзница DO2023/17-0938</v>
          </cell>
        </row>
        <row r="176">
          <cell r="A176" t="str">
            <v>Р. Македонија - државна обврзница DO2016/03-0131dk</v>
          </cell>
        </row>
        <row r="177">
          <cell r="A177" t="str">
            <v>Р. Македонија - државна обврзница DO2017/17-0632dk</v>
          </cell>
        </row>
        <row r="178">
          <cell r="A178" t="str">
            <v>Р. Македонија - државна обврзница DO2016/21-0931dk</v>
          </cell>
        </row>
        <row r="179">
          <cell r="A179" t="str">
            <v>Р. Македонија - државна обврзница DO2018/27-1133dk</v>
          </cell>
        </row>
        <row r="180">
          <cell r="A180" t="str">
            <v>Р. Македонија - државна обврзница DO2016/29-1231dk</v>
          </cell>
        </row>
        <row r="181">
          <cell r="A181" t="str">
            <v>Р. Македонија - државна обврзница DO2014/02-0124</v>
          </cell>
        </row>
        <row r="182">
          <cell r="A182" t="str">
            <v>Р. Македонија - државна обврзница DO2014/03-0124dk</v>
          </cell>
        </row>
        <row r="183">
          <cell r="A183" t="str">
            <v>Р. Македонија - државна обврзница DO2017/10-0332dk</v>
          </cell>
        </row>
        <row r="184">
          <cell r="A184" t="str">
            <v>Р. Македонија - државна обврзница DO2016/14-0631dk</v>
          </cell>
        </row>
        <row r="185">
          <cell r="A185" t="str">
            <v>Р. Македонија - државна обврзница DO2015/27-0725dk</v>
          </cell>
        </row>
        <row r="186">
          <cell r="A186" t="str">
            <v>Р. Македонија - државна обврзница DO2015/28-0730dk</v>
          </cell>
        </row>
        <row r="187">
          <cell r="A187" t="str">
            <v>Р. Македонија - државна обврзница DO2017/36-1132dk</v>
          </cell>
        </row>
        <row r="188">
          <cell r="A188" t="str">
            <v>Р. Македонија - државна обврзница DO2016/09-0326</v>
          </cell>
        </row>
        <row r="189">
          <cell r="A189" t="str">
            <v>Р. Македонија - државна обврзница DO2014/17-0724dk</v>
          </cell>
        </row>
        <row r="190">
          <cell r="A190" t="str">
            <v>Р. Македонија - државна обврзница DO2015/38-0925dk</v>
          </cell>
        </row>
        <row r="191">
          <cell r="A191" t="str">
            <v>Р. Македонија - државна обврзница DO2015/39-0930dk</v>
          </cell>
        </row>
        <row r="192">
          <cell r="A192" t="str">
            <v>Р. Македонија - државна обврзница DO2015/46-1225dk</v>
          </cell>
        </row>
        <row r="193">
          <cell r="A193" t="str">
            <v>Р. Македонија - државна обврзница DO2018/04-0133</v>
          </cell>
        </row>
        <row r="194">
          <cell r="A194" t="str">
            <v>Р. Македонија - државна обврзница DO2018/05-0133dk</v>
          </cell>
        </row>
        <row r="195">
          <cell r="A195" t="str">
            <v>Р. Македонија - државна обврзница DO2015/20-0625</v>
          </cell>
        </row>
        <row r="196">
          <cell r="A196" t="str">
            <v>Р. Македонија - државна обврзница DO2015/21-0625dk</v>
          </cell>
        </row>
        <row r="197">
          <cell r="A197" t="str">
            <v>Р. Македонија - државна обврзница DO2015/22-0630dk</v>
          </cell>
        </row>
        <row r="198">
          <cell r="A198" t="str">
            <v>Р. Македонија - државна обврзница DO2017/05-0132dk</v>
          </cell>
        </row>
        <row r="199">
          <cell r="A199" t="str">
            <v>Р. Македонија - државна обврзница DO2015/08-0230dk</v>
          </cell>
        </row>
        <row r="200">
          <cell r="A200" t="str">
            <v>Р. Македонија - државна обврзница DO2015/12-0325</v>
          </cell>
        </row>
        <row r="201">
          <cell r="A201" t="str">
            <v>Р. Македонија - државна обврзница DO2015/13-0330dk</v>
          </cell>
        </row>
        <row r="202">
          <cell r="A202" t="str">
            <v>Р. Македонија - државна обврзница DO2018/11-0448dk</v>
          </cell>
        </row>
        <row r="203">
          <cell r="A203" t="str">
            <v>Р.Македонија - државна обврзница DO2023/07-0538dk</v>
          </cell>
        </row>
        <row r="204">
          <cell r="A204" t="str">
            <v>Р. Македонија - државна обврзница DO2022/02-0125</v>
          </cell>
        </row>
        <row r="205">
          <cell r="A205" t="str">
            <v>Р. Македонија - државна обврзница DO2015/34-0825</v>
          </cell>
        </row>
        <row r="206">
          <cell r="A206" t="str">
            <v>Р. Македонија - државна обврзница DO2015/35-0825dk</v>
          </cell>
        </row>
        <row r="207">
          <cell r="A207" t="str">
            <v>Р. Македонија - државна обврзница DO2015/36-0830dk</v>
          </cell>
        </row>
        <row r="208">
          <cell r="A208" t="str">
            <v>Р. Македонија - државна обврзница DO2016/04-0131dk</v>
          </cell>
        </row>
        <row r="209">
          <cell r="A209" t="str">
            <v>Р. Македонија - државна обврзница DO2019/04-0234</v>
          </cell>
          <cell r="B209">
            <v>107.1</v>
          </cell>
        </row>
        <row r="210">
          <cell r="A210" t="str">
            <v>Р. Македонија - државна обврзница DO2016/16-0731dk</v>
          </cell>
        </row>
        <row r="211">
          <cell r="A211" t="str">
            <v>Р. Македонија - државна обврзница DO2015/03-0125</v>
          </cell>
        </row>
        <row r="212">
          <cell r="A212" t="str">
            <v>Р. Македонија - државна обврзница DO2015/04-0125dk</v>
          </cell>
        </row>
        <row r="213">
          <cell r="A213" t="str">
            <v>Р. Македонија - државна обврзница DO2017/18-0632dk</v>
          </cell>
        </row>
        <row r="214">
          <cell r="A214" t="str">
            <v>Р. Македонија - државна обврзница DO2023/10-0638dk</v>
          </cell>
        </row>
        <row r="215">
          <cell r="A215" t="str">
            <v>Р. Македонија - држaвна обврзница DO2021/12-0724</v>
          </cell>
        </row>
        <row r="216">
          <cell r="A216" t="str">
            <v>Р. Македонија - државна обврзница DO2016/22-0931dk</v>
          </cell>
        </row>
        <row r="217">
          <cell r="A217" t="str">
            <v>Р. Македонија - државна обврзница DO2015/41-1030dk</v>
          </cell>
        </row>
        <row r="218">
          <cell r="A218" t="str">
            <v>Р. Македонија - државна обврзница DO2020/10-1035</v>
          </cell>
        </row>
        <row r="219">
          <cell r="A219" t="str">
            <v>Р. Македонија - државна обврзница DO2022/17-1237</v>
          </cell>
        </row>
        <row r="220">
          <cell r="A220" t="str">
            <v>Р. Македонија - државна обврзница DO2022/18-1237dk</v>
          </cell>
        </row>
        <row r="221">
          <cell r="A221" t="str">
            <v>Р. Македонија - државна обврзница DO2020/01-0150dk</v>
          </cell>
        </row>
        <row r="222">
          <cell r="A222" t="str">
            <v>Р. Македонија - државна обврзница DO2017/11-0332dk</v>
          </cell>
        </row>
        <row r="223">
          <cell r="A223" t="str">
            <v>Р. Македонија - државна обврзница DO2023/05-0338</v>
          </cell>
        </row>
        <row r="224">
          <cell r="A224" t="str">
            <v>Р. Македонија - државна обврзница DO2023/06-0338dk</v>
          </cell>
        </row>
        <row r="225">
          <cell r="A225" t="str">
            <v>Р. Македонија - државна обврзница DO2020/04-0450dk</v>
          </cell>
          <cell r="B225">
            <v>100</v>
          </cell>
        </row>
        <row r="226">
          <cell r="A226" t="str">
            <v>Р. Македонија - државна обврзница DO2022/08-0637</v>
          </cell>
        </row>
        <row r="227">
          <cell r="A227" t="str">
            <v>Р. Македонија - државна обврзница DO2015/29-0730dk</v>
          </cell>
        </row>
        <row r="228">
          <cell r="A228" t="str">
            <v>Р. Македонија - државна обврзница DO2014/30-1024dk</v>
          </cell>
        </row>
        <row r="229">
          <cell r="A229" t="str">
            <v>Р. Македонија - државна обврзница DO2017/37-1132dk</v>
          </cell>
        </row>
        <row r="230">
          <cell r="A230" t="str">
            <v>Р. Македонија - државна обврзница DO2019/02-0149dk</v>
          </cell>
        </row>
        <row r="231">
          <cell r="A231" t="str">
            <v>Р. Македонија - државна обврзница DO2016/10-0331dk</v>
          </cell>
        </row>
        <row r="232">
          <cell r="A232" t="str">
            <v>Р. Македонија - државна обврзница DO2019/14-1049dk</v>
          </cell>
          <cell r="B232">
            <v>103.5</v>
          </cell>
        </row>
        <row r="233">
          <cell r="A233" t="str">
            <v>Р. Македонија - денационализација 13</v>
          </cell>
          <cell r="B233">
            <v>99</v>
          </cell>
        </row>
        <row r="234">
          <cell r="A234" t="str">
            <v>Р. Македонија - денационализација 14</v>
          </cell>
          <cell r="B234">
            <v>95</v>
          </cell>
        </row>
        <row r="235">
          <cell r="A235" t="str">
            <v>Р. Македонија - денационализација 15</v>
          </cell>
          <cell r="B235">
            <v>95</v>
          </cell>
        </row>
        <row r="236">
          <cell r="A236" t="str">
            <v>Р. Македонија - денационализација 16</v>
          </cell>
          <cell r="B236">
            <v>90</v>
          </cell>
        </row>
        <row r="237">
          <cell r="A237" t="str">
            <v>Р. Македонија - денационализација 17</v>
          </cell>
          <cell r="B237">
            <v>90</v>
          </cell>
        </row>
        <row r="238">
          <cell r="A238" t="str">
            <v>Р. Македонија - денационализација 18</v>
          </cell>
          <cell r="B238">
            <v>93</v>
          </cell>
        </row>
        <row r="239">
          <cell r="A239" t="str">
            <v>Р. Македонија - денационализација 19</v>
          </cell>
          <cell r="B239">
            <v>92</v>
          </cell>
        </row>
        <row r="240">
          <cell r="A240" t="str">
            <v>Р. Македонија - денационализација 20</v>
          </cell>
          <cell r="B240">
            <v>94</v>
          </cell>
        </row>
        <row r="241">
          <cell r="A241" t="str">
            <v>Р. Македонија - денационализација 21</v>
          </cell>
          <cell r="B241">
            <v>92</v>
          </cell>
        </row>
        <row r="242">
          <cell r="A242" t="str">
            <v>Р. Македонија - денационализација 22</v>
          </cell>
          <cell r="B242">
            <v>87</v>
          </cell>
        </row>
        <row r="243">
          <cell r="A243" t="str">
            <v>Р.Македонија - структурни обврзници општина Виница</v>
          </cell>
        </row>
        <row r="244">
          <cell r="A244" t="str">
            <v>Р.Македонија - структурни обврзници општина Желино</v>
          </cell>
          <cell r="B244">
            <v>97.1</v>
          </cell>
        </row>
        <row r="245">
          <cell r="A245" t="str">
            <v>Р.Македонија - структурни обврзници општина Тетово</v>
          </cell>
        </row>
        <row r="246">
          <cell r="A246" t="str">
            <v>СН Осигурителен Брокер АД Битола - корпоративна обврзница I емисија</v>
          </cell>
          <cell r="B246">
            <v>100</v>
          </cell>
        </row>
        <row r="247">
          <cell r="A247" t="str">
            <v>ТТК банка АД Скопје - корпоративна обврзница I емисија</v>
          </cell>
          <cell r="B247">
            <v>100</v>
          </cell>
        </row>
        <row r="248">
          <cell r="A248" t="str">
            <v>ТТК банка АД Скопје - корпоративна обврзница II емисија</v>
          </cell>
        </row>
        <row r="249">
          <cell r="A249" t="str">
            <v>Р.Македонија - државна обврзница DO2023/18-1025</v>
          </cell>
        </row>
        <row r="250">
          <cell r="A250" t="str">
            <v>Берзанска котација - други хартии од вредност</v>
          </cell>
        </row>
        <row r="251">
          <cell r="A251" t="str">
            <v>Универзална Инвестициона Банка Скопје - перпетуални обврзници</v>
          </cell>
          <cell r="B251">
            <v>100</v>
          </cell>
        </row>
        <row r="252">
          <cell r="A252" t="str">
            <v>Универзална Инвестициона Банка Скопје - перпетуални обврзници - втора емисија</v>
          </cell>
        </row>
        <row r="253">
          <cell r="A253" t="str">
            <v>Универзална Инвестициона Банка Скопје - перпетуални обврзници - трета емисија</v>
          </cell>
        </row>
        <row r="254">
          <cell r="A254" t="str">
            <v>Задолжителна котација - обични акции</v>
          </cell>
        </row>
        <row r="255">
          <cell r="A255" t="str">
            <v>Адинг Скопје</v>
          </cell>
          <cell r="B255">
            <v>1000</v>
          </cell>
        </row>
        <row r="256">
          <cell r="A256" t="str">
            <v>Агромеханика Скопје</v>
          </cell>
          <cell r="B256">
            <v>300</v>
          </cell>
        </row>
        <row r="257">
          <cell r="A257" t="str">
            <v>Ангропромет-Тиквешанка Кавадарци</v>
          </cell>
          <cell r="B257">
            <v>750</v>
          </cell>
        </row>
        <row r="258">
          <cell r="A258" t="str">
            <v>Аутомакедонија Скопје</v>
          </cell>
          <cell r="B258">
            <v>2950</v>
          </cell>
        </row>
        <row r="259">
          <cell r="A259" t="str">
            <v>Рудници Бањани Скопје</v>
          </cell>
          <cell r="B259">
            <v>603</v>
          </cell>
        </row>
        <row r="260">
          <cell r="A260" t="str">
            <v>Кристал 1923 АД Велес</v>
          </cell>
          <cell r="B260">
            <v>158</v>
          </cell>
        </row>
        <row r="261">
          <cell r="A261" t="str">
            <v>БИМ Свети Николе</v>
          </cell>
          <cell r="B261">
            <v>15550</v>
          </cell>
        </row>
        <row r="262">
          <cell r="A262" t="str">
            <v>ФЗЦ 11 Октомври Куманово</v>
          </cell>
          <cell r="B262">
            <v>400</v>
          </cell>
        </row>
        <row r="263">
          <cell r="A263" t="str">
            <v>Централна кооперативна банка Скопје</v>
          </cell>
          <cell r="B263">
            <v>350</v>
          </cell>
        </row>
        <row r="264">
          <cell r="A264" t="str">
            <v>Дебарски бањи Дебар</v>
          </cell>
          <cell r="B264">
            <v>1550</v>
          </cell>
        </row>
        <row r="265">
          <cell r="A265" t="str">
            <v>Димко Митрев Велес</v>
          </cell>
          <cell r="B265">
            <v>185</v>
          </cell>
        </row>
        <row r="266">
          <cell r="A266" t="str">
            <v>Единство Струмица</v>
          </cell>
          <cell r="B266">
            <v>80</v>
          </cell>
        </row>
        <row r="267">
          <cell r="A267" t="str">
            <v>Европа Скопје</v>
          </cell>
          <cell r="B267">
            <v>2987</v>
          </cell>
        </row>
        <row r="268">
          <cell r="A268" t="str">
            <v>Факом Скопје</v>
          </cell>
          <cell r="B268">
            <v>6984</v>
          </cell>
        </row>
        <row r="269">
          <cell r="A269" t="str">
            <v>Фустеларко Борец Битола</v>
          </cell>
          <cell r="B269">
            <v>2101</v>
          </cell>
        </row>
        <row r="270">
          <cell r="A270" t="str">
            <v>Герас Цунев конфекција Струмица</v>
          </cell>
          <cell r="B270">
            <v>500</v>
          </cell>
        </row>
        <row r="271">
          <cell r="A271" t="str">
            <v>Герас Цунев трговија Струмица</v>
          </cell>
          <cell r="B271">
            <v>500</v>
          </cell>
        </row>
        <row r="272">
          <cell r="A272" t="str">
            <v>Грозд Струмица</v>
          </cell>
          <cell r="B272">
            <v>2250</v>
          </cell>
        </row>
        <row r="273">
          <cell r="A273" t="str">
            <v>Градски Трговски Центар Скопје</v>
          </cell>
          <cell r="B273">
            <v>1790</v>
          </cell>
        </row>
        <row r="274">
          <cell r="A274" t="str">
            <v>Интерпромет Тетово</v>
          </cell>
          <cell r="B274">
            <v>4500</v>
          </cell>
        </row>
        <row r="275">
          <cell r="A275" t="str">
            <v>Македонија осигурување АД Скопје - Виена Иншуренс Груп</v>
          </cell>
          <cell r="B275">
            <v>1237</v>
          </cell>
        </row>
        <row r="276">
          <cell r="A276" t="str">
            <v>Кланица со ладилник Струмица</v>
          </cell>
        </row>
        <row r="277">
          <cell r="A277" t="str">
            <v>Фруктал МАК Скопје</v>
          </cell>
          <cell r="B277">
            <v>119</v>
          </cell>
        </row>
        <row r="278">
          <cell r="A278" t="str">
            <v>Карпош Скопје</v>
          </cell>
          <cell r="B278">
            <v>333</v>
          </cell>
        </row>
        <row r="279">
          <cell r="A279" t="str">
            <v>Лотарија на Македонија Скопје</v>
          </cell>
          <cell r="B279">
            <v>180</v>
          </cell>
        </row>
        <row r="280">
          <cell r="A280" t="str">
            <v>Пелистерка АД Скопје</v>
          </cell>
          <cell r="B280">
            <v>2619</v>
          </cell>
        </row>
        <row r="281">
          <cell r="A281" t="str">
            <v>Макпромет Штип</v>
          </cell>
          <cell r="B281">
            <v>600</v>
          </cell>
        </row>
        <row r="282">
          <cell r="A282" t="str">
            <v>Мермерен комбинат Прилеп</v>
          </cell>
          <cell r="B282">
            <v>2575</v>
          </cell>
        </row>
        <row r="283">
          <cell r="A283" t="str">
            <v>Мода Свети Николе</v>
          </cell>
          <cell r="B283">
            <v>99</v>
          </cell>
        </row>
        <row r="284">
          <cell r="A284" t="str">
            <v>Вабтек МЗТ Скопје</v>
          </cell>
          <cell r="B284">
            <v>3133</v>
          </cell>
        </row>
        <row r="285">
          <cell r="A285" t="str">
            <v>МЗТ Пумпи Скопје</v>
          </cell>
          <cell r="B285">
            <v>607</v>
          </cell>
        </row>
        <row r="286">
          <cell r="A286" t="str">
            <v>Огражден Струмица</v>
          </cell>
          <cell r="B286">
            <v>1900</v>
          </cell>
        </row>
        <row r="287">
          <cell r="A287" t="str">
            <v>Нова стоковна куќа Струмица</v>
          </cell>
          <cell r="B287">
            <v>61500</v>
          </cell>
        </row>
        <row r="288">
          <cell r="A288" t="str">
            <v>Оилко КДА Скопје</v>
          </cell>
          <cell r="B288">
            <v>6000</v>
          </cell>
        </row>
        <row r="289">
          <cell r="A289" t="str">
            <v>ОКТА Скопје</v>
          </cell>
          <cell r="B289">
            <v>4990</v>
          </cell>
        </row>
        <row r="290">
          <cell r="A290" t="str">
            <v>Оранжерии Хамзали Струмица</v>
          </cell>
          <cell r="B290">
            <v>308</v>
          </cell>
        </row>
        <row r="291">
          <cell r="A291" t="str">
            <v>Пекабеско Скопје</v>
          </cell>
          <cell r="B291">
            <v>16500</v>
          </cell>
        </row>
        <row r="292">
          <cell r="A292" t="str">
            <v>Попова Кула Демир Капија</v>
          </cell>
          <cell r="B292">
            <v>16</v>
          </cell>
        </row>
        <row r="293">
          <cell r="A293" t="str">
            <v>Прилепска Пиварница Прилеп</v>
          </cell>
          <cell r="B293">
            <v>30101</v>
          </cell>
        </row>
        <row r="294">
          <cell r="A294" t="str">
            <v>Раде Кончар Скопје</v>
          </cell>
        </row>
        <row r="295">
          <cell r="A295" t="str">
            <v>РЖ Економика Скопје</v>
          </cell>
          <cell r="B295">
            <v>50</v>
          </cell>
        </row>
        <row r="296">
          <cell r="A296" t="str">
            <v>Либерти АД Скопје</v>
          </cell>
        </row>
        <row r="297">
          <cell r="A297" t="str">
            <v>РЖ Техничка контрола Скопје</v>
          </cell>
        </row>
        <row r="298">
          <cell r="A298" t="str">
            <v>РЖ Уготур Скопје</v>
          </cell>
          <cell r="B298">
            <v>20</v>
          </cell>
        </row>
        <row r="299">
          <cell r="A299" t="str">
            <v>Современ дом Прилеп</v>
          </cell>
        </row>
        <row r="300">
          <cell r="A300" t="str">
            <v>Силекс Кратово</v>
          </cell>
          <cell r="B300">
            <v>70</v>
          </cell>
        </row>
        <row r="301">
          <cell r="A301" t="str">
            <v>Славеј Скопје</v>
          </cell>
          <cell r="B301">
            <v>3100</v>
          </cell>
        </row>
        <row r="302">
          <cell r="A302" t="str">
            <v>Струмичко поле с.Василево</v>
          </cell>
        </row>
        <row r="303">
          <cell r="A303" t="str">
            <v>Сигурносно стакло Прилеп</v>
          </cell>
          <cell r="B303">
            <v>360</v>
          </cell>
        </row>
        <row r="304">
          <cell r="A304" t="str">
            <v>Стопанска банка Скопје</v>
          </cell>
          <cell r="B304">
            <v>1317.78</v>
          </cell>
        </row>
        <row r="305">
          <cell r="A305" t="str">
            <v>Стокопромет Скопје</v>
          </cell>
        </row>
        <row r="306">
          <cell r="A306" t="str">
            <v>ТЕАЛ-Алумина Тетово</v>
          </cell>
          <cell r="B306">
            <v>730</v>
          </cell>
        </row>
        <row r="307">
          <cell r="A307" t="str">
            <v>Технокомерц Скопје</v>
          </cell>
          <cell r="B307">
            <v>1000</v>
          </cell>
        </row>
        <row r="308">
          <cell r="A308" t="str">
            <v>Македонски Телеком Скопје</v>
          </cell>
        </row>
        <row r="309">
          <cell r="A309" t="str">
            <v>ГД-Тиквеш Кавадарци</v>
          </cell>
        </row>
        <row r="310">
          <cell r="A310" t="str">
            <v>НЛБ Банка АД Скопје</v>
          </cell>
        </row>
        <row r="311">
          <cell r="A311" t="str">
            <v>Транскоп-Патнички сооб. Битола</v>
          </cell>
        </row>
        <row r="312">
          <cell r="A312" t="str">
            <v>Трготекстил малопродажба Скопје</v>
          </cell>
        </row>
        <row r="313">
          <cell r="A313" t="str">
            <v>Универзална Инвестициона Банка Скопје</v>
          </cell>
        </row>
        <row r="314">
          <cell r="A314" t="str">
            <v>Цементарница УСЈЕ Скопје</v>
          </cell>
        </row>
        <row r="315">
          <cell r="A315" t="str">
            <v>Триглав осигурување Скопје</v>
          </cell>
        </row>
        <row r="316">
          <cell r="A316" t="str">
            <v>Ветекс Велес</v>
          </cell>
        </row>
        <row r="317">
          <cell r="A317" t="str">
            <v>ЖАС Скопје</v>
          </cell>
        </row>
        <row r="318">
          <cell r="A318" t="str">
            <v>Жито Караорман Кичево</v>
          </cell>
        </row>
        <row r="319">
          <cell r="A319" t="str">
            <v>Жито Полог Тетово</v>
          </cell>
        </row>
        <row r="320">
          <cell r="A320" t="str">
            <v>Задолжителна котација - приоритетни акции</v>
          </cell>
        </row>
        <row r="321">
          <cell r="A321" t="str">
            <v>Стопанска банка Скопје</v>
          </cell>
        </row>
        <row r="322">
          <cell r="A322" t="str">
            <v>Редовен пазар</v>
          </cell>
        </row>
        <row r="323">
          <cell r="A323" t="str">
            <v>Пазар на акционерски друштва со посебни обврски за известување - обични акции</v>
          </cell>
        </row>
        <row r="324">
          <cell r="A324" t="str">
            <v>Шпаркасе банка Македонија АД Скопје</v>
          </cell>
        </row>
        <row r="325">
          <cell r="A325" t="str">
            <v>Слободен пазар - обични акции</v>
          </cell>
        </row>
        <row r="326">
          <cell r="A326" t="str">
            <v>Просветно дело Скопје</v>
          </cell>
        </row>
        <row r="327">
          <cell r="A327" t="str">
            <v>РЖ Скопје-Инженеринг Скопје</v>
          </cell>
        </row>
        <row r="328">
          <cell r="A328" t="str">
            <v>АрцелорМиттал (ХРМ) АД Скопје - долгорочно суспендирано од котација</v>
          </cell>
        </row>
        <row r="329">
          <cell r="A329" t="str">
            <v>Пивара Скопје АД Скопје</v>
          </cell>
        </row>
        <row r="330">
          <cell r="A330" t="str">
            <v>Солун 2001 Гевгелија</v>
          </cell>
        </row>
        <row r="331">
          <cell r="A331" t="str">
            <v>Вкупен промет на сите пазарни сегменти: 16.338.023,00</v>
          </cell>
        </row>
        <row r="332">
          <cell r="A332" t="str">
            <v>МБИ10</v>
          </cell>
        </row>
        <row r="333">
          <cell r="A333" t="str">
            <v>ОМБ</v>
          </cell>
        </row>
        <row r="334">
          <cell r="A334" t="str">
            <v>1 EUR = 61,4928 МКД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МАКЕДОНСКА БЕРЗА НА ХАРТИИ ОД ВРЕДНОСТ</v>
          </cell>
        </row>
        <row r="2">
          <cell r="A2" t="str">
            <v>Дневна официјална листа број 189 од 09.10.2023</v>
          </cell>
        </row>
        <row r="3">
          <cell r="A3" t="str">
            <v>Хартија од вредност</v>
          </cell>
        </row>
        <row r="4">
          <cell r="A4" t="str">
            <v>Официјален пазар</v>
          </cell>
        </row>
        <row r="5">
          <cell r="A5" t="str">
            <v>Супер котација - обични акции</v>
          </cell>
        </row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Фершпед Скопје</v>
          </cell>
        </row>
        <row r="10">
          <cell r="A10" t="str">
            <v>Гранит Скопје</v>
          </cell>
        </row>
        <row r="11">
          <cell r="A11" t="str">
            <v>Интернешнел Хотелс АД Скопје</v>
          </cell>
        </row>
        <row r="12">
          <cell r="A12" t="str">
            <v>ДС Смитх АД Скопје</v>
          </cell>
        </row>
        <row r="13">
          <cell r="A13" t="str">
            <v>Макотекс Скопје</v>
          </cell>
        </row>
        <row r="14">
          <cell r="A14" t="str">
            <v>Макошпед Скопје</v>
          </cell>
        </row>
        <row r="15">
          <cell r="A15" t="str">
            <v>Хотели Метропол Охрид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 Македонија - државна обврзница DO2023/12-0725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Р.Македонија државна обврзница DO2022/16-1237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DO2017/35-1132dk</v>
          </cell>
        </row>
        <row r="46">
          <cell r="A46" t="str">
            <v>Р. Македонија - државна обврзница DO2022/03-0337</v>
          </cell>
        </row>
        <row r="47">
          <cell r="A47" t="str">
            <v>Р. Македонија - државна обврзница DO2023/04-0338</v>
          </cell>
        </row>
        <row r="48">
          <cell r="A48" t="str">
            <v>Р. Македонија - државна обврзница DO2014/16-0724dk</v>
          </cell>
        </row>
        <row r="49">
          <cell r="A49" t="str">
            <v>Р. Македонија - државна обврзница DO2016/26-1131dk</v>
          </cell>
        </row>
        <row r="50">
          <cell r="A50" t="str">
            <v>Р. Македонија - државна обврзница DO2020/14-1223</v>
          </cell>
        </row>
        <row r="51">
          <cell r="A51" t="str">
            <v>Р. Македонија - државна обврзница DO2015/44-1230dk</v>
          </cell>
        </row>
        <row r="52">
          <cell r="A52" t="str">
            <v>Р. Македонија - државна обврзница DO2020/15-1235dk</v>
          </cell>
        </row>
        <row r="53">
          <cell r="A53" t="str">
            <v>Р. Македонија - државна обврзница DO2021/04-0336</v>
          </cell>
        </row>
        <row r="54">
          <cell r="A54" t="str">
            <v>Р. Македонија - државна обврзница DO2017/14-0532dk</v>
          </cell>
        </row>
        <row r="55">
          <cell r="A55" t="str">
            <v>Р. Македонија - државна обврзница DO2015/19-0630dk</v>
          </cell>
        </row>
        <row r="56">
          <cell r="A56" t="str">
            <v>Р.Македонија - државна обврзница DO2022/09-0837</v>
          </cell>
        </row>
        <row r="57">
          <cell r="A57" t="str">
            <v>Р.Македонија - државна обврзница DO2022/10-0837dk</v>
          </cell>
        </row>
        <row r="58">
          <cell r="A58" t="str">
            <v>Р. Македонија - државна обврзница DO2023/14-0838</v>
          </cell>
        </row>
        <row r="59">
          <cell r="A59" t="str">
            <v>Р. Македонија - државна обврзница DO2014/19-0924dk</v>
          </cell>
        </row>
        <row r="60">
          <cell r="A60" t="str">
            <v>Р. Македонија - државна обврзница DO2014/38-1224</v>
          </cell>
        </row>
        <row r="61">
          <cell r="A61" t="str">
            <v>Р. Македонија - државна обврзница DO2020/03-0325</v>
          </cell>
        </row>
        <row r="62">
          <cell r="A62" t="str">
            <v>Р. Македонија - државна обврзница DO2014/13-0624dk</v>
          </cell>
        </row>
        <row r="63">
          <cell r="A63" t="str">
            <v>Р. Македонија - државна обврзница ДО2021/13-0836</v>
          </cell>
        </row>
        <row r="64">
          <cell r="A64" t="str">
            <v>Р. Македонија - државна обврзница DO2017/30-1032dk</v>
          </cell>
        </row>
        <row r="65">
          <cell r="A65" t="str">
            <v>Р. Македонија - државна обврзница DO2020/12-1125</v>
          </cell>
        </row>
        <row r="66">
          <cell r="A66" t="str">
            <v>Р. Македонија - државна обврзница DO2019/16-1234dk</v>
          </cell>
        </row>
        <row r="67">
          <cell r="A67" t="str">
            <v>Р. Македонија - државна обврзница DO2017/12-0432dk</v>
          </cell>
        </row>
        <row r="68">
          <cell r="A68" t="str">
            <v>Р. Македонија - државна обврзница DO2017/19-0732dk</v>
          </cell>
        </row>
        <row r="69">
          <cell r="A69" t="str">
            <v>Р. Македонија - државна обврзница DO2015/30-0825dk</v>
          </cell>
        </row>
        <row r="70">
          <cell r="A70" t="str">
            <v>Р. Македонија - државна обврзница DO2015/31-0830dk</v>
          </cell>
        </row>
        <row r="71">
          <cell r="A71" t="str">
            <v>Р. Македонија - државна обврзница DO2020/07-0850dk</v>
          </cell>
        </row>
        <row r="72">
          <cell r="A72" t="str">
            <v>Р. Македонија - државна обврзница DO2019/05-0324</v>
          </cell>
        </row>
        <row r="73">
          <cell r="A73" t="str">
            <v>Р. Македонија - државна обврзница DO2016/11-0426dk</v>
          </cell>
        </row>
        <row r="74">
          <cell r="A74" t="str">
            <v>Р. Македонија - државна обврзница DO2015/17-0530dk</v>
          </cell>
        </row>
        <row r="75">
          <cell r="A75" t="str">
            <v>Р. Македонија - државна обврзница DO2018/12-0633</v>
          </cell>
        </row>
        <row r="76">
          <cell r="A76" t="str">
            <v>Р. Македонија - државна обврзница DO2017/26-0932dk</v>
          </cell>
        </row>
        <row r="77">
          <cell r="A77" t="str">
            <v>Р.Македонија - државна обврзница DO2023/15-0938</v>
          </cell>
        </row>
        <row r="78">
          <cell r="A78" t="str">
            <v>Р.Македонија - државна обврзница DO2023/16-0938dk</v>
          </cell>
        </row>
        <row r="79">
          <cell r="A79" t="str">
            <v>Р. Македонија - државна обврзница DO2019/15-1134</v>
          </cell>
        </row>
        <row r="80">
          <cell r="A80" t="str">
            <v>Р. Македонија - државна обврзница DO2017/38-1232dk</v>
          </cell>
        </row>
        <row r="81">
          <cell r="A81" t="str">
            <v>Р. Македонија - државна обврзница DO2018/10-0333dk</v>
          </cell>
        </row>
        <row r="82">
          <cell r="A82" t="str">
            <v>Р. Македонија - државна обврзница DO2017/16-0632dk</v>
          </cell>
        </row>
        <row r="83">
          <cell r="A83" t="str">
            <v>Р. Македонија - државна обврзница DO2016/15-0731dk</v>
          </cell>
        </row>
        <row r="84">
          <cell r="A84" t="str">
            <v>Р. Македонија - државна обврзница DO2019/11-0834dk</v>
          </cell>
        </row>
        <row r="85">
          <cell r="A85" t="str">
            <v>Р. Македонија - државна обврзница DO2015/40-1030dk</v>
          </cell>
        </row>
        <row r="86">
          <cell r="A86" t="str">
            <v>Р. Македонија - државна обврзница DO2023/02-0238</v>
          </cell>
        </row>
        <row r="87">
          <cell r="A87" t="str">
            <v>Р. Македонија - државна обврзница DO2017/08-0332dk</v>
          </cell>
        </row>
        <row r="88">
          <cell r="A88" t="str">
            <v>Р. Македонија - државна обврзница DO2016/13-0631dk</v>
          </cell>
        </row>
        <row r="89">
          <cell r="A89" t="str">
            <v>Р. Македонија - државна обврзница DO2015/23-0725</v>
          </cell>
        </row>
        <row r="90">
          <cell r="A90" t="str">
            <v>Р. Македонија - државна обврзница DO2015/24-0725dk</v>
          </cell>
        </row>
        <row r="91">
          <cell r="A91" t="str">
            <v>Р. Македонија - државна обврзница DO2015/25-0730dk</v>
          </cell>
        </row>
        <row r="92">
          <cell r="A92" t="str">
            <v>Р. Македонија - државна обврзница DO2018/17-0833dk</v>
          </cell>
        </row>
        <row r="93">
          <cell r="A93" t="str">
            <v>Р.Македонија државна обврзница DO2022/13-0937</v>
          </cell>
        </row>
        <row r="94">
          <cell r="A94" t="str">
            <v>Р.Македонија државна обврзница DO2022/12-0937dk</v>
          </cell>
        </row>
        <row r="95">
          <cell r="A95" t="str">
            <v>Р. Македонија - државна обврзница DO2017/22-0832dk</v>
          </cell>
        </row>
        <row r="96">
          <cell r="A96" t="str">
            <v>Р. Македонија - државна обврзница DO2018/02-0128</v>
          </cell>
        </row>
        <row r="97">
          <cell r="A97" t="str">
            <v>Р. Македонија - државна обврзница DO2018/03-0133dk</v>
          </cell>
        </row>
        <row r="98">
          <cell r="A98" t="str">
            <v>Р. Македонија - државна обврзница DO2016/05-0226</v>
          </cell>
        </row>
        <row r="99">
          <cell r="A99" t="str">
            <v>Р. Македонија - државна обврзница DO2016/06-0226dk</v>
          </cell>
        </row>
        <row r="100">
          <cell r="A100" t="str">
            <v>Р. Македонија - државна обврзница DO2016/07-0231dk</v>
          </cell>
        </row>
        <row r="101">
          <cell r="A101" t="str">
            <v>Р. Македонија - државна обврзница DO2023/06-0538</v>
          </cell>
        </row>
        <row r="102">
          <cell r="A102" t="str">
            <v>Р. Македонија - државна обврзница DO2017/02-0132dk</v>
          </cell>
        </row>
        <row r="103">
          <cell r="A103" t="str">
            <v>Р. Македонија - државна обврзница DO2023/01-0138</v>
          </cell>
        </row>
        <row r="104">
          <cell r="A104" t="str">
            <v>Р. Македонија - државна обврзница DO2015/05-0230dk</v>
          </cell>
        </row>
        <row r="105">
          <cell r="A105" t="str">
            <v>Р. Македонија - државна обврзница DO2015/09-0325</v>
          </cell>
        </row>
        <row r="106">
          <cell r="A106" t="str">
            <v>Р. Македонија - државна обврзница DO2015/10-0330dk</v>
          </cell>
        </row>
        <row r="107">
          <cell r="A107" t="str">
            <v>Р. Македонија - државна обврзница DO2022/05-0537</v>
          </cell>
        </row>
        <row r="108">
          <cell r="A108" t="str">
            <v>Р. Македонија - државна обврзница DO2022/01-0137</v>
          </cell>
        </row>
        <row r="109">
          <cell r="A109" t="str">
            <v>Р. Македонија - државна обврзница DO2020/02-0235</v>
          </cell>
        </row>
        <row r="110">
          <cell r="A110" t="str">
            <v>Р. Македонија - државна обврзница DO2023/11-0738</v>
          </cell>
        </row>
        <row r="111">
          <cell r="A111" t="str">
            <v>Р. Македонија - државна обврзница DO2022/14-1037</v>
          </cell>
        </row>
        <row r="112">
          <cell r="A112" t="str">
            <v>Р. Македонија - државна обврзница DO2016/01-0126dk</v>
          </cell>
        </row>
        <row r="113">
          <cell r="A113" t="str">
            <v>Р. Македонија - државна обврзница DO2016/02-0131dk</v>
          </cell>
        </row>
        <row r="114">
          <cell r="A114" t="str">
            <v>Р. Македонија - државна обврзница DO2021/01-0136</v>
          </cell>
        </row>
        <row r="115">
          <cell r="A115" t="str">
            <v>Р. Македонија - државна обврзница DO2019/03-0224dk</v>
          </cell>
        </row>
        <row r="116">
          <cell r="A116" t="str">
            <v>Р. Македонија - државна обврзница DO2016/12-0431dk</v>
          </cell>
        </row>
        <row r="117">
          <cell r="A117" t="str">
            <v>Р. Македонија - државна обврзница DO2022/04-0437dk</v>
          </cell>
        </row>
        <row r="118">
          <cell r="A118" t="str">
            <v>Р. Македонија - државна обврзница DO2021/09-0526</v>
          </cell>
        </row>
        <row r="119">
          <cell r="A119" t="str">
            <v>Р. Македонија - државна обврзница DO2016/23-1031dk</v>
          </cell>
        </row>
        <row r="120">
          <cell r="A120" t="str">
            <v>Р. Македонија - државна обврзница DO2021/15-1036</v>
          </cell>
        </row>
        <row r="121">
          <cell r="A121" t="str">
            <v>Р. Македонија - државна обврзница DO2018/08-0233dk</v>
          </cell>
        </row>
        <row r="122">
          <cell r="A122" t="str">
            <v>Р. Македонија - државна обврзница DO2021/07-0436</v>
          </cell>
        </row>
        <row r="123">
          <cell r="A123" t="str">
            <v>Р. Македонија - државна обврзница DO2021/08-0436dk</v>
          </cell>
        </row>
        <row r="124">
          <cell r="A124" t="str">
            <v>Р.Македонија - државна обврзница DO2023/08-0638</v>
          </cell>
        </row>
        <row r="125">
          <cell r="A125" t="str">
            <v>Р.Македонија - државна обврзница DO2023/09-0638dk</v>
          </cell>
        </row>
        <row r="126">
          <cell r="A126" t="str">
            <v>Р. Македонија - државна обврзница DO2020/08-1030</v>
          </cell>
        </row>
        <row r="127">
          <cell r="A127" t="str">
            <v>Р. Македонија - државна обврзница DO2020/09-1030dk</v>
          </cell>
        </row>
        <row r="128">
          <cell r="A128" t="str">
            <v>Р.Македонија - државна обврзница DO2023/03-225</v>
          </cell>
        </row>
        <row r="129">
          <cell r="A129" t="str">
            <v>Р. Македонија - државна обврзница DO2017/06-0232dk</v>
          </cell>
        </row>
        <row r="130">
          <cell r="A130" t="str">
            <v>Р. Македонија - државна обврзница DO2015/15-0430dk</v>
          </cell>
        </row>
        <row r="131">
          <cell r="A131" t="str">
            <v>Р. Македонија - државна обврзница DO2019/08-0524</v>
          </cell>
        </row>
        <row r="132">
          <cell r="A132" t="str">
            <v>Р. Македонија - државна обврзница DO2019/09-0534</v>
          </cell>
        </row>
        <row r="133">
          <cell r="A133" t="str">
            <v>Р.Македонија - државна обврзница DO2022/06-0637</v>
          </cell>
        </row>
        <row r="134">
          <cell r="A134" t="str">
            <v>Р.Македонија - државна обврзница DO2022/07-0637dk</v>
          </cell>
        </row>
        <row r="135">
          <cell r="A135" t="str">
            <v>Р. Македонија - државна обврзница DO2021/14-0936</v>
          </cell>
        </row>
        <row r="136">
          <cell r="A136" t="str">
            <v>Р. Македонија - државна обврзница DO2014/27-1024</v>
          </cell>
        </row>
        <row r="137">
          <cell r="A137" t="str">
            <v>Р. Македонија - државна обврзница DO2014/28-1024dk</v>
          </cell>
        </row>
        <row r="138">
          <cell r="A138" t="str">
            <v>Р. Македонија - државна обврзница DO2021/17-1224</v>
          </cell>
        </row>
        <row r="139">
          <cell r="A139" t="str">
            <v>Р. Македонија - државна обврзница DO2016/08-0331dk</v>
          </cell>
        </row>
        <row r="140">
          <cell r="A140" t="str">
            <v>Р. Македонија - државна обврзница DO2021/10-0636</v>
          </cell>
        </row>
        <row r="141">
          <cell r="A141" t="str">
            <v>Р. Македонија - државна обврзница DO2021/11-0636dk</v>
          </cell>
        </row>
        <row r="142">
          <cell r="A142" t="str">
            <v>Р. Македонија - државна обврзница DO2017/24-0832dk</v>
          </cell>
        </row>
        <row r="143">
          <cell r="A143" t="str">
            <v>Р. Македонија - државна обврзница DO2015/37-0930dk</v>
          </cell>
        </row>
        <row r="144">
          <cell r="A144" t="str">
            <v>Р. Македонија - државна обврзница DO2019/13-1024</v>
          </cell>
        </row>
        <row r="145">
          <cell r="A145" t="str">
            <v>Р.Македонија државна обврзница DO2022/15-1137</v>
          </cell>
        </row>
        <row r="146">
          <cell r="A146" t="str">
            <v>Р. Македонија - државна обврзница DO2015/45-1225dk</v>
          </cell>
        </row>
        <row r="147">
          <cell r="A147" t="str">
            <v>Р. Македонија - државна обврзница DO2021/03-0224</v>
          </cell>
        </row>
        <row r="148">
          <cell r="A148" t="str">
            <v>Р. Македонија - државна обврзница DO2019/06-0449dk</v>
          </cell>
        </row>
        <row r="149">
          <cell r="A149" t="str">
            <v>Р. Македонија - државна обврзница DO2020/06-0635</v>
          </cell>
        </row>
        <row r="150">
          <cell r="A150" t="str">
            <v>Р. Македонија - државна обврзница DO2019/10-0749dk</v>
          </cell>
        </row>
        <row r="151">
          <cell r="A151" t="str">
            <v>Р. Македонија - државна обврзница DO2016/17-0826</v>
          </cell>
        </row>
        <row r="152">
          <cell r="A152" t="str">
            <v>Р. Македонија - државна обврзница DO2016/18-0826dk</v>
          </cell>
        </row>
        <row r="153">
          <cell r="A153" t="str">
            <v>Р. Македонија - државна обврзница DO2016/19-0831dk</v>
          </cell>
        </row>
        <row r="154">
          <cell r="A154" t="str">
            <v>Р. Македонија - државна обврзница DО2022/11-0837dk</v>
          </cell>
        </row>
        <row r="155">
          <cell r="A155" t="str">
            <v>Р. Македонија - државна обврзница DO2018/23-1048dk</v>
          </cell>
        </row>
        <row r="156">
          <cell r="A156" t="str">
            <v>Р. Македонија - државна обврзница DO2021/16-1136dk</v>
          </cell>
        </row>
        <row r="157">
          <cell r="A157" t="str">
            <v>Р. Македонија - државна обврзница DO2018/15-0748dk</v>
          </cell>
        </row>
        <row r="158">
          <cell r="A158" t="str">
            <v>Р. Македонија - државна обврзница DO2019/12-0934</v>
          </cell>
        </row>
        <row r="159">
          <cell r="A159" t="str">
            <v>Р. Македонија - државна обврзница DO2017/32-1032dk</v>
          </cell>
        </row>
        <row r="160">
          <cell r="A160" t="str">
            <v>Р. Македонија - државна обврзница DO2020/13-1123dk</v>
          </cell>
        </row>
        <row r="161">
          <cell r="A161" t="str">
            <v>Р. Македонија - државна обврзница DO2015/42-1125dk</v>
          </cell>
        </row>
        <row r="162">
          <cell r="A162" t="str">
            <v>Р. Македонија - државна обврзница DO2015/43-1130dk</v>
          </cell>
        </row>
        <row r="163">
          <cell r="A163" t="str">
            <v>Р. Македонија - државна обврзница DO2017/20-0732dk</v>
          </cell>
        </row>
        <row r="164">
          <cell r="A164" t="str">
            <v>Р. Македонија - државна обврзница DO2023/13-0738</v>
          </cell>
        </row>
        <row r="165">
          <cell r="A165" t="str">
            <v>Р. Македонија - државна обврзница DO2015/32-0825</v>
          </cell>
        </row>
        <row r="166">
          <cell r="A166" t="str">
            <v>Р. Македонија - државна обврзница DO2015/33-0830dk</v>
          </cell>
        </row>
        <row r="167">
          <cell r="A167" t="str">
            <v>Р. Македонија - државна обврзница DO2018/19-0933</v>
          </cell>
        </row>
        <row r="168">
          <cell r="A168" t="str">
            <v>Р. Македонија - државна обврзница DO2018/20-0933dk</v>
          </cell>
        </row>
        <row r="169">
          <cell r="A169" t="str">
            <v>Р. Македонија - државна обврзница DO2015/18-0525dk</v>
          </cell>
        </row>
        <row r="170">
          <cell r="A170" t="str">
            <v>Р. Македонија - државна обврзница DO2018/13-0633dk</v>
          </cell>
        </row>
        <row r="171">
          <cell r="A171" t="str">
            <v>Р. Македонија - државна обврзница DO2014/18-0824dk</v>
          </cell>
        </row>
        <row r="172">
          <cell r="A172" t="str">
            <v>Р. Македонија - државна обврзница DO2017/27-0932dk</v>
          </cell>
        </row>
        <row r="173">
          <cell r="A173" t="str">
            <v>Р.Македонија - државна обврзница DO2023/17-0938</v>
          </cell>
        </row>
        <row r="174">
          <cell r="A174" t="str">
            <v>Р. Македонија - државна обврзница DO2016/03-0131dk</v>
          </cell>
        </row>
        <row r="175">
          <cell r="A175" t="str">
            <v>Р. Македонија - државна обврзница DO2017/17-0632dk</v>
          </cell>
        </row>
        <row r="176">
          <cell r="A176" t="str">
            <v>Р. Македонија - државна обврзница DO2016/21-0931dk</v>
          </cell>
        </row>
        <row r="177">
          <cell r="A177" t="str">
            <v>Р. Македонија - државна обврзница DO2018/27-1133dk</v>
          </cell>
        </row>
        <row r="178">
          <cell r="A178" t="str">
            <v>Р. Македонија - државна обврзница DO2016/29-1231dk</v>
          </cell>
        </row>
        <row r="179">
          <cell r="A179" t="str">
            <v>Р. Македонија - државна обврзница DO2014/02-0124</v>
          </cell>
        </row>
        <row r="180">
          <cell r="A180" t="str">
            <v>Р. Македонија - државна обврзница DO2014/03-0124dk</v>
          </cell>
        </row>
        <row r="181">
          <cell r="A181" t="str">
            <v>Р. Македонија - државна обврзница DO2017/10-0332dk</v>
          </cell>
        </row>
        <row r="182">
          <cell r="A182" t="str">
            <v>Р. Македонија - државна обврзница DO2016/14-0631dk</v>
          </cell>
        </row>
        <row r="183">
          <cell r="A183" t="str">
            <v>Р. Македонија - државна обврзница DO2015/27-0725dk</v>
          </cell>
        </row>
        <row r="184">
          <cell r="A184" t="str">
            <v>Р. Македонија - државна обврзница DO2015/28-0730dk</v>
          </cell>
        </row>
        <row r="185">
          <cell r="A185" t="str">
            <v>Р. Македонија - државна обврзница DO2017/36-1132dk</v>
          </cell>
        </row>
        <row r="186">
          <cell r="A186" t="str">
            <v>Р. Македонија - државна обврзница DO2016/09-0326</v>
          </cell>
        </row>
        <row r="187">
          <cell r="A187" t="str">
            <v>Р. Македонија - државна обврзница DO2014/17-0724dk</v>
          </cell>
        </row>
        <row r="188">
          <cell r="A188" t="str">
            <v>Р. Македонија - државна обврзница DO2015/38-0925dk</v>
          </cell>
        </row>
        <row r="189">
          <cell r="A189" t="str">
            <v>Р. Македонија - државна обврзница DO2015/39-0930dk</v>
          </cell>
        </row>
        <row r="190">
          <cell r="A190" t="str">
            <v>Р. Македонија - државна обврзница DO2015/46-1225dk</v>
          </cell>
        </row>
        <row r="191">
          <cell r="A191" t="str">
            <v>Р. Македонија - државна обврзница DO2018/04-0133</v>
          </cell>
        </row>
        <row r="192">
          <cell r="A192" t="str">
            <v>Р. Македонија - државна обврзница DO2018/05-0133dk</v>
          </cell>
        </row>
        <row r="193">
          <cell r="A193" t="str">
            <v>Р. Македонија - државна обврзница DO2015/20-0625</v>
          </cell>
        </row>
        <row r="194">
          <cell r="A194" t="str">
            <v>Р. Македонија - државна обврзница DO2015/21-0625dk</v>
          </cell>
        </row>
        <row r="195">
          <cell r="A195" t="str">
            <v>Р. Македонија - државна обврзница DO2015/22-0630dk</v>
          </cell>
        </row>
        <row r="196">
          <cell r="A196" t="str">
            <v>Р. Македонија - државна обврзница DO2017/05-0132dk</v>
          </cell>
        </row>
        <row r="197">
          <cell r="A197" t="str">
            <v>Р. Македонија - државна обврзница DO2015/08-0230dk</v>
          </cell>
        </row>
        <row r="198">
          <cell r="A198" t="str">
            <v>Р. Македонија - државна обврзница DO2015/12-0325</v>
          </cell>
        </row>
        <row r="199">
          <cell r="A199" t="str">
            <v>Р. Македонија - државна обврзница DO2015/13-0330dk</v>
          </cell>
        </row>
        <row r="200">
          <cell r="A200" t="str">
            <v>Р. Македонија - државна обврзница DO2018/11-0448dk</v>
          </cell>
        </row>
        <row r="201">
          <cell r="A201" t="str">
            <v>Р.Македонија - државна обврзница DO2023/07-0538dk</v>
          </cell>
        </row>
        <row r="202">
          <cell r="A202" t="str">
            <v>Р. Македонија - државна обврзница DO2022/02-0125</v>
          </cell>
        </row>
        <row r="203">
          <cell r="A203" t="str">
            <v>Р. Македонија - државна обврзница DO2015/34-0825</v>
          </cell>
        </row>
        <row r="204">
          <cell r="A204" t="str">
            <v>Р. Македонија - државна обврзница DO2015/35-0825dk</v>
          </cell>
        </row>
        <row r="205">
          <cell r="A205" t="str">
            <v>Р. Македонија - државна обврзница DO2015/36-0830dk</v>
          </cell>
        </row>
        <row r="206">
          <cell r="A206" t="str">
            <v>Р. Македонија - државна обврзница DO2016/04-0131dk</v>
          </cell>
        </row>
        <row r="207">
          <cell r="A207" t="str">
            <v>Р. Македонија - државна обврзница DO2019/04-0234</v>
          </cell>
        </row>
        <row r="208">
          <cell r="A208" t="str">
            <v>Р. Македонија - државна обврзница DO2016/16-0731dk</v>
          </cell>
        </row>
        <row r="209">
          <cell r="A209" t="str">
            <v>Р. Македонија - државна обврзница DO2015/03-0125</v>
          </cell>
        </row>
        <row r="210">
          <cell r="A210" t="str">
            <v>Р. Македонија - државна обврзница DO2015/04-0125dk</v>
          </cell>
        </row>
        <row r="211">
          <cell r="A211" t="str">
            <v>Р. Македонија - државна обврзница DO2017/18-0632dk</v>
          </cell>
        </row>
        <row r="212">
          <cell r="A212" t="str">
            <v>Р. Македонија - државна обврзница DO2023/10-0638dk</v>
          </cell>
        </row>
        <row r="213">
          <cell r="A213" t="str">
            <v>Р. Македонија - држaвна обврзница DO2021/12-0724</v>
          </cell>
        </row>
        <row r="214">
          <cell r="A214" t="str">
            <v>Р. Македонија - државна обврзница DO2016/22-0931dk</v>
          </cell>
        </row>
        <row r="215">
          <cell r="A215" t="str">
            <v>Р. Македонија - државна обврзница DO2015/41-1030dk</v>
          </cell>
        </row>
        <row r="216">
          <cell r="A216" t="str">
            <v>Р. Македонија - државна обврзница DO2020/10-1035</v>
          </cell>
        </row>
        <row r="217">
          <cell r="A217" t="str">
            <v>Р. Македонија - државна обврзница DO2022/17-1237</v>
          </cell>
        </row>
        <row r="218">
          <cell r="A218" t="str">
            <v>Р. Македонија - државна обврзница DO2022/18-1237dk</v>
          </cell>
        </row>
        <row r="219">
          <cell r="A219" t="str">
            <v>Р. Македонија - државна обврзница DO2020/01-0150dk</v>
          </cell>
        </row>
        <row r="220">
          <cell r="A220" t="str">
            <v>Р. Македонија - државна обврзница DO2017/11-0332dk</v>
          </cell>
        </row>
        <row r="221">
          <cell r="A221" t="str">
            <v>Р. Македонија - државна обврзница DO2023/05-0338</v>
          </cell>
        </row>
        <row r="222">
          <cell r="A222" t="str">
            <v>Р. Македонија - државна обврзница DO2023/06-0338dk</v>
          </cell>
        </row>
        <row r="223">
          <cell r="A223" t="str">
            <v>Р. Македонија - државна обврзница DO2020/04-0450dk</v>
          </cell>
        </row>
        <row r="224">
          <cell r="A224" t="str">
            <v>Р. Македонија - државна обврзница DO2022/08-0637</v>
          </cell>
        </row>
        <row r="225">
          <cell r="A225" t="str">
            <v>Р. Македонија - државна обврзница DO2015/29-0730dk</v>
          </cell>
        </row>
        <row r="226">
          <cell r="A226" t="str">
            <v>Р. Македонија - државна обврзница DO2014/30-1024dk</v>
          </cell>
        </row>
        <row r="227">
          <cell r="A227" t="str">
            <v>Р. Македонија - државна обврзница DO2017/37-1132dk</v>
          </cell>
        </row>
        <row r="228">
          <cell r="A228" t="str">
            <v>Р. Македонија - државна обврзница DO2019/02-0149dk</v>
          </cell>
        </row>
        <row r="229">
          <cell r="A229" t="str">
            <v>Р. Македонија - државна обврзница DO2016/10-0331dk</v>
          </cell>
        </row>
        <row r="230">
          <cell r="A230" t="str">
            <v>Р. Македонија - државна обврзница DO2019/14-1049dk</v>
          </cell>
        </row>
        <row r="231">
          <cell r="A231" t="str">
            <v>Р. Македонија - државна обврзница DO2020/19-1223</v>
          </cell>
        </row>
        <row r="232">
          <cell r="A232" t="str">
            <v>Р. Македонија - државна обврзница DO2020/20-1223dk</v>
          </cell>
        </row>
        <row r="233">
          <cell r="A233" t="str">
            <v>Р. Македонија - денационализација 13</v>
          </cell>
        </row>
        <row r="234">
          <cell r="A234" t="str">
            <v>Р. Македонија - денационализација 14</v>
          </cell>
        </row>
        <row r="235">
          <cell r="A235" t="str">
            <v>Р. Македонија - денационализација 15</v>
          </cell>
        </row>
        <row r="236">
          <cell r="A236" t="str">
            <v>Р. Македонија - денационализација 16</v>
          </cell>
        </row>
        <row r="237">
          <cell r="A237" t="str">
            <v>Р. Македонија - денационализација 17</v>
          </cell>
        </row>
        <row r="238">
          <cell r="A238" t="str">
            <v>Р. Македонија - денационализација 18</v>
          </cell>
        </row>
        <row r="239">
          <cell r="A239" t="str">
            <v>Р. Македонија - денационализација 19</v>
          </cell>
        </row>
        <row r="240">
          <cell r="A240" t="str">
            <v>Р. Македонија - денационализација 20</v>
          </cell>
        </row>
        <row r="241">
          <cell r="A241" t="str">
            <v>Р. Македонија - денационализација 21</v>
          </cell>
        </row>
        <row r="242">
          <cell r="A242" t="str">
            <v>СН Осигурителен Брокер АД Битола - корпоративна обврзница I емисија</v>
          </cell>
        </row>
        <row r="243">
          <cell r="A243" t="str">
            <v>ТТК банка АД Скопје - корпоративна обврзница I емисија</v>
          </cell>
        </row>
        <row r="244">
          <cell r="A244" t="str">
            <v>ТТК банка АД Скопје - корпоративна обврзница II емисија</v>
          </cell>
        </row>
        <row r="245">
          <cell r="A245" t="str">
            <v>Р.Македонија - државна обврзница DO2023/18-1025</v>
          </cell>
        </row>
        <row r="246">
          <cell r="A246" t="str">
            <v>Берзанска котација - други хартии од вредност</v>
          </cell>
        </row>
        <row r="247">
          <cell r="A247" t="str">
            <v>Универзална Инвестициона Банка Скопје - перпетуални обврзници</v>
          </cell>
        </row>
        <row r="248">
          <cell r="A248" t="str">
            <v>Универзална Инвестициона Банка Скопје - перпетуални обврзници - втора емисија</v>
          </cell>
        </row>
        <row r="249">
          <cell r="A249" t="str">
            <v>Задолжителна котација - обични акции</v>
          </cell>
        </row>
        <row r="250">
          <cell r="A250" t="str">
            <v>Адинг Скопје</v>
          </cell>
        </row>
        <row r="251">
          <cell r="A251" t="str">
            <v>Агромеханика Скопје</v>
          </cell>
        </row>
        <row r="252">
          <cell r="A252" t="str">
            <v>Ангропромет-Тиквешанка Кавадарци</v>
          </cell>
        </row>
        <row r="253">
          <cell r="A253" t="str">
            <v>Аутомакедонија Скопје</v>
          </cell>
        </row>
        <row r="254">
          <cell r="A254" t="str">
            <v>Рудници Бањани Скопје</v>
          </cell>
        </row>
        <row r="255">
          <cell r="A255" t="str">
            <v>Кристал 1923 АД Велес</v>
          </cell>
        </row>
        <row r="256">
          <cell r="A256" t="str">
            <v>БИМ Свети Николе</v>
          </cell>
        </row>
        <row r="257">
          <cell r="A257" t="str">
            <v>ФЗЦ 11 Октомври Куманово</v>
          </cell>
        </row>
        <row r="258">
          <cell r="A258" t="str">
            <v>Централна кооперативна банка Скопје</v>
          </cell>
        </row>
        <row r="259">
          <cell r="A259" t="str">
            <v>Дебарски бањи Дебар</v>
          </cell>
        </row>
        <row r="260">
          <cell r="A260" t="str">
            <v>Димко Митрев Велес</v>
          </cell>
        </row>
        <row r="261">
          <cell r="A261" t="str">
            <v>Единство Струмица</v>
          </cell>
        </row>
        <row r="262">
          <cell r="A262" t="str">
            <v>Европа Скопје</v>
          </cell>
        </row>
        <row r="263">
          <cell r="A263" t="str">
            <v>Факом Скопје</v>
          </cell>
        </row>
        <row r="264">
          <cell r="A264" t="str">
            <v>Фустеларко Борец Битола</v>
          </cell>
        </row>
        <row r="265">
          <cell r="A265" t="str">
            <v>Герас Цунев конфекција Струмица</v>
          </cell>
        </row>
        <row r="266">
          <cell r="A266" t="str">
            <v>Герас Цунев трговија Струмица</v>
          </cell>
        </row>
        <row r="267">
          <cell r="A267" t="str">
            <v>Грозд Струмица</v>
          </cell>
        </row>
        <row r="268">
          <cell r="A268" t="str">
            <v>Градски Трговски Центар Скопје</v>
          </cell>
        </row>
        <row r="269">
          <cell r="A269" t="str">
            <v>Интерпромет Тетово</v>
          </cell>
        </row>
        <row r="270">
          <cell r="A270" t="str">
            <v>Македонија осигурување АД Скопје - Виена Иншуренс Груп</v>
          </cell>
        </row>
        <row r="271">
          <cell r="A271" t="str">
            <v>Кланица со ладилник Струмица</v>
          </cell>
        </row>
        <row r="272">
          <cell r="A272" t="str">
            <v>Фруктал МАК Скопје</v>
          </cell>
        </row>
        <row r="273">
          <cell r="A273" t="str">
            <v>Карпош Скопје</v>
          </cell>
        </row>
        <row r="274">
          <cell r="A274" t="str">
            <v>Лотарија на Македонија Скопје</v>
          </cell>
        </row>
        <row r="275">
          <cell r="A275" t="str">
            <v>Пелистерка АД Скопје</v>
          </cell>
        </row>
        <row r="276">
          <cell r="A276" t="str">
            <v>Макпромет Штип</v>
          </cell>
        </row>
        <row r="277">
          <cell r="A277" t="str">
            <v>Мермерен комбинат Прилеп</v>
          </cell>
        </row>
        <row r="278">
          <cell r="A278" t="str">
            <v>Мода Свети Николе</v>
          </cell>
        </row>
        <row r="279">
          <cell r="A279" t="str">
            <v>Вабтек МЗТ Скопје</v>
          </cell>
        </row>
        <row r="280">
          <cell r="A280" t="str">
            <v>МЗТ Пумпи Скопје</v>
          </cell>
        </row>
        <row r="281">
          <cell r="A281" t="str">
            <v>Огражден Струмица</v>
          </cell>
        </row>
        <row r="282">
          <cell r="A282" t="str">
            <v>Нова стоковна куќа Струмица</v>
          </cell>
        </row>
        <row r="283">
          <cell r="A283" t="str">
            <v>Оилко КДА Скопје</v>
          </cell>
        </row>
        <row r="284">
          <cell r="A284" t="str">
            <v>ОКТА Скопје</v>
          </cell>
        </row>
        <row r="285">
          <cell r="A285" t="str">
            <v>Оранжерии Хамзали Струмица</v>
          </cell>
        </row>
        <row r="286">
          <cell r="A286" t="str">
            <v>Пекабеско Скопје</v>
          </cell>
        </row>
        <row r="287">
          <cell r="A287" t="str">
            <v>Попова Кула Демир Капија</v>
          </cell>
        </row>
        <row r="288">
          <cell r="A288" t="str">
            <v>Прилепска Пиварница Прилеп</v>
          </cell>
        </row>
        <row r="289">
          <cell r="A289" t="str">
            <v>Раде Кончар Скопје</v>
          </cell>
        </row>
        <row r="290">
          <cell r="A290" t="str">
            <v>РЖ Економика Скопје</v>
          </cell>
        </row>
        <row r="291">
          <cell r="A291" t="str">
            <v>Либерти АД Скопје</v>
          </cell>
        </row>
        <row r="292">
          <cell r="A292" t="str">
            <v>РЖ Техничка контрола Скопје</v>
          </cell>
        </row>
        <row r="293">
          <cell r="A293" t="str">
            <v>РЖ Уготур Скопје</v>
          </cell>
        </row>
        <row r="294">
          <cell r="A294" t="str">
            <v>Современ дом Прилеп</v>
          </cell>
        </row>
        <row r="295">
          <cell r="A295" t="str">
            <v>Силекс Кратово</v>
          </cell>
        </row>
        <row r="296">
          <cell r="A296" t="str">
            <v>Славеј Скопје</v>
          </cell>
        </row>
        <row r="297">
          <cell r="A297" t="str">
            <v>Струмичко поле с.Василево</v>
          </cell>
        </row>
        <row r="298">
          <cell r="A298" t="str">
            <v>Сигурносно стакло Прилеп</v>
          </cell>
        </row>
        <row r="299">
          <cell r="A299" t="str">
            <v>Стопанска банка Скопје</v>
          </cell>
        </row>
        <row r="300">
          <cell r="A300" t="str">
            <v>Стокопромет Скопје</v>
          </cell>
        </row>
        <row r="301">
          <cell r="A301" t="str">
            <v>ТЕАЛ-Алумина Тетово</v>
          </cell>
        </row>
        <row r="302">
          <cell r="A302" t="str">
            <v>Технокомерц Скопје</v>
          </cell>
        </row>
        <row r="303">
          <cell r="A303" t="str">
            <v>Македонски Телеком Скопје</v>
          </cell>
        </row>
        <row r="304">
          <cell r="A304" t="str">
            <v>ГД-Тиквеш Кавадарци</v>
          </cell>
        </row>
        <row r="305">
          <cell r="A305" t="str">
            <v>НЛБ Банка АД Скопје</v>
          </cell>
        </row>
        <row r="306">
          <cell r="A306" t="str">
            <v>Транскоп-Патнички сооб. Битола</v>
          </cell>
        </row>
        <row r="307">
          <cell r="A307" t="str">
            <v>Трготекстил малопродажба Скопје</v>
          </cell>
        </row>
        <row r="308">
          <cell r="A308" t="str">
            <v>Универзална Инвестициона Банка Скопје</v>
          </cell>
        </row>
        <row r="309">
          <cell r="A309" t="str">
            <v>Цементарница УСЈЕ Скопје</v>
          </cell>
        </row>
        <row r="310">
          <cell r="A310" t="str">
            <v>Триглав осигурување Скопје</v>
          </cell>
        </row>
        <row r="311">
          <cell r="A311" t="str">
            <v>Ветекс Велес</v>
          </cell>
        </row>
        <row r="312">
          <cell r="A312" t="str">
            <v>ЖАС Скопје</v>
          </cell>
        </row>
        <row r="313">
          <cell r="A313" t="str">
            <v>Жито Караорман Кичево</v>
          </cell>
        </row>
        <row r="314">
          <cell r="A314" t="str">
            <v>Жито Полог Тетово</v>
          </cell>
        </row>
        <row r="315">
          <cell r="A315" t="str">
            <v>Задолжителна котација - приоритетни акции</v>
          </cell>
        </row>
        <row r="316">
          <cell r="A316" t="str">
            <v>Стопанска банка Скопје</v>
          </cell>
        </row>
        <row r="317">
          <cell r="A317" t="str">
            <v>Редовен пазар</v>
          </cell>
        </row>
        <row r="318">
          <cell r="A318" t="str">
            <v>Слободен пазар - обични акции</v>
          </cell>
        </row>
        <row r="319">
          <cell r="A319" t="str">
            <v>Фротирка компани АД Делчево</v>
          </cell>
        </row>
        <row r="320">
          <cell r="A320" t="str">
            <v>Неметали Тетово</v>
          </cell>
        </row>
        <row r="321">
          <cell r="A321" t="str">
            <v>АрцелорМиттал (ХРМ) АД Скопје - долгорочно суспендирано од котација</v>
          </cell>
        </row>
        <row r="322">
          <cell r="A322" t="str">
            <v>Солун 2001 Гевгелија</v>
          </cell>
        </row>
        <row r="323">
          <cell r="A323" t="str">
            <v>ЗИМ Скопје</v>
          </cell>
        </row>
        <row r="324">
          <cell r="A324" t="str">
            <v>БЛОКОВИ</v>
          </cell>
        </row>
        <row r="325">
          <cell r="A325" t="str">
            <v>Официјален пазар</v>
          </cell>
        </row>
        <row r="326">
          <cell r="A326" t="str">
            <v>Супер котација - обични акции</v>
          </cell>
        </row>
        <row r="327">
          <cell r="A327" t="str">
            <v>Комерцијална банка Скопје</v>
          </cell>
        </row>
        <row r="328">
          <cell r="A328" t="str">
            <v>Комерцијална банка Скопје</v>
          </cell>
        </row>
        <row r="329">
          <cell r="A329" t="str">
            <v>Комерцијална банка Скопје</v>
          </cell>
        </row>
        <row r="330">
          <cell r="A330" t="str">
            <v>Вкупен промет на сите пазарни сегменти: 34.402.063,00</v>
          </cell>
        </row>
        <row r="331">
          <cell r="A331" t="str">
            <v>МБИ10</v>
          </cell>
        </row>
        <row r="332">
          <cell r="A332" t="str">
            <v>ОМБ</v>
          </cell>
        </row>
        <row r="333">
          <cell r="A333" t="str">
            <v>1 EUR = 61,5050 МКД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Фершпед Скопје</v>
          </cell>
        </row>
        <row r="10">
          <cell r="A10" t="str">
            <v>Гранит Скопје</v>
          </cell>
        </row>
        <row r="11">
          <cell r="A11" t="str">
            <v>Интернешнел Хотелс АД Скопје</v>
          </cell>
        </row>
        <row r="12">
          <cell r="A12" t="str">
            <v>ДС Смитх АД Скопје</v>
          </cell>
        </row>
        <row r="13">
          <cell r="A13" t="str">
            <v>Макотекс Скопје</v>
          </cell>
        </row>
        <row r="14">
          <cell r="A14" t="str">
            <v>Макошпед Скопје</v>
          </cell>
        </row>
        <row r="15">
          <cell r="A15" t="str">
            <v>Хотели Метропол Охрид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</row>
        <row r="20">
          <cell r="A20" t="str">
            <v>РЖ Услуги Скопје</v>
          </cell>
          <cell r="B20">
            <v>50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 Македонија - државна обврзница DO2023/12-0725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Р.Македонија државна обврзница DO2022/16-1237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DO2017/35-1132dk</v>
          </cell>
        </row>
        <row r="46">
          <cell r="A46" t="str">
            <v>Р. Македонија - државна обврзница DO2022/03-0337</v>
          </cell>
        </row>
        <row r="47">
          <cell r="A47" t="str">
            <v>Р. Македонија - државна обврзница DO2023/04-0338</v>
          </cell>
        </row>
        <row r="48">
          <cell r="A48" t="str">
            <v>Р. Македонија - државна обврзница DO2014/16-0724dk</v>
          </cell>
        </row>
        <row r="49">
          <cell r="A49" t="str">
            <v>Р. Македонија - државна обврзница DO2016/26-1131dk</v>
          </cell>
        </row>
        <row r="50">
          <cell r="A50" t="str">
            <v>Р. Македонија - државна обврзница DO2020/14-1223</v>
          </cell>
        </row>
        <row r="51">
          <cell r="A51" t="str">
            <v>Р. Македонија - државна обврзница DO2015/44-1230dk</v>
          </cell>
        </row>
        <row r="52">
          <cell r="A52" t="str">
            <v>Р. Македонија - државна обврзница DO2020/15-1235dk</v>
          </cell>
          <cell r="B52">
            <v>100</v>
          </cell>
        </row>
        <row r="53">
          <cell r="A53" t="str">
            <v>Р. Македонија - државна обврзница DO2021/04-0336</v>
          </cell>
        </row>
        <row r="54">
          <cell r="A54" t="str">
            <v>Р. Македонија - државна обврзница DO2017/14-0532dk</v>
          </cell>
        </row>
        <row r="55">
          <cell r="A55" t="str">
            <v>Р. Македонија - државна обврзница DO2015/19-0630dk</v>
          </cell>
        </row>
        <row r="56">
          <cell r="A56" t="str">
            <v>Р.Македонија - државна обврзница DO2022/09-0837</v>
          </cell>
        </row>
        <row r="57">
          <cell r="A57" t="str">
            <v>Р.Македонија - државна обврзница DO2022/10-0837dk</v>
          </cell>
        </row>
        <row r="58">
          <cell r="A58" t="str">
            <v>Р. Македонија - државна обврзница DO2023/14-0838</v>
          </cell>
        </row>
        <row r="59">
          <cell r="A59" t="str">
            <v>Р. Македонија - државна обврзница DO2014/19-0924dk</v>
          </cell>
        </row>
        <row r="60">
          <cell r="A60" t="str">
            <v>Р. Македонија - државна обврзница DO2014/38-1224</v>
          </cell>
        </row>
        <row r="61">
          <cell r="A61" t="str">
            <v>Р. Македонија - државна обврзница DO2020/03-0325</v>
          </cell>
        </row>
        <row r="62">
          <cell r="A62" t="str">
            <v>Р. Македонија - државна обврзница DO2014/13-0624dk</v>
          </cell>
        </row>
        <row r="63">
          <cell r="A63" t="str">
            <v>Р. Македонија - државна обврзница ДО2021/13-0836</v>
          </cell>
        </row>
        <row r="64">
          <cell r="A64" t="str">
            <v>Р. Македонија - државна обврзница DO2017/30-1032dk</v>
          </cell>
        </row>
        <row r="65">
          <cell r="A65" t="str">
            <v>Р. Македонија - државна обврзница DO2020/12-1125</v>
          </cell>
        </row>
        <row r="66">
          <cell r="A66" t="str">
            <v>Р. Македонија - државна обврзница DO2019/16-1234dk</v>
          </cell>
        </row>
        <row r="67">
          <cell r="A67" t="str">
            <v>Р. Македонија - државна обврзница DO2017/12-0432dk</v>
          </cell>
        </row>
        <row r="68">
          <cell r="A68" t="str">
            <v>Р. Македонија - државна обврзница DO2017/19-0732dk</v>
          </cell>
        </row>
        <row r="69">
          <cell r="A69" t="str">
            <v>Р. Македонија - државна обврзница DO2015/30-0825dk</v>
          </cell>
        </row>
        <row r="70">
          <cell r="A70" t="str">
            <v>Р. Македонија - државна обврзница DO2015/31-0830dk</v>
          </cell>
        </row>
        <row r="71">
          <cell r="A71" t="str">
            <v>Р. Македонија - државна обврзница DO2020/07-0850dk</v>
          </cell>
        </row>
        <row r="72">
          <cell r="A72" t="str">
            <v>Р. Македонија - државна обврзница DO2019/05-0324</v>
          </cell>
        </row>
        <row r="73">
          <cell r="A73" t="str">
            <v>Р. Македонија - државна обврзница DO2016/11-0426dk</v>
          </cell>
        </row>
        <row r="74">
          <cell r="A74" t="str">
            <v>Р. Македонија - државна обврзница DO2015/17-0530dk</v>
          </cell>
        </row>
        <row r="75">
          <cell r="A75" t="str">
            <v>Р. Македонија - државна обврзница DO2018/12-0633</v>
          </cell>
        </row>
        <row r="76">
          <cell r="A76" t="str">
            <v>Р. Македонија - државна обврзница DO2017/26-0932dk</v>
          </cell>
        </row>
        <row r="77">
          <cell r="A77" t="str">
            <v>Р.Македонија - државна обврзница DO2023/15-0938</v>
          </cell>
        </row>
        <row r="78">
          <cell r="A78" t="str">
            <v>Р.Македонија - државна обврзница DO2023/16-0938dk</v>
          </cell>
        </row>
        <row r="79">
          <cell r="A79" t="str">
            <v>Р. Македонија - државна обврзница DO2019/15-1134</v>
          </cell>
        </row>
        <row r="80">
          <cell r="A80" t="str">
            <v>Р. Македонија - државна обврзница DO2017/38-1232dk</v>
          </cell>
        </row>
        <row r="81">
          <cell r="A81" t="str">
            <v>Р. Македонија - државна обврзница DO2018/10-0333dk</v>
          </cell>
        </row>
        <row r="82">
          <cell r="A82" t="str">
            <v>Р. Македонија - државна обврзница DO2017/16-0632dk</v>
          </cell>
        </row>
        <row r="83">
          <cell r="A83" t="str">
            <v>Р. Македонија - државна обврзница DO2016/15-0731dk</v>
          </cell>
        </row>
        <row r="84">
          <cell r="A84" t="str">
            <v>Р. Македонија - државна обврзница DO2019/11-0834dk</v>
          </cell>
        </row>
        <row r="85">
          <cell r="A85" t="str">
            <v>Р. Македонија - државна обврзница DO2015/40-1030dk</v>
          </cell>
        </row>
        <row r="86">
          <cell r="A86" t="str">
            <v>Р. Македонија - државна обврзница DO2023/02-0238</v>
          </cell>
        </row>
        <row r="87">
          <cell r="A87" t="str">
            <v>Р. Македонија - државна обврзница DO2017/08-0332dk</v>
          </cell>
        </row>
        <row r="88">
          <cell r="A88" t="str">
            <v>Р. Македонија - државна обврзница DO2016/13-0631dk</v>
          </cell>
        </row>
        <row r="89">
          <cell r="A89" t="str">
            <v>Р. Македонија - државна обврзница DO2015/23-0725</v>
          </cell>
        </row>
        <row r="90">
          <cell r="A90" t="str">
            <v>Р. Македонија - државна обврзница DO2015/24-0725dk</v>
          </cell>
        </row>
        <row r="91">
          <cell r="A91" t="str">
            <v>Р. Македонија - државна обврзница DO2015/25-0730dk</v>
          </cell>
        </row>
        <row r="92">
          <cell r="A92" t="str">
            <v>Р. Македонија - државна обврзница DO2018/17-0833dk</v>
          </cell>
        </row>
        <row r="93">
          <cell r="A93" t="str">
            <v>Р.Македонија државна обврзница DO2022/13-0937</v>
          </cell>
        </row>
        <row r="94">
          <cell r="A94" t="str">
            <v>Р.Македонија државна обврзница DO2022/12-0937dk</v>
          </cell>
        </row>
        <row r="95">
          <cell r="A95" t="str">
            <v>Р. Македонија - државна обврзница DO2017/22-0832dk</v>
          </cell>
        </row>
        <row r="96">
          <cell r="A96" t="str">
            <v>Р. Македонија - државна обврзница DO2018/02-0128</v>
          </cell>
        </row>
        <row r="97">
          <cell r="A97" t="str">
            <v>Р. Македонија - државна обврзница DO2018/03-0133dk</v>
          </cell>
        </row>
        <row r="98">
          <cell r="A98" t="str">
            <v>Р. Македонија - државна обврзница DO2016/05-0226</v>
          </cell>
        </row>
        <row r="99">
          <cell r="A99" t="str">
            <v>Р. Македонија - државна обврзница DO2016/06-0226dk</v>
          </cell>
        </row>
        <row r="100">
          <cell r="A100" t="str">
            <v>Р. Македонија - државна обврзница DO2016/07-0231dk</v>
          </cell>
        </row>
        <row r="101">
          <cell r="A101" t="str">
            <v>Р. Македонија - државна обврзница DO2023/06-0538</v>
          </cell>
        </row>
        <row r="102">
          <cell r="A102" t="str">
            <v>Р. Македонија - државна обврзница DO2017/02-0132dk</v>
          </cell>
        </row>
        <row r="103">
          <cell r="A103" t="str">
            <v>Р. Македонија - државна обврзница DO2023/01-0138</v>
          </cell>
        </row>
        <row r="104">
          <cell r="A104" t="str">
            <v>Р. Македонија - државна обврзница DO2015/05-0230dk</v>
          </cell>
        </row>
        <row r="105">
          <cell r="A105" t="str">
            <v>Р. Македонија - државна обврзница DO2015/09-0325</v>
          </cell>
        </row>
        <row r="106">
          <cell r="A106" t="str">
            <v>Р. Македонија - државна обврзница DO2015/10-0330dk</v>
          </cell>
        </row>
        <row r="107">
          <cell r="A107" t="str">
            <v>Р. Македонија - државна обврзница DO2022/05-0537</v>
          </cell>
        </row>
        <row r="108">
          <cell r="A108" t="str">
            <v>Р. Македонија - државна обврзница DO2022/01-0137</v>
          </cell>
        </row>
        <row r="109">
          <cell r="A109" t="str">
            <v>Р. Македонија - државна обврзница DO2020/02-0235</v>
          </cell>
        </row>
        <row r="110">
          <cell r="A110" t="str">
            <v>Р. Македонија - државна обврзница DO2023/11-0738</v>
          </cell>
        </row>
        <row r="111">
          <cell r="A111" t="str">
            <v>Р. Македонија - државна обврзница DO2022/14-1037</v>
          </cell>
        </row>
        <row r="112">
          <cell r="A112" t="str">
            <v>Р. Македонија - државна обврзница DO2016/01-0126dk</v>
          </cell>
        </row>
        <row r="113">
          <cell r="A113" t="str">
            <v>Р. Македонија - државна обврзница DO2016/02-0131dk</v>
          </cell>
        </row>
        <row r="114">
          <cell r="A114" t="str">
            <v>Р. Македонија - државна обврзница DO2021/01-0136</v>
          </cell>
        </row>
        <row r="115">
          <cell r="A115" t="str">
            <v>Р. Македонија - државна обврзница DO2019/03-0224dk</v>
          </cell>
        </row>
        <row r="116">
          <cell r="A116" t="str">
            <v>Р. Македонија - државна обврзница DO2016/12-0431dk</v>
          </cell>
        </row>
        <row r="117">
          <cell r="A117" t="str">
            <v>Р. Македонија - државна обврзница DO2022/04-0437dk</v>
          </cell>
        </row>
        <row r="118">
          <cell r="A118" t="str">
            <v>Р. Македонија - државна обврзница DO2021/09-0526</v>
          </cell>
        </row>
        <row r="119">
          <cell r="A119" t="str">
            <v>Р. Македонија - државна обврзница DO2016/23-1031dk</v>
          </cell>
        </row>
        <row r="120">
          <cell r="A120" t="str">
            <v>Р. Македонија - државна обврзница DO2021/15-1036</v>
          </cell>
        </row>
        <row r="121">
          <cell r="A121" t="str">
            <v>Р. Македонија - државна обврзница DO2018/08-0233dk</v>
          </cell>
        </row>
        <row r="122">
          <cell r="A122" t="str">
            <v>Р. Македонија - државна обврзница DO2021/07-0436</v>
          </cell>
        </row>
        <row r="123">
          <cell r="A123" t="str">
            <v>Р. Македонија - државна обврзница DO2021/08-0436dk</v>
          </cell>
        </row>
        <row r="124">
          <cell r="A124" t="str">
            <v>Р.Македонија - државна обврзница DO2023/08-0638</v>
          </cell>
        </row>
        <row r="125">
          <cell r="A125" t="str">
            <v>Р.Македонија - државна обврзница DO2023/09-0638dk</v>
          </cell>
        </row>
        <row r="126">
          <cell r="A126" t="str">
            <v>Р. Македонија - државна обврзница DO2020/08-1030</v>
          </cell>
        </row>
        <row r="127">
          <cell r="A127" t="str">
            <v>Р. Македонија - државна обврзница DO2020/09-1030dk</v>
          </cell>
        </row>
        <row r="128">
          <cell r="A128" t="str">
            <v>Р.Македонија - државна обврзница DO2023/03-225</v>
          </cell>
        </row>
        <row r="129">
          <cell r="A129" t="str">
            <v>Р. Македонија - државна обврзница DO2017/06-0232dk</v>
          </cell>
        </row>
        <row r="130">
          <cell r="A130" t="str">
            <v>Р. Македонија - државна обврзница DO2015/15-0430dk</v>
          </cell>
        </row>
        <row r="131">
          <cell r="A131" t="str">
            <v>Р. Македонија - државна обврзница DO2019/08-0524</v>
          </cell>
        </row>
        <row r="132">
          <cell r="A132" t="str">
            <v>Р. Македонија - државна обврзница DO2019/09-0534</v>
          </cell>
        </row>
        <row r="133">
          <cell r="A133" t="str">
            <v>Р.Македонија - државна обврзница DO2022/06-0637</v>
          </cell>
        </row>
        <row r="134">
          <cell r="A134" t="str">
            <v>Р.Македонија - државна обврзница DO2022/07-0637dk</v>
          </cell>
        </row>
        <row r="135">
          <cell r="A135" t="str">
            <v>Р. Македонија - државна обврзница DO2021/14-0936</v>
          </cell>
        </row>
        <row r="136">
          <cell r="A136" t="str">
            <v>Р. Македонија - државна обврзница DO2014/27-1024</v>
          </cell>
        </row>
        <row r="137">
          <cell r="A137" t="str">
            <v>Р. Македонија - државна обврзница DO2014/28-1024dk</v>
          </cell>
        </row>
        <row r="138">
          <cell r="A138" t="str">
            <v>Р. Македонија - државна обврзница DO2021/17-1224</v>
          </cell>
        </row>
        <row r="139">
          <cell r="A139" t="str">
            <v>Р. Македонија - државна обврзница DO2016/08-0331dk</v>
          </cell>
        </row>
        <row r="140">
          <cell r="A140" t="str">
            <v>Р. Македонија - државна обврзница DO2021/10-0636</v>
          </cell>
        </row>
        <row r="141">
          <cell r="A141" t="str">
            <v>Р. Македонија - државна обврзница DO2021/11-0636dk</v>
          </cell>
        </row>
        <row r="142">
          <cell r="A142" t="str">
            <v>Р. Македонија - државна обврзница DO2017/24-0832dk</v>
          </cell>
        </row>
        <row r="143">
          <cell r="A143" t="str">
            <v>Р. Македонија - државна обврзница DO2015/37-0930dk</v>
          </cell>
        </row>
        <row r="144">
          <cell r="A144" t="str">
            <v>Р. Македонија - државна обврзница DO2019/13-1024</v>
          </cell>
        </row>
        <row r="145">
          <cell r="A145" t="str">
            <v>Р.Македонија државна обврзница DO2022/15-1137</v>
          </cell>
        </row>
        <row r="146">
          <cell r="A146" t="str">
            <v>Р. Македонија - државна обврзница DO2015/45-1225dk</v>
          </cell>
        </row>
        <row r="147">
          <cell r="A147" t="str">
            <v>Р. Македонија - државна обврзница DO2021/03-0224</v>
          </cell>
        </row>
        <row r="148">
          <cell r="A148" t="str">
            <v>Р. Македонија - државна обврзница DO2019/06-0449dk</v>
          </cell>
        </row>
        <row r="149">
          <cell r="A149" t="str">
            <v>Р. Македонија - државна обврзница DO2020/06-0635</v>
          </cell>
        </row>
        <row r="150">
          <cell r="A150" t="str">
            <v>Р. Македонија - државна обврзница DO2019/10-0749dk</v>
          </cell>
        </row>
        <row r="151">
          <cell r="A151" t="str">
            <v>Р. Македонија - државна обврзница DO2016/17-0826</v>
          </cell>
        </row>
        <row r="152">
          <cell r="A152" t="str">
            <v>Р. Македонија - државна обврзница DO2016/18-0826dk</v>
          </cell>
        </row>
        <row r="153">
          <cell r="A153" t="str">
            <v>Р. Македонија - државна обврзница DO2016/19-0831dk</v>
          </cell>
        </row>
        <row r="154">
          <cell r="A154" t="str">
            <v>Р. Македонија - државна обврзница DО2022/11-0837dk</v>
          </cell>
        </row>
        <row r="155">
          <cell r="A155" t="str">
            <v>Р. Македонија - државна обврзница DO2018/23-1048dk</v>
          </cell>
        </row>
        <row r="156">
          <cell r="A156" t="str">
            <v>Р. Македонија - државна обврзница DO2021/16-1136dk</v>
          </cell>
        </row>
        <row r="157">
          <cell r="A157" t="str">
            <v>Р. Македонија - државна обврзница DO2018/15-0748dk</v>
          </cell>
        </row>
        <row r="158">
          <cell r="A158" t="str">
            <v>Р. Македонија - државна обврзница DO2019/12-0934</v>
          </cell>
        </row>
        <row r="159">
          <cell r="A159" t="str">
            <v>Р. Македонија - државна обврзница DO2017/32-1032dk</v>
          </cell>
        </row>
        <row r="160">
          <cell r="A160" t="str">
            <v>Р. Македонија - државна обврзница DO2020/13-1123dk</v>
          </cell>
        </row>
        <row r="161">
          <cell r="A161" t="str">
            <v>Р. Македонија - државна обврзница DO2015/42-1125dk</v>
          </cell>
        </row>
        <row r="162">
          <cell r="A162" t="str">
            <v>Р. Македонија - државна обврзница DO2015/43-1130dk</v>
          </cell>
        </row>
        <row r="163">
          <cell r="A163" t="str">
            <v>Р. Македонија - државна обврзница DO2017/20-0732dk</v>
          </cell>
        </row>
        <row r="164">
          <cell r="A164" t="str">
            <v>Р. Македонија - државна обврзница DO2023/13-0738</v>
          </cell>
        </row>
        <row r="165">
          <cell r="A165" t="str">
            <v>Р. Македонија - државна обврзница DO2015/32-0825</v>
          </cell>
        </row>
        <row r="166">
          <cell r="A166" t="str">
            <v>Р. Македонија - државна обврзница DO2015/33-0830dk</v>
          </cell>
        </row>
        <row r="167">
          <cell r="A167" t="str">
            <v>Р. Македонија - државна обврзница DO2018/19-0933</v>
          </cell>
        </row>
        <row r="168">
          <cell r="A168" t="str">
            <v>Р. Македонија - државна обврзница DO2018/20-0933dk</v>
          </cell>
        </row>
        <row r="169">
          <cell r="A169" t="str">
            <v>Р. Македонија - државна обврзница DO2015/18-0525dk</v>
          </cell>
        </row>
        <row r="170">
          <cell r="A170" t="str">
            <v>Р. Македонија - државна обврзница DO2018/13-0633dk</v>
          </cell>
        </row>
        <row r="171">
          <cell r="A171" t="str">
            <v>Р. Македонија - државна обврзница DO2014/18-0824dk</v>
          </cell>
        </row>
        <row r="172">
          <cell r="A172" t="str">
            <v>Р. Македонија - државна обврзница DO2017/27-0932dk</v>
          </cell>
        </row>
        <row r="173">
          <cell r="A173" t="str">
            <v>Р.Македонија - државна обврзница DO2023/17-0938</v>
          </cell>
        </row>
        <row r="174">
          <cell r="A174" t="str">
            <v>Р. Македонија - државна обврзница DO2016/03-0131dk</v>
          </cell>
        </row>
        <row r="175">
          <cell r="A175" t="str">
            <v>Р. Македонија - државна обврзница DO2017/17-0632dk</v>
          </cell>
        </row>
        <row r="176">
          <cell r="A176" t="str">
            <v>Р. Македонија - државна обврзница DO2016/21-0931dk</v>
          </cell>
        </row>
        <row r="177">
          <cell r="A177" t="str">
            <v>Р. Македонија - државна обврзница DO2018/27-1133dk</v>
          </cell>
        </row>
        <row r="178">
          <cell r="A178" t="str">
            <v>Р. Македонија - државна обврзница DO2016/29-1231dk</v>
          </cell>
        </row>
        <row r="179">
          <cell r="A179" t="str">
            <v>Р. Македонија - државна обврзница DO2014/02-0124</v>
          </cell>
        </row>
        <row r="180">
          <cell r="A180" t="str">
            <v>Р. Македонија - државна обврзница DO2014/03-0124dk</v>
          </cell>
        </row>
        <row r="181">
          <cell r="A181" t="str">
            <v>Р. Македонија - државна обврзница DO2017/10-0332dk</v>
          </cell>
        </row>
        <row r="182">
          <cell r="A182" t="str">
            <v>Р. Македонија - државна обврзница DO2016/14-0631dk</v>
          </cell>
        </row>
        <row r="183">
          <cell r="A183" t="str">
            <v>Р. Македонија - државна обврзница DO2015/27-0725dk</v>
          </cell>
        </row>
        <row r="184">
          <cell r="A184" t="str">
            <v>Р. Македонија - државна обврзница DO2015/28-0730dk</v>
          </cell>
        </row>
        <row r="185">
          <cell r="A185" t="str">
            <v>Р. Македонија - државна обврзница DO2017/36-1132dk</v>
          </cell>
        </row>
        <row r="186">
          <cell r="A186" t="str">
            <v>Р. Македонија - државна обврзница DO2016/09-0326</v>
          </cell>
        </row>
        <row r="187">
          <cell r="A187" t="str">
            <v>Р. Македонија - државна обврзница DO2014/17-0724dk</v>
          </cell>
        </row>
        <row r="188">
          <cell r="A188" t="str">
            <v>Р. Македонија - државна обврзница DO2015/38-0925dk</v>
          </cell>
        </row>
        <row r="189">
          <cell r="A189" t="str">
            <v>Р. Македонија - државна обврзница DO2015/39-0930dk</v>
          </cell>
        </row>
        <row r="190">
          <cell r="A190" t="str">
            <v>Р. Македонија - државна обврзница DO2015/46-1225dk</v>
          </cell>
        </row>
        <row r="191">
          <cell r="A191" t="str">
            <v>Р. Македонија - државна обврзница DO2018/04-0133</v>
          </cell>
        </row>
        <row r="192">
          <cell r="A192" t="str">
            <v>Р. Македонија - државна обврзница DO2018/05-0133dk</v>
          </cell>
        </row>
        <row r="193">
          <cell r="A193" t="str">
            <v>Р. Македонија - државна обврзница DO2015/20-0625</v>
          </cell>
        </row>
        <row r="194">
          <cell r="A194" t="str">
            <v>Р. Македонија - државна обврзница DO2015/21-0625dk</v>
          </cell>
        </row>
        <row r="195">
          <cell r="A195" t="str">
            <v>Р. Македонија - државна обврзница DO2015/22-0630dk</v>
          </cell>
        </row>
        <row r="196">
          <cell r="A196" t="str">
            <v>Р. Македонија - државна обврзница DO2017/05-0132dk</v>
          </cell>
        </row>
        <row r="197">
          <cell r="A197" t="str">
            <v>Р. Македонија - државна обврзница DO2015/08-0230dk</v>
          </cell>
        </row>
        <row r="198">
          <cell r="A198" t="str">
            <v>Р. Македонија - државна обврзница DO2015/12-0325</v>
          </cell>
        </row>
        <row r="199">
          <cell r="A199" t="str">
            <v>Р. Македонија - државна обврзница DO2015/13-0330dk</v>
          </cell>
        </row>
        <row r="200">
          <cell r="A200" t="str">
            <v>Р. Македонија - државна обврзница DO2018/11-0448dk</v>
          </cell>
        </row>
        <row r="201">
          <cell r="A201" t="str">
            <v>Р.Македонија - државна обврзница DO2023/07-0538dk</v>
          </cell>
        </row>
        <row r="202">
          <cell r="A202" t="str">
            <v>Р. Македонија - државна обврзница DO2022/02-0125</v>
          </cell>
        </row>
        <row r="203">
          <cell r="A203" t="str">
            <v>Р. Македонија - државна обврзница DO2015/34-0825</v>
          </cell>
        </row>
        <row r="204">
          <cell r="A204" t="str">
            <v>Р. Македонија - државна обврзница DO2015/35-0825dk</v>
          </cell>
        </row>
        <row r="205">
          <cell r="A205" t="str">
            <v>Р. Македонија - државна обврзница DO2015/36-0830dk</v>
          </cell>
        </row>
        <row r="206">
          <cell r="A206" t="str">
            <v>Р. Македонија - државна обврзница DO2016/04-0131dk</v>
          </cell>
        </row>
        <row r="207">
          <cell r="A207" t="str">
            <v>Р. Македонија - државна обврзница DO2019/04-0234</v>
          </cell>
          <cell r="B207">
            <v>107.1</v>
          </cell>
        </row>
        <row r="208">
          <cell r="A208" t="str">
            <v>Р. Македонија - државна обврзница DO2016/16-0731dk</v>
          </cell>
        </row>
        <row r="209">
          <cell r="A209" t="str">
            <v>Р. Македонија - државна обврзница DO2015/03-0125</v>
          </cell>
        </row>
        <row r="210">
          <cell r="A210" t="str">
            <v>Р. Македонија - државна обврзница DO2015/04-0125dk</v>
          </cell>
        </row>
        <row r="211">
          <cell r="A211" t="str">
            <v>Р. Македонија - државна обврзница DO2017/18-0632dk</v>
          </cell>
        </row>
        <row r="212">
          <cell r="A212" t="str">
            <v>Р. Македонија - државна обврзница DO2023/10-0638dk</v>
          </cell>
        </row>
        <row r="213">
          <cell r="A213" t="str">
            <v>Р. Македонија - држaвна обврзница DO2021/12-0724</v>
          </cell>
        </row>
        <row r="214">
          <cell r="A214" t="str">
            <v>Р. Македонија - државна обврзница DO2016/22-0931dk</v>
          </cell>
        </row>
        <row r="215">
          <cell r="A215" t="str">
            <v>Р. Македонија - државна обврзница DO2015/41-1030dk</v>
          </cell>
        </row>
        <row r="216">
          <cell r="A216" t="str">
            <v>Р. Македонија - државна обврзница DO2020/10-1035</v>
          </cell>
        </row>
        <row r="217">
          <cell r="A217" t="str">
            <v>Р. Македонија - државна обврзница DO2022/17-1237</v>
          </cell>
        </row>
        <row r="218">
          <cell r="A218" t="str">
            <v>Р. Македонија - државна обврзница DO2022/18-1237dk</v>
          </cell>
        </row>
        <row r="219">
          <cell r="A219" t="str">
            <v>Р. Македонија - државна обврзница DO2020/01-0150dk</v>
          </cell>
        </row>
        <row r="220">
          <cell r="A220" t="str">
            <v>Р. Македонија - државна обврзница DO2017/11-0332dk</v>
          </cell>
        </row>
        <row r="221">
          <cell r="A221" t="str">
            <v>Р. Македонија - државна обврзница DO2023/05-0338</v>
          </cell>
        </row>
        <row r="222">
          <cell r="A222" t="str">
            <v>Р. Македонија - државна обврзница DO2023/06-0338dk</v>
          </cell>
        </row>
        <row r="223">
          <cell r="A223" t="str">
            <v>Р. Македонија - државна обврзница DO2020/04-0450dk</v>
          </cell>
          <cell r="B223">
            <v>100</v>
          </cell>
        </row>
        <row r="224">
          <cell r="A224" t="str">
            <v>Р. Македонија - државна обврзница DO2022/08-0637</v>
          </cell>
        </row>
        <row r="225">
          <cell r="A225" t="str">
            <v>Р. Македонија - државна обврзница DO2015/29-0730dk</v>
          </cell>
        </row>
        <row r="226">
          <cell r="A226" t="str">
            <v>Р. Македонија - државна обврзница DO2014/30-1024dk</v>
          </cell>
        </row>
        <row r="227">
          <cell r="A227" t="str">
            <v>Р. Македонија - државна обврзница DO2017/37-1132dk</v>
          </cell>
        </row>
        <row r="228">
          <cell r="A228" t="str">
            <v>Р. Македонија - државна обврзница DO2019/02-0149dk</v>
          </cell>
        </row>
        <row r="229">
          <cell r="A229" t="str">
            <v>Р. Македонија - државна обврзница DO2016/10-0331dk</v>
          </cell>
        </row>
        <row r="230">
          <cell r="A230" t="str">
            <v>Р. Македонија - државна обврзница DO2019/14-1049dk</v>
          </cell>
          <cell r="B230">
            <v>103.5</v>
          </cell>
        </row>
        <row r="231">
          <cell r="A231" t="str">
            <v>Р. Македонија - државна обврзница DO2020/19-1223</v>
          </cell>
        </row>
        <row r="232">
          <cell r="A232" t="str">
            <v>Р. Македонија - државна обврзница DO2020/20-1223dk</v>
          </cell>
        </row>
        <row r="233">
          <cell r="A233" t="str">
            <v>Р. Македонија - денационализација 13</v>
          </cell>
          <cell r="B233">
            <v>99</v>
          </cell>
        </row>
        <row r="234">
          <cell r="A234" t="str">
            <v>Р. Македонија - денационализација 14</v>
          </cell>
          <cell r="B234">
            <v>99</v>
          </cell>
        </row>
        <row r="235">
          <cell r="A235" t="str">
            <v>Р. Македонија - денационализација 15</v>
          </cell>
          <cell r="B235">
            <v>97.7</v>
          </cell>
        </row>
        <row r="236">
          <cell r="A236" t="str">
            <v>Р. Македонија - денационализација 16</v>
          </cell>
          <cell r="B236">
            <v>94</v>
          </cell>
        </row>
        <row r="237">
          <cell r="A237" t="str">
            <v>Р. Македонија - денационализација 17</v>
          </cell>
          <cell r="B237">
            <v>90</v>
          </cell>
        </row>
        <row r="238">
          <cell r="A238" t="str">
            <v>Р. Македонија - денационализација 18</v>
          </cell>
          <cell r="B238">
            <v>93.87</v>
          </cell>
        </row>
        <row r="239">
          <cell r="A239" t="str">
            <v>Р. Македонија - денационализација 19</v>
          </cell>
          <cell r="B239">
            <v>92</v>
          </cell>
        </row>
        <row r="240">
          <cell r="A240" t="str">
            <v>Р. Македонија - денационализација 20</v>
          </cell>
          <cell r="B240">
            <v>94</v>
          </cell>
        </row>
        <row r="241">
          <cell r="A241" t="str">
            <v>Р. Македонија - денационализација 21</v>
          </cell>
          <cell r="B241">
            <v>93</v>
          </cell>
        </row>
        <row r="242">
          <cell r="A242" t="str">
            <v>СН Осигурителен Брокер АД Битола - корпоративна обврзница I емисија</v>
          </cell>
          <cell r="B242">
            <v>100</v>
          </cell>
        </row>
        <row r="243">
          <cell r="A243" t="str">
            <v>ТТК банка АД Скопје - корпоративна обврзница I емисија</v>
          </cell>
          <cell r="B243">
            <v>100</v>
          </cell>
        </row>
        <row r="244">
          <cell r="A244" t="str">
            <v>ТТК банка АД Скопје - корпоративна обврзница II емисија</v>
          </cell>
        </row>
        <row r="245">
          <cell r="A245" t="str">
            <v>Берзанска котација - други хартии од вредност</v>
          </cell>
        </row>
        <row r="246">
          <cell r="A246" t="str">
            <v>Универзална Инвестициона Банка Скопје - перпетуални обврзници</v>
          </cell>
          <cell r="B246">
            <v>100</v>
          </cell>
        </row>
        <row r="247">
          <cell r="A247" t="str">
            <v>Универзална Инвестициона Банка Скопје - перпетуални обврзници - втора емисија</v>
          </cell>
        </row>
        <row r="248">
          <cell r="A248" t="str">
            <v>Задолжителна котација - обични акции</v>
          </cell>
        </row>
        <row r="249">
          <cell r="A249" t="str">
            <v>Адинг Скопје</v>
          </cell>
          <cell r="B249">
            <v>865</v>
          </cell>
        </row>
        <row r="250">
          <cell r="A250" t="str">
            <v>Агромеханика Скопје</v>
          </cell>
          <cell r="B250">
            <v>300</v>
          </cell>
        </row>
        <row r="251">
          <cell r="A251" t="str">
            <v>Ангропромет-Тиквешанка Кавадарци</v>
          </cell>
          <cell r="B251">
            <v>750</v>
          </cell>
        </row>
        <row r="252">
          <cell r="A252" t="str">
            <v>Аутомакедонија Скопје</v>
          </cell>
          <cell r="B252">
            <v>3040</v>
          </cell>
        </row>
        <row r="253">
          <cell r="A253" t="str">
            <v>Рудници Бањани Скопје</v>
          </cell>
          <cell r="B253">
            <v>603</v>
          </cell>
        </row>
        <row r="254">
          <cell r="A254" t="str">
            <v>Кристал 1923 АД Велес</v>
          </cell>
          <cell r="B254">
            <v>158</v>
          </cell>
        </row>
        <row r="255">
          <cell r="A255" t="str">
            <v>БИМ Свети Николе</v>
          </cell>
          <cell r="B255">
            <v>15550</v>
          </cell>
        </row>
        <row r="256">
          <cell r="A256" t="str">
            <v>ФЗЦ 11 Октомври Куманово</v>
          </cell>
          <cell r="B256">
            <v>200</v>
          </cell>
        </row>
        <row r="257">
          <cell r="A257" t="str">
            <v>Централна кооперативна банка Скопје</v>
          </cell>
          <cell r="B257">
            <v>350</v>
          </cell>
        </row>
        <row r="258">
          <cell r="A258" t="str">
            <v>Дебарски бањи Дебар</v>
          </cell>
          <cell r="B258">
            <v>1550</v>
          </cell>
        </row>
        <row r="259">
          <cell r="A259" t="str">
            <v>Димко Митрев Велес</v>
          </cell>
          <cell r="B259">
            <v>185</v>
          </cell>
        </row>
        <row r="260">
          <cell r="A260" t="str">
            <v>Единство Струмица</v>
          </cell>
          <cell r="B260">
            <v>80</v>
          </cell>
        </row>
        <row r="261">
          <cell r="A261" t="str">
            <v>Европа Скопје</v>
          </cell>
          <cell r="B261">
            <v>2900</v>
          </cell>
        </row>
        <row r="262">
          <cell r="A262" t="str">
            <v>Факом Скопје</v>
          </cell>
          <cell r="B262">
            <v>6984</v>
          </cell>
        </row>
        <row r="263">
          <cell r="A263" t="str">
            <v>Фустеларко Борец Битола</v>
          </cell>
          <cell r="B263">
            <v>2101</v>
          </cell>
        </row>
        <row r="264">
          <cell r="A264" t="str">
            <v>Герас Цунев конфекција Струмица</v>
          </cell>
        </row>
        <row r="265">
          <cell r="A265" t="str">
            <v>Герас Цунев трговија Струмица</v>
          </cell>
          <cell r="B265">
            <v>500</v>
          </cell>
        </row>
        <row r="266">
          <cell r="A266" t="str">
            <v>Грозд Струмица</v>
          </cell>
          <cell r="B266">
            <v>2250</v>
          </cell>
        </row>
        <row r="267">
          <cell r="A267" t="str">
            <v>Градски Трговски Центар Скопје</v>
          </cell>
          <cell r="B267">
            <v>1790</v>
          </cell>
        </row>
        <row r="268">
          <cell r="A268" t="str">
            <v>Интерпромет Тетово</v>
          </cell>
          <cell r="B268">
            <v>4500</v>
          </cell>
        </row>
        <row r="269">
          <cell r="A269" t="str">
            <v>Македонија осигурување АД Скопје - Виена Иншуренс Груп</v>
          </cell>
          <cell r="B269">
            <v>1237</v>
          </cell>
        </row>
        <row r="270">
          <cell r="A270" t="str">
            <v>Кланица со ладилник Струмица</v>
          </cell>
          <cell r="B270">
            <v>120</v>
          </cell>
        </row>
        <row r="271">
          <cell r="A271" t="str">
            <v>Фруктал МАК Скопје</v>
          </cell>
          <cell r="B271">
            <v>119</v>
          </cell>
        </row>
        <row r="272">
          <cell r="A272" t="str">
            <v>Карпош Скопје</v>
          </cell>
          <cell r="B272">
            <v>333</v>
          </cell>
        </row>
        <row r="273">
          <cell r="A273" t="str">
            <v>Лотарија на Македонија Скопје</v>
          </cell>
          <cell r="B273">
            <v>180</v>
          </cell>
        </row>
        <row r="274">
          <cell r="A274" t="str">
            <v>Пелистерка АД Скопје</v>
          </cell>
          <cell r="B274">
            <v>2619</v>
          </cell>
        </row>
        <row r="275">
          <cell r="A275" t="str">
            <v>Макпромет Штип</v>
          </cell>
          <cell r="B275">
            <v>600</v>
          </cell>
        </row>
        <row r="276">
          <cell r="A276" t="str">
            <v>Мермерен комбинат Прилеп</v>
          </cell>
          <cell r="B276">
            <v>2500</v>
          </cell>
        </row>
        <row r="277">
          <cell r="A277" t="str">
            <v>Мода Свети Николе</v>
          </cell>
          <cell r="B277">
            <v>99</v>
          </cell>
        </row>
        <row r="278">
          <cell r="A278" t="str">
            <v>Вабтек МЗТ Скопје</v>
          </cell>
          <cell r="B278">
            <v>3133</v>
          </cell>
        </row>
        <row r="279">
          <cell r="A279" t="str">
            <v>МЗТ Пумпи Скопје</v>
          </cell>
          <cell r="B279">
            <v>607</v>
          </cell>
        </row>
        <row r="280">
          <cell r="A280" t="str">
            <v>Огражден Струмица</v>
          </cell>
          <cell r="B280">
            <v>1900</v>
          </cell>
        </row>
        <row r="281">
          <cell r="A281" t="str">
            <v>Нова стоковна куќа Струмица</v>
          </cell>
          <cell r="B281">
            <v>61500</v>
          </cell>
        </row>
        <row r="282">
          <cell r="A282" t="str">
            <v>Оилко КДА Скопје</v>
          </cell>
        </row>
        <row r="283">
          <cell r="A283" t="str">
            <v>ОКТА Скопје</v>
          </cell>
          <cell r="B283">
            <v>6070.3</v>
          </cell>
        </row>
        <row r="284">
          <cell r="A284" t="str">
            <v>Оранжерии Хамзали Струмица</v>
          </cell>
        </row>
        <row r="285">
          <cell r="A285" t="str">
            <v>Пекабеско Скопје</v>
          </cell>
        </row>
        <row r="286">
          <cell r="A286" t="str">
            <v>Попова Кула Демир Капија</v>
          </cell>
          <cell r="B286">
            <v>16</v>
          </cell>
        </row>
        <row r="287">
          <cell r="A287" t="str">
            <v>Прилепска Пиварница Прилеп</v>
          </cell>
        </row>
        <row r="288">
          <cell r="A288" t="str">
            <v>Раде Кончар Скопје</v>
          </cell>
          <cell r="B288">
            <v>2000</v>
          </cell>
        </row>
        <row r="289">
          <cell r="A289" t="str">
            <v>РЖ Економика Скопје</v>
          </cell>
          <cell r="B289">
            <v>50</v>
          </cell>
        </row>
        <row r="290">
          <cell r="A290" t="str">
            <v>Либерти АД Скопје</v>
          </cell>
          <cell r="B290">
            <v>46</v>
          </cell>
        </row>
        <row r="291">
          <cell r="A291" t="str">
            <v>РЖ Техничка контрола Скопје</v>
          </cell>
          <cell r="B291">
            <v>366</v>
          </cell>
        </row>
        <row r="292">
          <cell r="A292" t="str">
            <v>РЖ Уготур Скопје</v>
          </cell>
          <cell r="B292">
            <v>20</v>
          </cell>
        </row>
        <row r="293">
          <cell r="A293" t="str">
            <v>Современ дом Прилеп</v>
          </cell>
        </row>
        <row r="294">
          <cell r="A294" t="str">
            <v>Силекс Кратово</v>
          </cell>
          <cell r="B294">
            <v>70</v>
          </cell>
        </row>
        <row r="295">
          <cell r="A295" t="str">
            <v>Славеј Скопје</v>
          </cell>
          <cell r="B295">
            <v>3100</v>
          </cell>
        </row>
        <row r="296">
          <cell r="A296" t="str">
            <v>Струмичко поле с.Василево</v>
          </cell>
        </row>
        <row r="297">
          <cell r="A297" t="str">
            <v>Сигурносно стакло Прилеп</v>
          </cell>
        </row>
        <row r="298">
          <cell r="A298" t="str">
            <v>Стопанска банка Скопје</v>
          </cell>
        </row>
        <row r="299">
          <cell r="A299" t="str">
            <v>Стокопромет Скопје</v>
          </cell>
        </row>
        <row r="300">
          <cell r="A300" t="str">
            <v>ТЕАЛ-Алумина Тетово</v>
          </cell>
        </row>
        <row r="301">
          <cell r="A301" t="str">
            <v>Технокомерц Скопје</v>
          </cell>
        </row>
        <row r="302">
          <cell r="A302" t="str">
            <v>Македонски Телеком Скопје</v>
          </cell>
        </row>
        <row r="303">
          <cell r="A303" t="str">
            <v>ГД-Тиквеш Кавадарци</v>
          </cell>
        </row>
        <row r="304">
          <cell r="A304" t="str">
            <v>НЛБ Банка АД Скопје</v>
          </cell>
        </row>
        <row r="305">
          <cell r="A305" t="str">
            <v>Транскоп-Патнички сооб. Битола</v>
          </cell>
        </row>
        <row r="306">
          <cell r="A306" t="str">
            <v>Трготекстил малопродажба Скопје</v>
          </cell>
        </row>
        <row r="307">
          <cell r="A307" t="str">
            <v>Универзална Инвестициона Банка Скопје</v>
          </cell>
        </row>
        <row r="308">
          <cell r="A308" t="str">
            <v>Цементарница УСЈЕ Скопје</v>
          </cell>
        </row>
        <row r="309">
          <cell r="A309" t="str">
            <v>Триглав осигурување Скопје</v>
          </cell>
        </row>
        <row r="310">
          <cell r="A310" t="str">
            <v>Ветекс Велес</v>
          </cell>
        </row>
        <row r="311">
          <cell r="A311" t="str">
            <v>ЖАС Скопје</v>
          </cell>
        </row>
        <row r="312">
          <cell r="A312" t="str">
            <v>Жито Караорман Кичево</v>
          </cell>
        </row>
        <row r="313">
          <cell r="A313" t="str">
            <v>Жито Полог Тетово</v>
          </cell>
        </row>
        <row r="314">
          <cell r="A314" t="str">
            <v>Задолжителна котација - приоритетни акции</v>
          </cell>
        </row>
        <row r="315">
          <cell r="A315" t="str">
            <v>Стопанска банка Скопје</v>
          </cell>
        </row>
        <row r="316">
          <cell r="A316" t="str">
            <v>Редовен пазар</v>
          </cell>
        </row>
        <row r="317">
          <cell r="A317" t="str">
            <v>Пазар на акционерски друштва со посебни обврски за известување - обични акции</v>
          </cell>
        </row>
        <row r="318">
          <cell r="A318" t="str">
            <v>Шпаркасе банка Македонија АД Скопје</v>
          </cell>
        </row>
        <row r="319">
          <cell r="A319" t="str">
            <v>Слободен пазар - обични акции</v>
          </cell>
        </row>
        <row r="320">
          <cell r="A320" t="str">
            <v>Неметали Тетово</v>
          </cell>
        </row>
        <row r="321">
          <cell r="A321" t="str">
            <v>Пелагонија Транс Прилеп</v>
          </cell>
        </row>
        <row r="322">
          <cell r="A322" t="str">
            <v>АрцелорМиттал (ХРМ) АД Скопје - долгорочно суспендирано од котација</v>
          </cell>
        </row>
        <row r="323">
          <cell r="A323" t="str">
            <v>Солун 2001 Гевгелија</v>
          </cell>
        </row>
        <row r="324">
          <cell r="A324" t="str">
            <v>ЗИМ Скопје</v>
          </cell>
        </row>
        <row r="325">
          <cell r="A325" t="str">
            <v>Вкупен промет на сите пазарни сегменти: 8.967.084,00</v>
          </cell>
        </row>
        <row r="326">
          <cell r="A326" t="str">
            <v>МБИ10</v>
          </cell>
        </row>
        <row r="327">
          <cell r="A327" t="str">
            <v>ОМБ</v>
          </cell>
        </row>
        <row r="328">
          <cell r="A328" t="str">
            <v>1 EUR = 61,5047 МКД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Фершпед Скопје</v>
          </cell>
        </row>
        <row r="10">
          <cell r="A10" t="str">
            <v>Гранит Скопје</v>
          </cell>
        </row>
        <row r="11">
          <cell r="A11" t="str">
            <v>Интернешнел Хотелс АД Скопје</v>
          </cell>
        </row>
        <row r="12">
          <cell r="A12" t="str">
            <v>ДС Смитх АД Скопје</v>
          </cell>
        </row>
        <row r="13">
          <cell r="A13" t="str">
            <v>Макотекс Скопје</v>
          </cell>
        </row>
        <row r="14">
          <cell r="A14" t="str">
            <v>Макошпед Скопје</v>
          </cell>
        </row>
        <row r="15">
          <cell r="A15" t="str">
            <v>Хотели Метропол Охрид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  <cell r="B22">
            <v>7209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  <cell r="B33">
            <v>560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 Македонија - државна обврзница DO2023/12-0725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Р.Македонија државна обврзница DO2022/16-1237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DO2017/35-1132dk</v>
          </cell>
        </row>
        <row r="46">
          <cell r="A46" t="str">
            <v>Р. Македонија - државна обврзница DO2022/03-0337</v>
          </cell>
        </row>
        <row r="47">
          <cell r="A47" t="str">
            <v>Р. Македонија - државна обврзница DO2023/04-0338</v>
          </cell>
        </row>
        <row r="48">
          <cell r="A48" t="str">
            <v>Р. Македонија - државна обврзница DO2014/16-0724dk</v>
          </cell>
        </row>
        <row r="49">
          <cell r="A49" t="str">
            <v>Р. Македонија - државна обврзница DO2016/26-1131dk</v>
          </cell>
        </row>
        <row r="50">
          <cell r="A50" t="str">
            <v>Р. Македонија - државна обврзница DO2020/14-1223</v>
          </cell>
        </row>
        <row r="51">
          <cell r="A51" t="str">
            <v>Р. Македонија - државна обврзница DO2015/44-1230dk</v>
          </cell>
        </row>
        <row r="52">
          <cell r="A52" t="str">
            <v>Р. Македонија - државна обврзница DO2020/15-1235dk</v>
          </cell>
        </row>
        <row r="53">
          <cell r="A53" t="str">
            <v>Р. Македонија - државна обврзница DO2021/04-0336</v>
          </cell>
        </row>
        <row r="54">
          <cell r="A54" t="str">
            <v>Р. Македонија - државна обврзница DO2017/14-0532dk</v>
          </cell>
        </row>
        <row r="55">
          <cell r="A55" t="str">
            <v>Р. Македонија - државна обврзница DO2015/19-0630dk</v>
          </cell>
        </row>
        <row r="56">
          <cell r="A56" t="str">
            <v>Р.Македонија - државна обврзница DO2022/09-0837</v>
          </cell>
        </row>
        <row r="57">
          <cell r="A57" t="str">
            <v>Р.Македонија - државна обврзница DO2022/10-0837dk</v>
          </cell>
        </row>
        <row r="58">
          <cell r="A58" t="str">
            <v>Р. Македонија - државна обврзница DO2023/14-0838</v>
          </cell>
        </row>
        <row r="59">
          <cell r="A59" t="str">
            <v>Р. Македонија - државна обврзница DO2014/19-0924dk</v>
          </cell>
        </row>
        <row r="60">
          <cell r="A60" t="str">
            <v>Р. Македонија - државна обврзница DO2014/38-1224</v>
          </cell>
        </row>
        <row r="61">
          <cell r="A61" t="str">
            <v>Р. Македонија - државна обврзница DO2020/03-0325</v>
          </cell>
        </row>
        <row r="62">
          <cell r="A62" t="str">
            <v>Р. Македонија - државна обврзница DO2014/13-0624dk</v>
          </cell>
        </row>
        <row r="63">
          <cell r="A63" t="str">
            <v>Р. Македонија - државна обврзница ДО2021/13-0836</v>
          </cell>
        </row>
        <row r="64">
          <cell r="A64" t="str">
            <v>Р. Македонија - државна обврзница DO2017/30-1032dk</v>
          </cell>
        </row>
        <row r="65">
          <cell r="A65" t="str">
            <v>Р. Македонија - државна обврзница DO2020/12-1125</v>
          </cell>
        </row>
        <row r="66">
          <cell r="A66" t="str">
            <v>Р. Македонија - државна обврзница DO2019/16-1234dk</v>
          </cell>
        </row>
        <row r="67">
          <cell r="A67" t="str">
            <v>Р. Македонија - државна обврзница DO2017/12-0432dk</v>
          </cell>
        </row>
        <row r="68">
          <cell r="A68" t="str">
            <v>Р. Македонија - државна обврзница DO2017/19-0732dk</v>
          </cell>
        </row>
        <row r="69">
          <cell r="A69" t="str">
            <v>Р. Македонија - државна обврзница DO2015/30-0825dk</v>
          </cell>
        </row>
        <row r="70">
          <cell r="A70" t="str">
            <v>Р. Македонија - државна обврзница DO2015/31-0830dk</v>
          </cell>
        </row>
        <row r="71">
          <cell r="A71" t="str">
            <v>Р. Македонија - државна обврзница DO2020/07-0850dk</v>
          </cell>
        </row>
        <row r="72">
          <cell r="A72" t="str">
            <v>Р. Македонија - државна обврзница DO2019/05-0324</v>
          </cell>
        </row>
        <row r="73">
          <cell r="A73" t="str">
            <v>Р. Македонија - државна обврзница DO2016/11-0426dk</v>
          </cell>
        </row>
        <row r="74">
          <cell r="A74" t="str">
            <v>Р. Македонија - државна обврзница DO2015/17-0530dk</v>
          </cell>
        </row>
        <row r="75">
          <cell r="A75" t="str">
            <v>Р. Македонија - државна обврзница DO2018/12-0633</v>
          </cell>
        </row>
        <row r="76">
          <cell r="A76" t="str">
            <v>Р. Македонија - државна обврзница DO2017/26-0932dk</v>
          </cell>
        </row>
        <row r="77">
          <cell r="A77" t="str">
            <v>Р.Македонија - државна обврзница DO2023/15-0938</v>
          </cell>
        </row>
        <row r="78">
          <cell r="A78" t="str">
            <v>Р.Македонија - државна обврзница DO2023/16-0938dk</v>
          </cell>
        </row>
        <row r="79">
          <cell r="A79" t="str">
            <v>Р. Македонија - државна обврзница DO2019/15-1134</v>
          </cell>
          <cell r="B79">
            <v>105.3</v>
          </cell>
        </row>
        <row r="80">
          <cell r="A80" t="str">
            <v>Р. Македонија - државна обврзница DO2017/38-1232dk</v>
          </cell>
        </row>
        <row r="81">
          <cell r="A81" t="str">
            <v>Р. Македонија - државна обврзница DO2018/10-0333dk</v>
          </cell>
        </row>
        <row r="82">
          <cell r="A82" t="str">
            <v>Р. Македонија - државна обврзница DO2017/16-0632dk</v>
          </cell>
        </row>
        <row r="83">
          <cell r="A83" t="str">
            <v>Р. Македонија - државна обврзница DO2016/15-0731dk</v>
          </cell>
        </row>
        <row r="84">
          <cell r="A84" t="str">
            <v>Р. Македонија - државна обврзница DO2019/11-0834dk</v>
          </cell>
        </row>
        <row r="85">
          <cell r="A85" t="str">
            <v>Р. Македонија - државна обврзница DO2015/40-1030dk</v>
          </cell>
        </row>
        <row r="86">
          <cell r="A86" t="str">
            <v>Р. Македонија - државна обврзница DO2023/02-0238</v>
          </cell>
        </row>
        <row r="87">
          <cell r="A87" t="str">
            <v>Р. Македонија - државна обврзница DO2017/08-0332dk</v>
          </cell>
        </row>
        <row r="88">
          <cell r="A88" t="str">
            <v>Р. Македонија - државна обврзница DO2016/13-0631dk</v>
          </cell>
        </row>
        <row r="89">
          <cell r="A89" t="str">
            <v>Р. Македонија - државна обврзница DO2015/23-0725</v>
          </cell>
        </row>
        <row r="90">
          <cell r="A90" t="str">
            <v>Р. Македонија - државна обврзница DO2015/24-0725dk</v>
          </cell>
        </row>
        <row r="91">
          <cell r="A91" t="str">
            <v>Р. Македонија - државна обврзница DO2015/25-0730dk</v>
          </cell>
        </row>
        <row r="92">
          <cell r="A92" t="str">
            <v>Р. Македонија - државна обврзница DO2018/17-0833dk</v>
          </cell>
        </row>
        <row r="93">
          <cell r="A93" t="str">
            <v>Р.Македонија државна обврзница DO2022/13-0937</v>
          </cell>
        </row>
        <row r="94">
          <cell r="A94" t="str">
            <v>Р.Македонија државна обврзница DO2022/12-0937dk</v>
          </cell>
        </row>
        <row r="95">
          <cell r="A95" t="str">
            <v>Р. Македонија - државна обврзница DO2017/22-0832dk</v>
          </cell>
        </row>
        <row r="96">
          <cell r="A96" t="str">
            <v>Р. Македонија - државна обврзница DO2018/02-0128</v>
          </cell>
        </row>
        <row r="97">
          <cell r="A97" t="str">
            <v>Р. Македонија - државна обврзница DO2018/03-0133dk</v>
          </cell>
        </row>
        <row r="98">
          <cell r="A98" t="str">
            <v>Р. Македонија - државна обврзница DO2016/05-0226</v>
          </cell>
        </row>
        <row r="99">
          <cell r="A99" t="str">
            <v>Р. Македонија - државна обврзница DO2016/06-0226dk</v>
          </cell>
        </row>
        <row r="100">
          <cell r="A100" t="str">
            <v>Р. Македонија - државна обврзница DO2016/07-0231dk</v>
          </cell>
        </row>
        <row r="101">
          <cell r="A101" t="str">
            <v>Р. Македонија - државна обврзница DO2023/06-0538</v>
          </cell>
        </row>
        <row r="102">
          <cell r="A102" t="str">
            <v>Р. Македонија - државна обврзница DO2017/02-0132dk</v>
          </cell>
        </row>
        <row r="103">
          <cell r="A103" t="str">
            <v>Р. Македонија - државна обврзница DO2023/01-0138</v>
          </cell>
        </row>
        <row r="104">
          <cell r="A104" t="str">
            <v>Р. Македонија - државна обврзница DO2015/05-0230dk</v>
          </cell>
        </row>
        <row r="105">
          <cell r="A105" t="str">
            <v>Р. Македонија - државна обврзница DO2015/09-0325</v>
          </cell>
        </row>
        <row r="106">
          <cell r="A106" t="str">
            <v>Р. Македонија - државна обврзница DO2015/10-0330dk</v>
          </cell>
        </row>
        <row r="107">
          <cell r="A107" t="str">
            <v>Р. Македонија - државна обврзница DO2022/05-0537</v>
          </cell>
        </row>
        <row r="108">
          <cell r="A108" t="str">
            <v>Р. Македонија - државна обврзница DO2022/01-0137</v>
          </cell>
        </row>
        <row r="109">
          <cell r="A109" t="str">
            <v>Р. Македонија - државна обврзница DO2020/02-0235</v>
          </cell>
        </row>
        <row r="110">
          <cell r="A110" t="str">
            <v>Р. Македонија - државна обврзница DO2023/11-0738</v>
          </cell>
        </row>
        <row r="111">
          <cell r="A111" t="str">
            <v>Р. Македонија - државна обврзница DO2022/14-1037</v>
          </cell>
        </row>
        <row r="112">
          <cell r="A112" t="str">
            <v>Р. Македонија - државна обврзница DO2016/01-0126dk</v>
          </cell>
        </row>
        <row r="113">
          <cell r="A113" t="str">
            <v>Р. Македонија - државна обврзница DO2016/02-0131dk</v>
          </cell>
        </row>
        <row r="114">
          <cell r="A114" t="str">
            <v>Р. Македонија - државна обврзница DO2021/01-0136</v>
          </cell>
        </row>
        <row r="115">
          <cell r="A115" t="str">
            <v>Р. Македонија - државна обврзница DO2019/03-0224dk</v>
          </cell>
        </row>
        <row r="116">
          <cell r="A116" t="str">
            <v>Р. Македонија - државна обврзница DO2016/12-0431dk</v>
          </cell>
        </row>
        <row r="117">
          <cell r="A117" t="str">
            <v>Р. Македонија - државна обврзница DO2022/04-0437dk</v>
          </cell>
        </row>
        <row r="118">
          <cell r="A118" t="str">
            <v>Р. Македонија - државна обврзница DO2021/09-0526</v>
          </cell>
        </row>
        <row r="119">
          <cell r="A119" t="str">
            <v>Р. Македонија - државна обврзница DO2016/23-1031dk</v>
          </cell>
        </row>
        <row r="120">
          <cell r="A120" t="str">
            <v>Р. Македонија - државна обврзница DO2021/15-1036</v>
          </cell>
        </row>
        <row r="121">
          <cell r="A121" t="str">
            <v>Р. Македонија - државна обврзница DO2018/08-0233dk</v>
          </cell>
        </row>
        <row r="122">
          <cell r="A122" t="str">
            <v>Р. Македонија - државна обврзница DO2021/07-0436</v>
          </cell>
        </row>
        <row r="123">
          <cell r="A123" t="str">
            <v>Р. Македонија - државна обврзница DO2021/08-0436dk</v>
          </cell>
        </row>
        <row r="124">
          <cell r="A124" t="str">
            <v>Р.Македонија - државна обврзница DO2023/08-0638</v>
          </cell>
        </row>
        <row r="125">
          <cell r="A125" t="str">
            <v>Р.Македонија - државна обврзница DO2023/09-0638dk</v>
          </cell>
        </row>
        <row r="126">
          <cell r="A126" t="str">
            <v>Р. Македонија - државна обврзница DO2020/08-1030</v>
          </cell>
        </row>
        <row r="127">
          <cell r="A127" t="str">
            <v>Р. Македонија - државна обврзница DO2020/09-1030dk</v>
          </cell>
        </row>
        <row r="128">
          <cell r="A128" t="str">
            <v>Р.Македонија - државна обврзница DO2023/03-225</v>
          </cell>
        </row>
        <row r="129">
          <cell r="A129" t="str">
            <v>Р. Македонија - државна обврзница DO2017/06-0232dk</v>
          </cell>
        </row>
        <row r="130">
          <cell r="A130" t="str">
            <v>Р. Македонија - државна обврзница DO2015/15-0430dk</v>
          </cell>
        </row>
        <row r="131">
          <cell r="A131" t="str">
            <v>Р. Македонија - државна обврзница DO2019/08-0524</v>
          </cell>
        </row>
        <row r="132">
          <cell r="A132" t="str">
            <v>Р. Македонија - државна обврзница DO2019/09-0534</v>
          </cell>
        </row>
        <row r="133">
          <cell r="A133" t="str">
            <v>Р.Македонија - државна обврзница DO2022/06-0637</v>
          </cell>
        </row>
        <row r="134">
          <cell r="A134" t="str">
            <v>Р.Македонија - државна обврзница DO2022/07-0637dk</v>
          </cell>
        </row>
        <row r="135">
          <cell r="A135" t="str">
            <v>Р. Македонија - државна обврзница DO2021/14-0936</v>
          </cell>
        </row>
        <row r="136">
          <cell r="A136" t="str">
            <v>Р. Македонија - државна обврзница DO2014/27-1024</v>
          </cell>
        </row>
        <row r="137">
          <cell r="A137" t="str">
            <v>Р. Македонија - државна обврзница DO2014/28-1024dk</v>
          </cell>
        </row>
        <row r="138">
          <cell r="A138" t="str">
            <v>Р. Македонија - државна обврзница DO2021/17-1224</v>
          </cell>
        </row>
        <row r="139">
          <cell r="A139" t="str">
            <v>Р. Македонија - државна обврзница DO2016/08-0331dk</v>
          </cell>
        </row>
        <row r="140">
          <cell r="A140" t="str">
            <v>Р. Македонија - државна обврзница DO2021/10-0636</v>
          </cell>
        </row>
        <row r="141">
          <cell r="A141" t="str">
            <v>Р. Македонија - државна обврзница DO2021/11-0636dk</v>
          </cell>
        </row>
        <row r="142">
          <cell r="A142" t="str">
            <v>Р. Македонија - државна обврзница DO2017/24-0832dk</v>
          </cell>
        </row>
        <row r="143">
          <cell r="A143" t="str">
            <v>Р. Македонија - државна обврзница DO2015/37-0930dk</v>
          </cell>
        </row>
        <row r="144">
          <cell r="A144" t="str">
            <v>Р. Македонија - државна обврзница DO2019/13-1024</v>
          </cell>
        </row>
        <row r="145">
          <cell r="A145" t="str">
            <v>Р.Македонија државна обврзница DO2022/15-1137</v>
          </cell>
        </row>
        <row r="146">
          <cell r="A146" t="str">
            <v>Р. Македонија - државна обврзница DO2015/45-1225dk</v>
          </cell>
        </row>
        <row r="147">
          <cell r="A147" t="str">
            <v>Р. Македонија - државна обврзница DO2021/03-0224</v>
          </cell>
        </row>
        <row r="148">
          <cell r="A148" t="str">
            <v>Р. Македонија - државна обврзница DO2019/06-0449dk</v>
          </cell>
        </row>
        <row r="149">
          <cell r="A149" t="str">
            <v>Р. Македонија - државна обврзница DO2020/06-0635</v>
          </cell>
        </row>
        <row r="150">
          <cell r="A150" t="str">
            <v>Р. Македонија - државна обврзница DO2019/10-0749dk</v>
          </cell>
        </row>
        <row r="151">
          <cell r="A151" t="str">
            <v>Р. Македонија - државна обврзница DO2016/17-0826</v>
          </cell>
        </row>
        <row r="152">
          <cell r="A152" t="str">
            <v>Р. Македонија - државна обврзница DO2016/18-0826dk</v>
          </cell>
        </row>
        <row r="153">
          <cell r="A153" t="str">
            <v>Р. Македонија - државна обврзница DO2016/19-0831dk</v>
          </cell>
        </row>
        <row r="154">
          <cell r="A154" t="str">
            <v>Р. Македонија - државна обврзница DО2022/11-0837dk</v>
          </cell>
        </row>
        <row r="155">
          <cell r="A155" t="str">
            <v>Р. Македонија - државна обврзница DO2018/23-1048dk</v>
          </cell>
        </row>
        <row r="156">
          <cell r="A156" t="str">
            <v>Р. Македонија - државна обврзница DO2021/16-1136dk</v>
          </cell>
        </row>
        <row r="157">
          <cell r="A157" t="str">
            <v>Р. Македонија - државна обврзница DO2018/15-0748dk</v>
          </cell>
        </row>
        <row r="158">
          <cell r="A158" t="str">
            <v>Р. Македонија - државна обврзница DO2019/12-0934</v>
          </cell>
        </row>
        <row r="159">
          <cell r="A159" t="str">
            <v>Р. Македонија - државна обврзница DO2017/32-1032dk</v>
          </cell>
        </row>
        <row r="160">
          <cell r="A160" t="str">
            <v>Р. Македонија - државна обврзница DO2020/13-1123dk</v>
          </cell>
        </row>
        <row r="161">
          <cell r="A161" t="str">
            <v>Р. Македонија - државна обврзница DO2015/42-1125dk</v>
          </cell>
        </row>
        <row r="162">
          <cell r="A162" t="str">
            <v>Р. Македонија - државна обврзница DO2015/43-1130dk</v>
          </cell>
        </row>
        <row r="163">
          <cell r="A163" t="str">
            <v>Р. Македонија - државна обврзница DO2017/20-0732dk</v>
          </cell>
        </row>
        <row r="164">
          <cell r="A164" t="str">
            <v>Р. Македонија - државна обврзница DO2023/13-0738</v>
          </cell>
        </row>
        <row r="165">
          <cell r="A165" t="str">
            <v>Р. Македонија - државна обврзница DO2015/32-0825</v>
          </cell>
        </row>
        <row r="166">
          <cell r="A166" t="str">
            <v>Р. Македонија - државна обврзница DO2015/33-0830dk</v>
          </cell>
        </row>
        <row r="167">
          <cell r="A167" t="str">
            <v>Р. Македонија - државна обврзница DO2018/19-0933</v>
          </cell>
        </row>
        <row r="168">
          <cell r="A168" t="str">
            <v>Р. Македонија - државна обврзница DO2018/20-0933dk</v>
          </cell>
        </row>
        <row r="169">
          <cell r="A169" t="str">
            <v>Р. Македонија - државна обврзница DO2015/18-0525dk</v>
          </cell>
        </row>
        <row r="170">
          <cell r="A170" t="str">
            <v>Р. Македонија - државна обврзница DO2018/13-0633dk</v>
          </cell>
        </row>
        <row r="171">
          <cell r="A171" t="str">
            <v>Р. Македонија - државна обврзница DO2014/18-0824dk</v>
          </cell>
        </row>
        <row r="172">
          <cell r="A172" t="str">
            <v>Р. Македонија - државна обврзница DO2017/27-0932dk</v>
          </cell>
        </row>
        <row r="173">
          <cell r="A173" t="str">
            <v>Р.Македонија - државна обврзница DO2023/17-0938</v>
          </cell>
        </row>
        <row r="174">
          <cell r="A174" t="str">
            <v>Р. Македонија - државна обврзница DO2016/03-0131dk</v>
          </cell>
        </row>
        <row r="175">
          <cell r="A175" t="str">
            <v>Р. Македонија - државна обврзница DO2017/17-0632dk</v>
          </cell>
        </row>
        <row r="176">
          <cell r="A176" t="str">
            <v>Р. Македонија - државна обврзница DO2016/21-0931dk</v>
          </cell>
        </row>
        <row r="177">
          <cell r="A177" t="str">
            <v>Р. Македонија - државна обврзница DO2018/27-1133dk</v>
          </cell>
          <cell r="B177">
            <v>106.8</v>
          </cell>
        </row>
        <row r="178">
          <cell r="A178" t="str">
            <v>Р. Македонија - државна обврзница DO2016/29-1231dk</v>
          </cell>
        </row>
        <row r="179">
          <cell r="A179" t="str">
            <v>Р. Македонија - државна обврзница DO2014/02-0124</v>
          </cell>
        </row>
        <row r="180">
          <cell r="A180" t="str">
            <v>Р. Македонија - државна обврзница DO2014/03-0124dk</v>
          </cell>
        </row>
        <row r="181">
          <cell r="A181" t="str">
            <v>Р. Македонија - државна обврзница DO2017/10-0332dk</v>
          </cell>
        </row>
        <row r="182">
          <cell r="A182" t="str">
            <v>Р. Македонија - државна обврзница DO2016/14-0631dk</v>
          </cell>
        </row>
        <row r="183">
          <cell r="A183" t="str">
            <v>Р. Македонија - државна обврзница DO2015/27-0725dk</v>
          </cell>
        </row>
        <row r="184">
          <cell r="A184" t="str">
            <v>Р. Македонија - државна обврзница DO2015/28-0730dk</v>
          </cell>
        </row>
        <row r="185">
          <cell r="A185" t="str">
            <v>Р. Македонија - државна обврзница DO2017/36-1132dk</v>
          </cell>
        </row>
        <row r="186">
          <cell r="A186" t="str">
            <v>Р. Македонија - државна обврзница DO2016/09-0326</v>
          </cell>
        </row>
        <row r="187">
          <cell r="A187" t="str">
            <v>Р. Македонија - државна обврзница DO2014/17-0724dk</v>
          </cell>
        </row>
        <row r="188">
          <cell r="A188" t="str">
            <v>Р. Македонија - државна обврзница DO2015/38-0925dk</v>
          </cell>
        </row>
        <row r="189">
          <cell r="A189" t="str">
            <v>Р. Македонија - државна обврзница DO2015/39-0930dk</v>
          </cell>
        </row>
        <row r="190">
          <cell r="A190" t="str">
            <v>Р. Македонија - државна обврзница DO2015/46-1225dk</v>
          </cell>
        </row>
        <row r="191">
          <cell r="A191" t="str">
            <v>Р. Македонија - државна обврзница DO2018/04-0133</v>
          </cell>
        </row>
        <row r="192">
          <cell r="A192" t="str">
            <v>Р. Македонија - државна обврзница DO2018/05-0133dk</v>
          </cell>
        </row>
        <row r="193">
          <cell r="A193" t="str">
            <v>Р. Македонија - државна обврзница DO2015/20-0625</v>
          </cell>
        </row>
        <row r="194">
          <cell r="A194" t="str">
            <v>Р. Македонија - државна обврзница DO2015/21-0625dk</v>
          </cell>
        </row>
        <row r="195">
          <cell r="A195" t="str">
            <v>Р. Македонија - државна обврзница DO2015/22-0630dk</v>
          </cell>
        </row>
        <row r="196">
          <cell r="A196" t="str">
            <v>Р. Македонија - државна обврзница DO2017/05-0132dk</v>
          </cell>
        </row>
        <row r="197">
          <cell r="A197" t="str">
            <v>Р. Македонија - државна обврзница DO2015/08-0230dk</v>
          </cell>
        </row>
        <row r="198">
          <cell r="A198" t="str">
            <v>Р. Македонија - државна обврзница DO2015/12-0325</v>
          </cell>
        </row>
        <row r="199">
          <cell r="A199" t="str">
            <v>Р. Македонија - државна обврзница DO2015/13-0330dk</v>
          </cell>
        </row>
        <row r="200">
          <cell r="A200" t="str">
            <v>Р. Македонија - државна обврзница DO2018/11-0448dk</v>
          </cell>
        </row>
        <row r="201">
          <cell r="A201" t="str">
            <v>Р.Македонија - државна обврзница DO2023/07-0538dk</v>
          </cell>
        </row>
        <row r="202">
          <cell r="A202" t="str">
            <v>Р. Македонија - државна обврзница DO2022/02-0125</v>
          </cell>
        </row>
        <row r="203">
          <cell r="A203" t="str">
            <v>Р. Македонија - државна обврзница DO2015/34-0825</v>
          </cell>
        </row>
        <row r="204">
          <cell r="A204" t="str">
            <v>Р. Македонија - државна обврзница DO2015/35-0825dk</v>
          </cell>
        </row>
        <row r="205">
          <cell r="A205" t="str">
            <v>Р. Македонија - државна обврзница DO2015/36-0830dk</v>
          </cell>
        </row>
        <row r="206">
          <cell r="A206" t="str">
            <v>Р. Македонија - државна обврзница DO2016/04-0131dk</v>
          </cell>
        </row>
        <row r="207">
          <cell r="A207" t="str">
            <v>Р. Македонија - државна обврзница DO2019/04-0234</v>
          </cell>
          <cell r="B207">
            <v>107.1</v>
          </cell>
        </row>
        <row r="208">
          <cell r="A208" t="str">
            <v>Р. Македонија - државна обврзница DO2016/16-0731dk</v>
          </cell>
        </row>
        <row r="209">
          <cell r="A209" t="str">
            <v>Р. Македонија - државна обврзница DO2015/03-0125</v>
          </cell>
        </row>
        <row r="210">
          <cell r="A210" t="str">
            <v>Р. Македонија - државна обврзница DO2015/04-0125dk</v>
          </cell>
        </row>
        <row r="211">
          <cell r="A211" t="str">
            <v>Р. Македонија - државна обврзница DO2017/18-0632dk</v>
          </cell>
        </row>
        <row r="212">
          <cell r="A212" t="str">
            <v>Р. Македонија - државна обврзница DO2023/10-0638dk</v>
          </cell>
        </row>
        <row r="213">
          <cell r="A213" t="str">
            <v>Р. Македонија - држaвна обврзница DO2021/12-0724</v>
          </cell>
        </row>
        <row r="214">
          <cell r="A214" t="str">
            <v>Р. Македонија - државна обврзница DO2016/22-0931dk</v>
          </cell>
        </row>
        <row r="215">
          <cell r="A215" t="str">
            <v>Р. Македонија - државна обврзница DO2015/41-1030dk</v>
          </cell>
        </row>
        <row r="216">
          <cell r="A216" t="str">
            <v>Р. Македонија - државна обврзница DO2020/10-1035</v>
          </cell>
        </row>
        <row r="217">
          <cell r="A217" t="str">
            <v>Р. Македонија - државна обврзница DO2022/17-1237</v>
          </cell>
        </row>
        <row r="218">
          <cell r="A218" t="str">
            <v>Р. Македонија - државна обврзница DO2022/18-1237dk</v>
          </cell>
        </row>
        <row r="219">
          <cell r="A219" t="str">
            <v>Р. Македонија - државна обврзница DO2020/01-0150dk</v>
          </cell>
        </row>
        <row r="220">
          <cell r="A220" t="str">
            <v>Р. Македонија - државна обврзница DO2017/11-0332dk</v>
          </cell>
        </row>
        <row r="221">
          <cell r="A221" t="str">
            <v>Р. Македонија - државна обврзница DO2023/05-0338</v>
          </cell>
        </row>
        <row r="222">
          <cell r="A222" t="str">
            <v>Р. Македонија - државна обврзница DO2023/06-0338dk</v>
          </cell>
        </row>
        <row r="223">
          <cell r="A223" t="str">
            <v>Р. Македонија - државна обврзница DO2020/04-0450dk</v>
          </cell>
          <cell r="B223">
            <v>100</v>
          </cell>
        </row>
        <row r="224">
          <cell r="A224" t="str">
            <v>Р. Македонија - државна обврзница DO2022/08-0637</v>
          </cell>
        </row>
        <row r="225">
          <cell r="A225" t="str">
            <v>Р. Македонија - државна обврзница DO2015/29-0730dk</v>
          </cell>
        </row>
        <row r="226">
          <cell r="A226" t="str">
            <v>Р. Македонија - државна обврзница DO2014/30-1024dk</v>
          </cell>
        </row>
        <row r="227">
          <cell r="A227" t="str">
            <v>Р. Македонија - државна обврзница DO2017/37-1132dk</v>
          </cell>
        </row>
        <row r="228">
          <cell r="A228" t="str">
            <v>Р. Македонија - државна обврзница DO2019/02-0149dk</v>
          </cell>
        </row>
        <row r="229">
          <cell r="A229" t="str">
            <v>Р. Македонија - државна обврзница DO2016/10-0331dk</v>
          </cell>
        </row>
        <row r="230">
          <cell r="A230" t="str">
            <v>Р. Македонија - државна обврзница DO2019/14-1049dk</v>
          </cell>
          <cell r="B230">
            <v>103.5</v>
          </cell>
        </row>
        <row r="231">
          <cell r="A231" t="str">
            <v>Р. Македонија - државна обврзница DO2020/19-1223</v>
          </cell>
        </row>
        <row r="232">
          <cell r="A232" t="str">
            <v>Р. Македонија - државна обврзница DO2020/20-1223dk</v>
          </cell>
        </row>
        <row r="233">
          <cell r="A233" t="str">
            <v>Р. Македонија - денационализација 13</v>
          </cell>
          <cell r="B233">
            <v>99</v>
          </cell>
        </row>
        <row r="234">
          <cell r="A234" t="str">
            <v>Р. Македонија - денационализација 14</v>
          </cell>
          <cell r="B234">
            <v>99</v>
          </cell>
        </row>
        <row r="235">
          <cell r="A235" t="str">
            <v>Р. Македонија - денационализација 15</v>
          </cell>
          <cell r="B235">
            <v>97.7</v>
          </cell>
        </row>
        <row r="236">
          <cell r="A236" t="str">
            <v>Р. Македонија - денационализација 16</v>
          </cell>
          <cell r="B236">
            <v>94</v>
          </cell>
        </row>
        <row r="237">
          <cell r="A237" t="str">
            <v>Р. Македонија - денационализација 17</v>
          </cell>
          <cell r="B237">
            <v>90</v>
          </cell>
        </row>
        <row r="238">
          <cell r="A238" t="str">
            <v>Р. Македонија - денационализација 18</v>
          </cell>
          <cell r="B238">
            <v>93.87</v>
          </cell>
        </row>
        <row r="239">
          <cell r="A239" t="str">
            <v>Р. Македонија - денационализација 19</v>
          </cell>
          <cell r="B239">
            <v>92</v>
          </cell>
        </row>
        <row r="240">
          <cell r="A240" t="str">
            <v>Р. Македонија - денационализација 20</v>
          </cell>
          <cell r="B240">
            <v>94</v>
          </cell>
        </row>
        <row r="241">
          <cell r="A241" t="str">
            <v>Р. Македонија - денационализација 21</v>
          </cell>
          <cell r="B241">
            <v>93</v>
          </cell>
        </row>
        <row r="242">
          <cell r="A242" t="str">
            <v>СН Осигурителен Брокер АД Битола - корпоративна обврзница I емисија</v>
          </cell>
          <cell r="B242">
            <v>100</v>
          </cell>
        </row>
        <row r="243">
          <cell r="A243" t="str">
            <v>ТТК банка АД Скопје - корпоративна обврзница I емисија</v>
          </cell>
          <cell r="B243">
            <v>100</v>
          </cell>
        </row>
        <row r="244">
          <cell r="A244" t="str">
            <v>ТТК банка АД Скопје - корпоративна обврзница II емисија</v>
          </cell>
        </row>
        <row r="245">
          <cell r="A245" t="str">
            <v>Берзанска котација - други хартии од вредност</v>
          </cell>
        </row>
        <row r="246">
          <cell r="A246" t="str">
            <v>Универзална Инвестициона Банка Скопје - перпетуални обврзници</v>
          </cell>
          <cell r="B246">
            <v>100</v>
          </cell>
        </row>
        <row r="247">
          <cell r="A247" t="str">
            <v>Универзална Инвестициона Банка Скопје - перпетуални обврзници - втора емисија</v>
          </cell>
        </row>
        <row r="248">
          <cell r="A248" t="str">
            <v>Задолжителна котација - обични акции</v>
          </cell>
        </row>
        <row r="249">
          <cell r="A249" t="str">
            <v>Адинг Скопје</v>
          </cell>
          <cell r="B249">
            <v>865</v>
          </cell>
        </row>
        <row r="250">
          <cell r="A250" t="str">
            <v>Агромеханика Скопје</v>
          </cell>
          <cell r="B250">
            <v>300</v>
          </cell>
        </row>
        <row r="251">
          <cell r="A251" t="str">
            <v>Ангропромет-Тиквешанка Кавадарци</v>
          </cell>
          <cell r="B251">
            <v>750</v>
          </cell>
        </row>
        <row r="252">
          <cell r="A252" t="str">
            <v>Аутомакедонија Скопје</v>
          </cell>
          <cell r="B252">
            <v>2950</v>
          </cell>
        </row>
        <row r="253">
          <cell r="A253" t="str">
            <v>Рудници Бањани Скопје</v>
          </cell>
          <cell r="B253">
            <v>603</v>
          </cell>
        </row>
        <row r="254">
          <cell r="A254" t="str">
            <v>Кристал 1923 АД Велес</v>
          </cell>
          <cell r="B254">
            <v>158</v>
          </cell>
        </row>
        <row r="255">
          <cell r="A255" t="str">
            <v>БИМ Свети Николе</v>
          </cell>
          <cell r="B255">
            <v>15550</v>
          </cell>
        </row>
        <row r="256">
          <cell r="A256" t="str">
            <v>ФЗЦ 11 Октомври Куманово</v>
          </cell>
          <cell r="B256">
            <v>200</v>
          </cell>
        </row>
        <row r="257">
          <cell r="A257" t="str">
            <v>Централна кооперативна банка Скопје</v>
          </cell>
          <cell r="B257">
            <v>350</v>
          </cell>
        </row>
        <row r="258">
          <cell r="A258" t="str">
            <v>Дебарски бањи Дебар</v>
          </cell>
          <cell r="B258">
            <v>1550</v>
          </cell>
        </row>
        <row r="259">
          <cell r="A259" t="str">
            <v>Димко Митрев Велес</v>
          </cell>
          <cell r="B259">
            <v>185</v>
          </cell>
        </row>
        <row r="260">
          <cell r="A260" t="str">
            <v>Единство Струмица</v>
          </cell>
          <cell r="B260">
            <v>80</v>
          </cell>
        </row>
        <row r="261">
          <cell r="A261" t="str">
            <v>Европа Скопје</v>
          </cell>
          <cell r="B261">
            <v>2900</v>
          </cell>
        </row>
        <row r="262">
          <cell r="A262" t="str">
            <v>Факом Скопје</v>
          </cell>
          <cell r="B262">
            <v>6984</v>
          </cell>
        </row>
        <row r="263">
          <cell r="A263" t="str">
            <v>Фустеларко Борец Битола</v>
          </cell>
          <cell r="B263">
            <v>2101</v>
          </cell>
        </row>
        <row r="264">
          <cell r="A264" t="str">
            <v>Герас Цунев конфекција Струмица</v>
          </cell>
          <cell r="B264">
            <v>500</v>
          </cell>
        </row>
        <row r="265">
          <cell r="A265" t="str">
            <v>Герас Цунев трговија Струмица</v>
          </cell>
          <cell r="B265">
            <v>500</v>
          </cell>
        </row>
        <row r="266">
          <cell r="A266" t="str">
            <v>Грозд Струмица</v>
          </cell>
        </row>
        <row r="267">
          <cell r="A267" t="str">
            <v>Градски Трговски Центар Скопје</v>
          </cell>
          <cell r="B267">
            <v>1790</v>
          </cell>
        </row>
        <row r="268">
          <cell r="A268" t="str">
            <v>Интерпромет Тетово</v>
          </cell>
          <cell r="B268">
            <v>4500</v>
          </cell>
        </row>
        <row r="269">
          <cell r="A269" t="str">
            <v>Македонија осигурување АД Скопје - Виена Иншуренс Груп</v>
          </cell>
          <cell r="B269">
            <v>1237</v>
          </cell>
        </row>
        <row r="270">
          <cell r="A270" t="str">
            <v>Кланица со ладилник Струмица</v>
          </cell>
          <cell r="B270">
            <v>120</v>
          </cell>
        </row>
        <row r="271">
          <cell r="A271" t="str">
            <v>Фруктал МАК Скопје</v>
          </cell>
          <cell r="B271">
            <v>119</v>
          </cell>
        </row>
        <row r="272">
          <cell r="A272" t="str">
            <v>Карпош Скопје</v>
          </cell>
          <cell r="B272">
            <v>333</v>
          </cell>
        </row>
        <row r="273">
          <cell r="A273" t="str">
            <v>Лотарија на Македонија Скопје</v>
          </cell>
          <cell r="B273">
            <v>180</v>
          </cell>
        </row>
        <row r="274">
          <cell r="A274" t="str">
            <v>Пелистерка АД Скопје</v>
          </cell>
          <cell r="B274">
            <v>2619</v>
          </cell>
        </row>
        <row r="275">
          <cell r="A275" t="str">
            <v>Макпромет Штип</v>
          </cell>
          <cell r="B275">
            <v>600</v>
          </cell>
        </row>
        <row r="276">
          <cell r="A276" t="str">
            <v>Мермерен комбинат Прилеп</v>
          </cell>
          <cell r="B276">
            <v>2500</v>
          </cell>
        </row>
        <row r="277">
          <cell r="A277" t="str">
            <v>Мода Свети Николе</v>
          </cell>
          <cell r="B277">
            <v>99</v>
          </cell>
        </row>
        <row r="278">
          <cell r="A278" t="str">
            <v>Вабтек МЗТ Скопје</v>
          </cell>
          <cell r="B278">
            <v>3133</v>
          </cell>
        </row>
        <row r="279">
          <cell r="A279" t="str">
            <v>МЗТ Пумпи Скопје</v>
          </cell>
          <cell r="B279">
            <v>607</v>
          </cell>
        </row>
        <row r="280">
          <cell r="A280" t="str">
            <v>Огражден Струмица</v>
          </cell>
          <cell r="B280">
            <v>1900</v>
          </cell>
        </row>
        <row r="281">
          <cell r="A281" t="str">
            <v>Нова стоковна куќа Струмица</v>
          </cell>
          <cell r="B281">
            <v>61500</v>
          </cell>
        </row>
        <row r="282">
          <cell r="A282" t="str">
            <v>Оилко КДА Скопје</v>
          </cell>
          <cell r="B282">
            <v>6000</v>
          </cell>
        </row>
        <row r="283">
          <cell r="A283" t="str">
            <v>ОКТА Скопје</v>
          </cell>
          <cell r="B283">
            <v>6097.84</v>
          </cell>
        </row>
        <row r="284">
          <cell r="A284" t="str">
            <v>Оранжерии Хамзали Струмица</v>
          </cell>
        </row>
        <row r="285">
          <cell r="A285" t="str">
            <v>Пекабеско Скопје</v>
          </cell>
          <cell r="B285">
            <v>16500</v>
          </cell>
        </row>
        <row r="286">
          <cell r="A286" t="str">
            <v>Попова Кула Демир Капија</v>
          </cell>
        </row>
        <row r="287">
          <cell r="A287" t="str">
            <v>Прилепска Пиварница Прилеп</v>
          </cell>
        </row>
        <row r="288">
          <cell r="A288" t="str">
            <v>Раде Кончар Скопје</v>
          </cell>
          <cell r="B288">
            <v>2000</v>
          </cell>
        </row>
        <row r="289">
          <cell r="A289" t="str">
            <v>РЖ Економика Скопје</v>
          </cell>
        </row>
        <row r="290">
          <cell r="A290" t="str">
            <v>Либерти АД Скопје</v>
          </cell>
          <cell r="B290">
            <v>46</v>
          </cell>
        </row>
        <row r="291">
          <cell r="A291" t="str">
            <v>РЖ Техничка контрола Скопје</v>
          </cell>
          <cell r="B291">
            <v>366</v>
          </cell>
        </row>
        <row r="292">
          <cell r="A292" t="str">
            <v>РЖ Уготур Скопје</v>
          </cell>
          <cell r="B292">
            <v>20</v>
          </cell>
        </row>
        <row r="293">
          <cell r="A293" t="str">
            <v>Современ дом Прилеп</v>
          </cell>
        </row>
        <row r="294">
          <cell r="A294" t="str">
            <v>Силекс Кратово</v>
          </cell>
        </row>
        <row r="295">
          <cell r="A295" t="str">
            <v>Славеј Скопје</v>
          </cell>
        </row>
        <row r="296">
          <cell r="A296" t="str">
            <v>Струмичко поле с.Василево</v>
          </cell>
        </row>
        <row r="297">
          <cell r="A297" t="str">
            <v>Сигурносно стакло Прилеп</v>
          </cell>
        </row>
        <row r="298">
          <cell r="A298" t="str">
            <v>Стопанска банка Скопје</v>
          </cell>
          <cell r="B298">
            <v>1299</v>
          </cell>
        </row>
        <row r="299">
          <cell r="A299" t="str">
            <v>Стокопромет Скопје</v>
          </cell>
          <cell r="B299">
            <v>1200</v>
          </cell>
        </row>
        <row r="300">
          <cell r="A300" t="str">
            <v>ТЕАЛ-Алумина Тетово</v>
          </cell>
        </row>
        <row r="301">
          <cell r="A301" t="str">
            <v>Технокомерц Скопје</v>
          </cell>
        </row>
        <row r="302">
          <cell r="A302" t="str">
            <v>Македонски Телеком Скопје</v>
          </cell>
        </row>
        <row r="303">
          <cell r="A303" t="str">
            <v>ГД-Тиквеш Кавадарци</v>
          </cell>
        </row>
        <row r="304">
          <cell r="A304" t="str">
            <v>НЛБ Банка АД Скопје</v>
          </cell>
        </row>
        <row r="305">
          <cell r="A305" t="str">
            <v>Транскоп-Патнички сооб. Битола</v>
          </cell>
        </row>
        <row r="306">
          <cell r="A306" t="str">
            <v>Трготекстил малопродажба Скопје</v>
          </cell>
        </row>
        <row r="307">
          <cell r="A307" t="str">
            <v>Универзална Инвестициона Банка Скопје</v>
          </cell>
        </row>
        <row r="308">
          <cell r="A308" t="str">
            <v>Цементарница УСЈЕ Скопје</v>
          </cell>
        </row>
        <row r="309">
          <cell r="A309" t="str">
            <v>Триглав осигурување Скопје</v>
          </cell>
        </row>
        <row r="310">
          <cell r="A310" t="str">
            <v>Ветекс Велес</v>
          </cell>
        </row>
        <row r="311">
          <cell r="A311" t="str">
            <v>ЖАС Скопје</v>
          </cell>
        </row>
        <row r="312">
          <cell r="A312" t="str">
            <v>Жито Караорман Кичево</v>
          </cell>
        </row>
        <row r="313">
          <cell r="A313" t="str">
            <v>Жито Полог Тетово</v>
          </cell>
        </row>
        <row r="314">
          <cell r="A314" t="str">
            <v>Задолжителна котација - приоритетни акции</v>
          </cell>
        </row>
        <row r="315">
          <cell r="A315" t="str">
            <v>Стопанска банка Скопје</v>
          </cell>
        </row>
        <row r="316">
          <cell r="A316" t="str">
            <v>Редовен пазар</v>
          </cell>
        </row>
        <row r="317">
          <cell r="A317" t="str">
            <v>Пазар на акционерски друштва со посебни обврски за известување - обични акции</v>
          </cell>
        </row>
        <row r="318">
          <cell r="A318" t="str">
            <v>Шпаркасе банка Македонија АД Скопје</v>
          </cell>
        </row>
        <row r="319">
          <cell r="A319" t="str">
            <v>Слободен пазар - обични акции</v>
          </cell>
        </row>
        <row r="320">
          <cell r="A320" t="str">
            <v>Неметали Тетово</v>
          </cell>
        </row>
        <row r="321">
          <cell r="A321" t="str">
            <v>АрцелорМиттал (ХРМ) АД Скопје - долгорочно суспендирано од котација</v>
          </cell>
        </row>
        <row r="322">
          <cell r="A322" t="str">
            <v>Солун 2001 Гевгелија</v>
          </cell>
        </row>
        <row r="323">
          <cell r="A323" t="str">
            <v>БЛОКОВИ</v>
          </cell>
        </row>
        <row r="324">
          <cell r="A324" t="str">
            <v>Официјален пазар</v>
          </cell>
        </row>
        <row r="325">
          <cell r="A325" t="str">
            <v>Берзанска котација - обични акции</v>
          </cell>
        </row>
        <row r="326">
          <cell r="A326" t="str">
            <v>Тетекс Тетово</v>
          </cell>
        </row>
        <row r="327">
          <cell r="A327" t="str">
            <v>Вкупен промет на сите пазарни сегменти: 10.707.276,00</v>
          </cell>
        </row>
        <row r="328">
          <cell r="A328" t="str">
            <v>МБИ10</v>
          </cell>
        </row>
        <row r="329">
          <cell r="A329" t="str">
            <v>ОМБ</v>
          </cell>
        </row>
        <row r="330">
          <cell r="A330" t="str">
            <v>1 EUR = 61,5110 МКД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  <cell r="B6">
            <v>12312.25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Фершпед Скопје</v>
          </cell>
          <cell r="B9">
            <v>51410</v>
          </cell>
        </row>
        <row r="10">
          <cell r="A10" t="str">
            <v>Гранит Скопје</v>
          </cell>
        </row>
        <row r="11">
          <cell r="A11" t="str">
            <v>Интернешнел Хотелс АД Скопје</v>
          </cell>
        </row>
        <row r="12">
          <cell r="A12" t="str">
            <v>ДС Смитх АД Скопје</v>
          </cell>
        </row>
        <row r="13">
          <cell r="A13" t="str">
            <v>Макотекс Скопје</v>
          </cell>
        </row>
        <row r="14">
          <cell r="A14" t="str">
            <v>Макошпед Скопје</v>
          </cell>
        </row>
        <row r="15">
          <cell r="A15" t="str">
            <v>Хотели Метропол Охрид</v>
          </cell>
        </row>
        <row r="16">
          <cell r="A16" t="str">
            <v>Макпетрол Скопје</v>
          </cell>
        </row>
        <row r="17">
          <cell r="A17" t="str">
            <v>Македонијатурист Скопје</v>
          </cell>
        </row>
        <row r="18">
          <cell r="A18" t="str">
            <v>Реплек Скопје</v>
          </cell>
        </row>
        <row r="19">
          <cell r="A19" t="str">
            <v>РЖ Интер-Трансшпед Скопје</v>
          </cell>
        </row>
        <row r="20">
          <cell r="A20" t="str">
            <v>РЖ Услуги Скопје</v>
          </cell>
        </row>
        <row r="21">
          <cell r="A21" t="str">
            <v>Стопанска банка Битола</v>
          </cell>
        </row>
        <row r="22">
          <cell r="A22" t="str">
            <v>Скопски Пазар Скопје</v>
          </cell>
        </row>
        <row r="23">
          <cell r="A23" t="str">
            <v>Макстил Скопје</v>
          </cell>
        </row>
        <row r="24">
          <cell r="A24" t="str">
            <v>Тетекс Тетово</v>
          </cell>
        </row>
        <row r="25">
          <cell r="A25" t="str">
            <v>Тутунски комбинат Прилеп</v>
          </cell>
        </row>
        <row r="26">
          <cell r="A26" t="str">
            <v>ВВ Тиквеш АД Кавадарци</v>
          </cell>
          <cell r="B26">
            <v>5700</v>
          </cell>
        </row>
        <row r="27">
          <cell r="A27" t="str">
            <v>ТТК Банка АД Скопје</v>
          </cell>
        </row>
        <row r="28">
          <cell r="A28" t="str">
            <v>Витаминка Прилеп</v>
          </cell>
        </row>
        <row r="29">
          <cell r="A29" t="str">
            <v>Жито Лукс Скопје</v>
          </cell>
        </row>
        <row r="30">
          <cell r="A30" t="str">
            <v>ЗК Пелагонија Битола</v>
          </cell>
        </row>
        <row r="31">
          <cell r="A31" t="str">
            <v>Берзанска котација - приоритетни акции</v>
          </cell>
        </row>
        <row r="32">
          <cell r="A32" t="str">
            <v>Скопски пазар Скопје</v>
          </cell>
        </row>
        <row r="33">
          <cell r="A33" t="str">
            <v>Жито лукс Скопје</v>
          </cell>
        </row>
        <row r="34">
          <cell r="A34" t="str">
            <v>Берзанска котација - обврзници</v>
          </cell>
        </row>
        <row r="35">
          <cell r="A35" t="str">
            <v>Централна кооперативна банка АД Скопје - конвертибилни обврзници</v>
          </cell>
        </row>
        <row r="36">
          <cell r="A36" t="str">
            <v>Р. Македонија - државна обврзница DO2023/12-0725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Р.Македонија државна обврзница DO2022/16-1237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DO2017/35-1132dk</v>
          </cell>
        </row>
        <row r="46">
          <cell r="A46" t="str">
            <v>Р. Македонија - државна обврзница DO2022/03-0337</v>
          </cell>
        </row>
        <row r="47">
          <cell r="A47" t="str">
            <v>Р. Македонија - државна обврзница DO2023/04-0338</v>
          </cell>
        </row>
        <row r="48">
          <cell r="A48" t="str">
            <v>Р. Македонија - државна обврзница DO2014/16-0724dk</v>
          </cell>
        </row>
        <row r="49">
          <cell r="A49" t="str">
            <v>Р. Македонија - државна обврзница DO2016/26-1131dk</v>
          </cell>
        </row>
        <row r="50">
          <cell r="A50" t="str">
            <v>Р. Македонија - државна обврзница DO2020/14-1223</v>
          </cell>
        </row>
        <row r="51">
          <cell r="A51" t="str">
            <v>Р. Македонија - државна обврзница DO2015/44-1230dk</v>
          </cell>
        </row>
        <row r="52">
          <cell r="A52" t="str">
            <v>Р. Македонија - државна обврзница DO2020/15-1235dk</v>
          </cell>
        </row>
        <row r="53">
          <cell r="A53" t="str">
            <v>Р. Македонија - државна обврзница DO2021/04-0336</v>
          </cell>
        </row>
        <row r="54">
          <cell r="A54" t="str">
            <v>Р. Македонија - државна обврзница DO2017/14-0532dk</v>
          </cell>
        </row>
        <row r="55">
          <cell r="A55" t="str">
            <v>Р. Македонија - државна обврзница DO2015/19-0630dk</v>
          </cell>
        </row>
        <row r="56">
          <cell r="A56" t="str">
            <v>Р.Македонија - државна обврзница DO2022/09-0837</v>
          </cell>
        </row>
        <row r="57">
          <cell r="A57" t="str">
            <v>Р.Македонија - државна обврзница DO2022/10-0837dk</v>
          </cell>
        </row>
        <row r="58">
          <cell r="A58" t="str">
            <v>Р. Македонија - државна обврзница DO2023/14-0838</v>
          </cell>
        </row>
        <row r="59">
          <cell r="A59" t="str">
            <v>Р. Македонија - државна обврзница DO2014/19-0924dk</v>
          </cell>
        </row>
        <row r="60">
          <cell r="A60" t="str">
            <v>Р. Македонија - државна обврзница DO2014/38-1224</v>
          </cell>
        </row>
        <row r="61">
          <cell r="A61" t="str">
            <v>Р. Македонија - државна обврзница DO2020/03-0325</v>
          </cell>
        </row>
        <row r="62">
          <cell r="A62" t="str">
            <v>Р. Македонија - државна обврзница DO2014/13-0624dk</v>
          </cell>
        </row>
        <row r="63">
          <cell r="A63" t="str">
            <v>Р. Македонија - државна обврзница ДО2021/13-0836</v>
          </cell>
        </row>
        <row r="64">
          <cell r="A64" t="str">
            <v>Р. Македонија - државна обврзница DO2017/30-1032dk</v>
          </cell>
        </row>
        <row r="65">
          <cell r="A65" t="str">
            <v>Р. Македонија - државна обврзница DO2020/12-1125</v>
          </cell>
        </row>
        <row r="66">
          <cell r="A66" t="str">
            <v>Р. Македонија - државна обврзница DO2019/16-1234dk</v>
          </cell>
        </row>
        <row r="67">
          <cell r="A67" t="str">
            <v>Р. Македонија - државна обврзница DO2017/12-0432dk</v>
          </cell>
        </row>
        <row r="68">
          <cell r="A68" t="str">
            <v>Р. Македонија - државна обврзница DO2017/19-0732dk</v>
          </cell>
        </row>
        <row r="69">
          <cell r="A69" t="str">
            <v>Р. Македонија - државна обврзница DO2015/30-0825dk</v>
          </cell>
        </row>
        <row r="70">
          <cell r="A70" t="str">
            <v>Р. Македонија - државна обврзница DO2015/31-0830dk</v>
          </cell>
        </row>
        <row r="71">
          <cell r="A71" t="str">
            <v>Р. Македонија - државна обврзница DO2020/07-0850dk</v>
          </cell>
        </row>
        <row r="72">
          <cell r="A72" t="str">
            <v>Р. Македонија - државна обврзница DO2019/05-0324</v>
          </cell>
        </row>
        <row r="73">
          <cell r="A73" t="str">
            <v>Р. Македонија - државна обврзница DO2016/11-0426dk</v>
          </cell>
        </row>
        <row r="74">
          <cell r="A74" t="str">
            <v>Р. Македонија - државна обврзница DO2015/17-0530dk</v>
          </cell>
        </row>
        <row r="75">
          <cell r="A75" t="str">
            <v>Р. Македонија - државна обврзница DO2018/12-0633</v>
          </cell>
        </row>
        <row r="76">
          <cell r="A76" t="str">
            <v>Р. Македонија - државна обврзница DO2017/26-0932dk</v>
          </cell>
        </row>
        <row r="77">
          <cell r="A77" t="str">
            <v>Р.Македонија - државна обврзница DO2023/15-0938</v>
          </cell>
        </row>
        <row r="78">
          <cell r="A78" t="str">
            <v>Р.Македонија - државна обврзница DO2023/16-0938dk</v>
          </cell>
        </row>
        <row r="79">
          <cell r="A79" t="str">
            <v>Р. Македонија - државна обврзница DO2019/15-1134</v>
          </cell>
        </row>
        <row r="80">
          <cell r="A80" t="str">
            <v>Р. Македонија - државна обврзница DO2017/38-1232dk</v>
          </cell>
        </row>
        <row r="81">
          <cell r="A81" t="str">
            <v>Р. Македонија - државна обврзница DO2018/10-0333dk</v>
          </cell>
        </row>
        <row r="82">
          <cell r="A82" t="str">
            <v>Р. Македонија - државна обврзница DO2017/16-0632dk</v>
          </cell>
        </row>
        <row r="83">
          <cell r="A83" t="str">
            <v>Р. Македонија - државна обврзница DO2016/15-0731dk</v>
          </cell>
        </row>
        <row r="84">
          <cell r="A84" t="str">
            <v>Р. Македонија - државна обврзница DO2019/11-0834dk</v>
          </cell>
        </row>
        <row r="85">
          <cell r="A85" t="str">
            <v>Р. Македонија - државна обврзница DO2015/40-1030dk</v>
          </cell>
        </row>
        <row r="86">
          <cell r="A86" t="str">
            <v>Р. Македонија - државна обврзница DO2023/02-0238</v>
          </cell>
        </row>
        <row r="87">
          <cell r="A87" t="str">
            <v>Р. Македонија - државна обврзница DO2017/08-0332dk</v>
          </cell>
        </row>
        <row r="88">
          <cell r="A88" t="str">
            <v>Р. Македонија - државна обврзница DO2016/13-0631dk</v>
          </cell>
        </row>
        <row r="89">
          <cell r="A89" t="str">
            <v>Р. Македонија - државна обврзница DO2015/23-0725</v>
          </cell>
        </row>
        <row r="90">
          <cell r="A90" t="str">
            <v>Р. Македонија - државна обврзница DO2015/24-0725dk</v>
          </cell>
        </row>
        <row r="91">
          <cell r="A91" t="str">
            <v>Р. Македонија - државна обврзница DO2015/25-0730dk</v>
          </cell>
        </row>
        <row r="92">
          <cell r="A92" t="str">
            <v>Р. Македонија - државна обврзница DO2018/17-0833dk</v>
          </cell>
        </row>
        <row r="93">
          <cell r="A93" t="str">
            <v>Р.Македонија државна обврзница DO2022/13-0937</v>
          </cell>
        </row>
        <row r="94">
          <cell r="A94" t="str">
            <v>Р.Македонија државна обврзница DO2022/12-0937dk</v>
          </cell>
        </row>
        <row r="95">
          <cell r="A95" t="str">
            <v>Р. Македонија - државна обврзница DO2017/22-0832dk</v>
          </cell>
        </row>
        <row r="96">
          <cell r="A96" t="str">
            <v>Р. Македонија - државна обврзница DO2018/02-0128</v>
          </cell>
        </row>
        <row r="97">
          <cell r="A97" t="str">
            <v>Р. Македонија - државна обврзница DO2018/03-0133dk</v>
          </cell>
        </row>
        <row r="98">
          <cell r="A98" t="str">
            <v>Р. Македонија - државна обврзница DO2016/05-0226</v>
          </cell>
        </row>
        <row r="99">
          <cell r="A99" t="str">
            <v>Р. Македонија - државна обврзница DO2016/06-0226dk</v>
          </cell>
        </row>
        <row r="100">
          <cell r="A100" t="str">
            <v>Р. Македонија - државна обврзница DO2016/07-0231dk</v>
          </cell>
        </row>
        <row r="101">
          <cell r="A101" t="str">
            <v>Р. Македонија - државна обврзница DO2023/06-0538</v>
          </cell>
        </row>
        <row r="102">
          <cell r="A102" t="str">
            <v>Р. Македонија - државна обврзница DO2017/02-0132dk</v>
          </cell>
        </row>
        <row r="103">
          <cell r="A103" t="str">
            <v>Р. Македонија - државна обврзница DO2023/01-0138</v>
          </cell>
        </row>
        <row r="104">
          <cell r="A104" t="str">
            <v>Р. Македонија - државна обврзница DO2015/05-0230dk</v>
          </cell>
        </row>
        <row r="105">
          <cell r="A105" t="str">
            <v>Р. Македонија - државна обврзница DO2015/09-0325</v>
          </cell>
        </row>
        <row r="106">
          <cell r="A106" t="str">
            <v>Р. Македонија - државна обврзница DO2015/10-0330dk</v>
          </cell>
        </row>
        <row r="107">
          <cell r="A107" t="str">
            <v>Р. Македонија - државна обврзница DO2022/05-0537</v>
          </cell>
        </row>
        <row r="108">
          <cell r="A108" t="str">
            <v>Р. Македонија - државна обврзница DO2022/01-0137</v>
          </cell>
        </row>
        <row r="109">
          <cell r="A109" t="str">
            <v>Р. Македонија - државна обврзница DO2020/02-0235</v>
          </cell>
          <cell r="B109">
            <v>98.8</v>
          </cell>
        </row>
        <row r="110">
          <cell r="A110" t="str">
            <v>Р. Македонија - државна обврзница DO2023/11-0738</v>
          </cell>
        </row>
        <row r="111">
          <cell r="A111" t="str">
            <v>Р. Македонија - државна обврзница DO2022/14-1037</v>
          </cell>
        </row>
        <row r="112">
          <cell r="A112" t="str">
            <v>Р. Македонија - државна обврзница DO2016/01-0126dk</v>
          </cell>
        </row>
        <row r="113">
          <cell r="A113" t="str">
            <v>Р. Македонија - државна обврзница DO2016/02-0131dk</v>
          </cell>
        </row>
        <row r="114">
          <cell r="A114" t="str">
            <v>Р. Македонија - државна обврзница DO2021/01-0136</v>
          </cell>
        </row>
        <row r="115">
          <cell r="A115" t="str">
            <v>Р. Македонија - државна обврзница DO2019/03-0224dk</v>
          </cell>
        </row>
        <row r="116">
          <cell r="A116" t="str">
            <v>Р. Македонија - државна обврзница DO2016/12-0431dk</v>
          </cell>
        </row>
        <row r="117">
          <cell r="A117" t="str">
            <v>Р. Македонија - државна обврзница DO2022/04-0437dk</v>
          </cell>
        </row>
        <row r="118">
          <cell r="A118" t="str">
            <v>Р. Македонија - државна обврзница DO2021/09-0526</v>
          </cell>
        </row>
        <row r="119">
          <cell r="A119" t="str">
            <v>Р. Македонија - државна обврзница DO2016/23-1031dk</v>
          </cell>
        </row>
        <row r="120">
          <cell r="A120" t="str">
            <v>Р. Македонија - државна обврзница DO2021/15-1036</v>
          </cell>
        </row>
        <row r="121">
          <cell r="A121" t="str">
            <v>Р. Македонија - државна обврзница DO2018/08-0233dk</v>
          </cell>
        </row>
        <row r="122">
          <cell r="A122" t="str">
            <v>Р. Македонија - државна обврзница DO2021/07-0436</v>
          </cell>
        </row>
        <row r="123">
          <cell r="A123" t="str">
            <v>Р. Македонија - државна обврзница DO2021/08-0436dk</v>
          </cell>
        </row>
        <row r="124">
          <cell r="A124" t="str">
            <v>Р.Македонија - државна обврзница DO2023/08-0638</v>
          </cell>
        </row>
        <row r="125">
          <cell r="A125" t="str">
            <v>Р.Македонија - државна обврзница DO2023/09-0638dk</v>
          </cell>
        </row>
        <row r="126">
          <cell r="A126" t="str">
            <v>Р. Македонија - државна обврзница DO2020/08-1030</v>
          </cell>
        </row>
        <row r="127">
          <cell r="A127" t="str">
            <v>Р. Македонија - државна обврзница DO2020/09-1030dk</v>
          </cell>
        </row>
        <row r="128">
          <cell r="A128" t="str">
            <v>Р.Македонија - државна обврзница DO2023/03-225</v>
          </cell>
        </row>
        <row r="129">
          <cell r="A129" t="str">
            <v>Р. Македонија - државна обврзница DO2017/06-0232dk</v>
          </cell>
        </row>
        <row r="130">
          <cell r="A130" t="str">
            <v>Р. Македонија - државна обврзница DO2015/15-0430dk</v>
          </cell>
        </row>
        <row r="131">
          <cell r="A131" t="str">
            <v>Р. Македонија - државна обврзница DO2019/08-0524</v>
          </cell>
        </row>
        <row r="132">
          <cell r="A132" t="str">
            <v>Р. Македонија - државна обврзница DO2019/09-0534</v>
          </cell>
        </row>
        <row r="133">
          <cell r="A133" t="str">
            <v>Р.Македонија - државна обврзница DO2022/06-0637</v>
          </cell>
        </row>
        <row r="134">
          <cell r="A134" t="str">
            <v>Р.Македонија - државна обврзница DO2022/07-0637dk</v>
          </cell>
        </row>
        <row r="135">
          <cell r="A135" t="str">
            <v>Р. Македонија - државна обврзница DO2021/14-0936</v>
          </cell>
        </row>
        <row r="136">
          <cell r="A136" t="str">
            <v>Р. Македонија - државна обврзница DO2014/27-1024</v>
          </cell>
        </row>
        <row r="137">
          <cell r="A137" t="str">
            <v>Р. Македонија - државна обврзница DO2014/28-1024dk</v>
          </cell>
        </row>
        <row r="138">
          <cell r="A138" t="str">
            <v>Р. Македонија - државна обврзница DO2021/17-1224</v>
          </cell>
        </row>
        <row r="139">
          <cell r="A139" t="str">
            <v>Р. Македонија - државна обврзница DO2016/08-0331dk</v>
          </cell>
        </row>
        <row r="140">
          <cell r="A140" t="str">
            <v>Р. Македонија - државна обврзница DO2021/10-0636</v>
          </cell>
        </row>
        <row r="141">
          <cell r="A141" t="str">
            <v>Р. Македонија - државна обврзница DO2021/11-0636dk</v>
          </cell>
        </row>
        <row r="142">
          <cell r="A142" t="str">
            <v>Р. Македонија - државна обврзница DO2017/24-0832dk</v>
          </cell>
        </row>
        <row r="143">
          <cell r="A143" t="str">
            <v>Р. Македонија - државна обврзница DO2015/37-0930dk</v>
          </cell>
        </row>
        <row r="144">
          <cell r="A144" t="str">
            <v>Р. Македонија - државна обврзница DO2019/13-1024</v>
          </cell>
        </row>
        <row r="145">
          <cell r="A145" t="str">
            <v>Р.Македонија државна обврзница DO2022/15-1137</v>
          </cell>
        </row>
        <row r="146">
          <cell r="A146" t="str">
            <v>Р. Македонија - државна обврзница DO2015/45-1225dk</v>
          </cell>
        </row>
        <row r="147">
          <cell r="A147" t="str">
            <v>Р. Македонија - државна обврзница DO2021/03-0224</v>
          </cell>
        </row>
        <row r="148">
          <cell r="A148" t="str">
            <v>Р. Македонија - државна обврзница DO2019/06-0449dk</v>
          </cell>
        </row>
        <row r="149">
          <cell r="A149" t="str">
            <v>Р. Македонија - државна обврзница DO2020/06-0635</v>
          </cell>
        </row>
        <row r="150">
          <cell r="A150" t="str">
            <v>Р. Македонија - државна обврзница DO2019/10-0749dk</v>
          </cell>
          <cell r="B150">
            <v>101.6</v>
          </cell>
        </row>
        <row r="151">
          <cell r="A151" t="str">
            <v>Р. Македонија - државна обврзница DO2016/17-0826</v>
          </cell>
        </row>
        <row r="152">
          <cell r="A152" t="str">
            <v>Р. Македонија - државна обврзница DO2016/18-0826dk</v>
          </cell>
        </row>
        <row r="153">
          <cell r="A153" t="str">
            <v>Р. Македонија - државна обврзница DO2016/19-0831dk</v>
          </cell>
        </row>
        <row r="154">
          <cell r="A154" t="str">
            <v>Р. Македонија - државна обврзница DО2022/11-0837dk</v>
          </cell>
        </row>
        <row r="155">
          <cell r="A155" t="str">
            <v>Р. Македонија - државна обврзница DO2018/23-1048dk</v>
          </cell>
        </row>
        <row r="156">
          <cell r="A156" t="str">
            <v>Р. Македонија - државна обврзница DO2021/16-1136dk</v>
          </cell>
        </row>
        <row r="157">
          <cell r="A157" t="str">
            <v>Р. Македонија - државна обврзница DO2018/15-0748dk</v>
          </cell>
        </row>
        <row r="158">
          <cell r="A158" t="str">
            <v>Р. Македонија - државна обврзница DO2019/12-0934</v>
          </cell>
        </row>
        <row r="159">
          <cell r="A159" t="str">
            <v>Р. Македонија - државна обврзница DO2017/32-1032dk</v>
          </cell>
        </row>
        <row r="160">
          <cell r="A160" t="str">
            <v>Р. Македонија - државна обврзница DO2020/13-1123dk</v>
          </cell>
        </row>
        <row r="161">
          <cell r="A161" t="str">
            <v>Р. Македонија - државна обврзница DO2015/42-1125dk</v>
          </cell>
        </row>
        <row r="162">
          <cell r="A162" t="str">
            <v>Р. Македонија - државна обврзница DO2015/43-1130dk</v>
          </cell>
        </row>
        <row r="163">
          <cell r="A163" t="str">
            <v>Р. Македонија - државна обврзница DO2017/20-0732dk</v>
          </cell>
        </row>
        <row r="164">
          <cell r="A164" t="str">
            <v>Р. Македонија - државна обврзница DO2023/13-0738</v>
          </cell>
        </row>
        <row r="165">
          <cell r="A165" t="str">
            <v>Р. Македонија - државна обврзница DO2015/32-0825</v>
          </cell>
        </row>
        <row r="166">
          <cell r="A166" t="str">
            <v>Р. Македонија - државна обврзница DO2015/33-0830dk</v>
          </cell>
        </row>
        <row r="167">
          <cell r="A167" t="str">
            <v>Р. Македонија - државна обврзница DO2018/19-0933</v>
          </cell>
        </row>
        <row r="168">
          <cell r="A168" t="str">
            <v>Р. Македонија - државна обврзница DO2018/20-0933dk</v>
          </cell>
        </row>
        <row r="169">
          <cell r="A169" t="str">
            <v>Р. Македонија - државна обврзница DO2015/18-0525dk</v>
          </cell>
        </row>
        <row r="170">
          <cell r="A170" t="str">
            <v>Р. Македонија - државна обврзница DO2018/13-0633dk</v>
          </cell>
        </row>
        <row r="171">
          <cell r="A171" t="str">
            <v>Р. Македонија - државна обврзница DO2014/18-0824dk</v>
          </cell>
        </row>
        <row r="172">
          <cell r="A172" t="str">
            <v>Р. Македонија - државна обврзница DO2017/27-0932dk</v>
          </cell>
        </row>
        <row r="173">
          <cell r="A173" t="str">
            <v>Р. Македонија - државна обврзница DO2016/03-0131dk</v>
          </cell>
        </row>
        <row r="174">
          <cell r="A174" t="str">
            <v>Р. Македонија - државна обврзница DO2017/17-0632dk</v>
          </cell>
        </row>
        <row r="175">
          <cell r="A175" t="str">
            <v>Р. Македонија - државна обврзница DO2016/21-0931dk</v>
          </cell>
        </row>
        <row r="176">
          <cell r="A176" t="str">
            <v>Р. Македонија - државна обврзница DO2018/27-1133dk</v>
          </cell>
        </row>
        <row r="177">
          <cell r="A177" t="str">
            <v>Р. Македонија - државна обврзница DO2016/29-1231dk</v>
          </cell>
        </row>
        <row r="178">
          <cell r="A178" t="str">
            <v>Р. Македонија - државна обврзница DO2014/02-0124</v>
          </cell>
        </row>
        <row r="179">
          <cell r="A179" t="str">
            <v>Р. Македонија - државна обврзница DO2014/03-0124dk</v>
          </cell>
        </row>
        <row r="180">
          <cell r="A180" t="str">
            <v>Р. Македонија - државна обврзница DO2017/10-0332dk</v>
          </cell>
        </row>
        <row r="181">
          <cell r="A181" t="str">
            <v>Р. Македонија - државна обврзница DO2016/14-0631dk</v>
          </cell>
        </row>
        <row r="182">
          <cell r="A182" t="str">
            <v>Р. Македонија - државна обврзница DO2015/27-0725dk</v>
          </cell>
        </row>
        <row r="183">
          <cell r="A183" t="str">
            <v>Р. Македонија - државна обврзница DO2015/28-0730dk</v>
          </cell>
        </row>
        <row r="184">
          <cell r="A184" t="str">
            <v>Р. Македонија - државна обврзница DO2017/36-1132dk</v>
          </cell>
        </row>
        <row r="185">
          <cell r="A185" t="str">
            <v>Р. Македонија - државна обврзница DO2016/09-0326</v>
          </cell>
        </row>
        <row r="186">
          <cell r="A186" t="str">
            <v>Р. Македонија - државна обврзница DO2014/17-0724dk</v>
          </cell>
        </row>
        <row r="187">
          <cell r="A187" t="str">
            <v>Р. Македонија - државна обврзница DO2015/38-0925dk</v>
          </cell>
        </row>
        <row r="188">
          <cell r="A188" t="str">
            <v>Р. Македонија - државна обврзница DO2015/39-0930dk</v>
          </cell>
        </row>
        <row r="189">
          <cell r="A189" t="str">
            <v>Р. Македонија - државна обврзница DO2015/46-1225dk</v>
          </cell>
        </row>
        <row r="190">
          <cell r="A190" t="str">
            <v>Р. Македонија - државна обврзница DO2018/04-0133</v>
          </cell>
        </row>
        <row r="191">
          <cell r="A191" t="str">
            <v>Р. Македонија - државна обврзница DO2018/05-0133dk</v>
          </cell>
        </row>
        <row r="192">
          <cell r="A192" t="str">
            <v>Р. Македонија - државна обврзница DO2015/20-0625</v>
          </cell>
        </row>
        <row r="193">
          <cell r="A193" t="str">
            <v>Р. Македонија - државна обврзница DO2015/21-0625dk</v>
          </cell>
        </row>
        <row r="194">
          <cell r="A194" t="str">
            <v>Р. Македонија - државна обврзница DO2015/22-0630dk</v>
          </cell>
        </row>
        <row r="195">
          <cell r="A195" t="str">
            <v>Р. Македонија - државна обврзница DO2017/05-0132dk</v>
          </cell>
        </row>
        <row r="196">
          <cell r="A196" t="str">
            <v>Р. Македонија - државна обврзница DO2015/08-0230dk</v>
          </cell>
        </row>
        <row r="197">
          <cell r="A197" t="str">
            <v>Р. Македонија - државна обврзница DO2015/12-0325</v>
          </cell>
        </row>
        <row r="198">
          <cell r="A198" t="str">
            <v>Р. Македонија - државна обврзница DO2015/13-0330dk</v>
          </cell>
        </row>
        <row r="199">
          <cell r="A199" t="str">
            <v>Р. Македонија - државна обврзница DO2018/11-0448dk</v>
          </cell>
        </row>
        <row r="200">
          <cell r="A200" t="str">
            <v>Р.Македонија - државна обврзница DO2023/07-0538dk</v>
          </cell>
        </row>
        <row r="201">
          <cell r="A201" t="str">
            <v>Р. Македонија - државна обврзница DO2022/02-0125</v>
          </cell>
        </row>
        <row r="202">
          <cell r="A202" t="str">
            <v>Р. Македонија - државна обврзница DO2015/34-0825</v>
          </cell>
        </row>
        <row r="203">
          <cell r="A203" t="str">
            <v>Р. Македонија - државна обврзница DO2015/35-0825dk</v>
          </cell>
        </row>
        <row r="204">
          <cell r="A204" t="str">
            <v>Р. Македонија - државна обврзница DO2015/36-0830dk</v>
          </cell>
        </row>
        <row r="205">
          <cell r="A205" t="str">
            <v>Р. Македонија - државна обврзница DO2016/04-0131dk</v>
          </cell>
        </row>
        <row r="206">
          <cell r="A206" t="str">
            <v>Р. Македонија - државна обврзница DO2019/04-0234</v>
          </cell>
          <cell r="B206">
            <v>107.1</v>
          </cell>
        </row>
        <row r="207">
          <cell r="A207" t="str">
            <v>Р. Македонија - државна обврзница DO2016/16-0731dk</v>
          </cell>
        </row>
        <row r="208">
          <cell r="A208" t="str">
            <v>Р. Македонија - државна обврзница DO2015/03-0125</v>
          </cell>
        </row>
        <row r="209">
          <cell r="A209" t="str">
            <v>Р. Македонија - државна обврзница DO2015/04-0125dk</v>
          </cell>
        </row>
        <row r="210">
          <cell r="A210" t="str">
            <v>Р. Македонија - државна обврзница DO2017/18-0632dk</v>
          </cell>
        </row>
        <row r="211">
          <cell r="A211" t="str">
            <v>Р. Македонија - државна обврзница DO2023/10-0638dk</v>
          </cell>
        </row>
        <row r="212">
          <cell r="A212" t="str">
            <v>Р. Македонија - држaвна обврзница DO2021/12-0724</v>
          </cell>
        </row>
        <row r="213">
          <cell r="A213" t="str">
            <v>Р. Македонија - државна обврзница DO2016/22-0931dk</v>
          </cell>
        </row>
        <row r="214">
          <cell r="A214" t="str">
            <v>Р. Македонија - државна обврзница DO2015/41-1030dk</v>
          </cell>
        </row>
        <row r="215">
          <cell r="A215" t="str">
            <v>Р. Македонија - државна обврзница DO2020/10-1035</v>
          </cell>
        </row>
        <row r="216">
          <cell r="A216" t="str">
            <v>Р. Македонија - државна обврзница DO2022/17-1237</v>
          </cell>
        </row>
        <row r="217">
          <cell r="A217" t="str">
            <v>Р. Македонија - државна обврзница DO2022/18-1237dk</v>
          </cell>
        </row>
        <row r="218">
          <cell r="A218" t="str">
            <v>Р. Македонија - државна обврзница DO2020/01-0150dk</v>
          </cell>
        </row>
        <row r="219">
          <cell r="A219" t="str">
            <v>Р. Македонија - државна обврзница DO2017/11-0332dk</v>
          </cell>
        </row>
        <row r="220">
          <cell r="A220" t="str">
            <v>Р. Македонија - државна обврзница DO2023/05-0338</v>
          </cell>
        </row>
        <row r="221">
          <cell r="A221" t="str">
            <v>Р. Македонија - државна обврзница DO2023/06-0338dk</v>
          </cell>
        </row>
        <row r="222">
          <cell r="A222" t="str">
            <v>Р. Македонија - државна обврзница DO2020/04-0450dk</v>
          </cell>
          <cell r="B222">
            <v>100</v>
          </cell>
        </row>
        <row r="223">
          <cell r="A223" t="str">
            <v>Р. Македонија - државна обврзница DO2022/08-0637</v>
          </cell>
        </row>
        <row r="224">
          <cell r="A224" t="str">
            <v>Р. Македонија - државна обврзница DO2015/29-0730dk</v>
          </cell>
        </row>
        <row r="225">
          <cell r="A225" t="str">
            <v>Р. Македонија - државна обврзница DO2014/30-1024dk</v>
          </cell>
        </row>
        <row r="226">
          <cell r="A226" t="str">
            <v>Р. Македонија - државна обврзница DO2017/37-1132dk</v>
          </cell>
        </row>
        <row r="227">
          <cell r="A227" t="str">
            <v>Р. Македонија - државна обврзница DO2019/02-0149dk</v>
          </cell>
        </row>
        <row r="228">
          <cell r="A228" t="str">
            <v>Р. Македонија - државна обврзница DO2016/10-0331dk</v>
          </cell>
        </row>
        <row r="229">
          <cell r="A229" t="str">
            <v>Р. Македонија - државна обврзница DO2019/14-1049dk</v>
          </cell>
          <cell r="B229">
            <v>103.5</v>
          </cell>
        </row>
        <row r="230">
          <cell r="A230" t="str">
            <v>Р. Македонија - државна обврзница DO2020/19-1223</v>
          </cell>
        </row>
        <row r="231">
          <cell r="A231" t="str">
            <v>Р. Македонија - државна обврзница DO2020/20-1223dk</v>
          </cell>
        </row>
        <row r="232">
          <cell r="A232" t="str">
            <v>Р. Македонија - денационализација 13</v>
          </cell>
          <cell r="B232">
            <v>99</v>
          </cell>
        </row>
        <row r="233">
          <cell r="A233" t="str">
            <v>Р. Македонија - денационализација 14</v>
          </cell>
          <cell r="B233">
            <v>99</v>
          </cell>
        </row>
        <row r="234">
          <cell r="A234" t="str">
            <v>Р. Македонија - денационализација 15</v>
          </cell>
          <cell r="B234">
            <v>97.7</v>
          </cell>
        </row>
        <row r="235">
          <cell r="A235" t="str">
            <v>Р. Македонија - денационализација 16</v>
          </cell>
          <cell r="B235">
            <v>93</v>
          </cell>
        </row>
        <row r="236">
          <cell r="A236" t="str">
            <v>Р. Македонија - денационализација 17</v>
          </cell>
          <cell r="B236">
            <v>90</v>
          </cell>
        </row>
        <row r="237">
          <cell r="A237" t="str">
            <v>Р. Македонија - денационализација 18</v>
          </cell>
          <cell r="B237">
            <v>95</v>
          </cell>
        </row>
        <row r="238">
          <cell r="A238" t="str">
            <v>Р. Македонија - денационализација 19</v>
          </cell>
          <cell r="B238">
            <v>92</v>
          </cell>
        </row>
        <row r="239">
          <cell r="A239" t="str">
            <v>Р. Македонија - денационализација 20</v>
          </cell>
          <cell r="B239">
            <v>94</v>
          </cell>
        </row>
        <row r="240">
          <cell r="A240" t="str">
            <v>Р. Македонија - денационализација 21</v>
          </cell>
          <cell r="B240">
            <v>93</v>
          </cell>
        </row>
        <row r="241">
          <cell r="A241" t="str">
            <v>СН Осигурителен Брокер АД Битола - корпоративна обврзница I емисија</v>
          </cell>
          <cell r="B241">
            <v>100</v>
          </cell>
        </row>
        <row r="242">
          <cell r="A242" t="str">
            <v>ТТК банка АД Скопје - корпоративна обврзница I емисија</v>
          </cell>
          <cell r="B242">
            <v>100</v>
          </cell>
        </row>
        <row r="243">
          <cell r="A243" t="str">
            <v>ТТК банка АД Скопје - корпоративна обврзница II емисија</v>
          </cell>
        </row>
        <row r="244">
          <cell r="A244" t="str">
            <v>Берзанска котација - други хартии од вредност</v>
          </cell>
        </row>
        <row r="245">
          <cell r="A245" t="str">
            <v>Универзална Инвестициона Банка Скопје - перпетуални обврзници</v>
          </cell>
          <cell r="B245">
            <v>100</v>
          </cell>
        </row>
        <row r="246">
          <cell r="A246" t="str">
            <v>Универзална Инвестициона Банка Скопје - перпетуални обврзници - втора емисија</v>
          </cell>
        </row>
        <row r="247">
          <cell r="A247" t="str">
            <v>Задолжителна котација - обични акции</v>
          </cell>
        </row>
        <row r="248">
          <cell r="A248" t="str">
            <v>Адинг Скопје</v>
          </cell>
          <cell r="B248">
            <v>865</v>
          </cell>
        </row>
        <row r="249">
          <cell r="A249" t="str">
            <v>Агромеханика Скопје</v>
          </cell>
          <cell r="B249">
            <v>300</v>
          </cell>
        </row>
        <row r="250">
          <cell r="A250" t="str">
            <v>Ангропромет-Тиквешанка Кавадарци</v>
          </cell>
          <cell r="B250">
            <v>750</v>
          </cell>
        </row>
        <row r="251">
          <cell r="A251" t="str">
            <v>Аутомакедонија Скопје</v>
          </cell>
          <cell r="B251">
            <v>3040</v>
          </cell>
        </row>
        <row r="252">
          <cell r="A252" t="str">
            <v>Рудници Бањани Скопје</v>
          </cell>
          <cell r="B252">
            <v>603</v>
          </cell>
        </row>
        <row r="253">
          <cell r="A253" t="str">
            <v>Кристал 1923 АД Велес</v>
          </cell>
          <cell r="B253">
            <v>158</v>
          </cell>
        </row>
        <row r="254">
          <cell r="A254" t="str">
            <v>БИМ Свети Николе</v>
          </cell>
          <cell r="B254">
            <v>15550</v>
          </cell>
        </row>
        <row r="255">
          <cell r="A255" t="str">
            <v>ФЗЦ 11 Октомври Куманово</v>
          </cell>
          <cell r="B255">
            <v>200</v>
          </cell>
        </row>
        <row r="256">
          <cell r="A256" t="str">
            <v>Централна кооперативна банка Скопје</v>
          </cell>
          <cell r="B256">
            <v>350</v>
          </cell>
        </row>
        <row r="257">
          <cell r="A257" t="str">
            <v>Дебарски бањи Дебар</v>
          </cell>
          <cell r="B257">
            <v>1550</v>
          </cell>
        </row>
        <row r="258">
          <cell r="A258" t="str">
            <v>Димко Митрев Велес</v>
          </cell>
          <cell r="B258">
            <v>185</v>
          </cell>
        </row>
        <row r="259">
          <cell r="A259" t="str">
            <v>Единство Струмица</v>
          </cell>
          <cell r="B259">
            <v>80</v>
          </cell>
        </row>
        <row r="260">
          <cell r="A260" t="str">
            <v>Европа Скопје</v>
          </cell>
          <cell r="B260">
            <v>2900</v>
          </cell>
        </row>
        <row r="261">
          <cell r="A261" t="str">
            <v>Факом Скопје</v>
          </cell>
          <cell r="B261">
            <v>6984</v>
          </cell>
        </row>
        <row r="262">
          <cell r="A262" t="str">
            <v>Фустеларко Борец Битола</v>
          </cell>
          <cell r="B262">
            <v>2101</v>
          </cell>
        </row>
        <row r="263">
          <cell r="A263" t="str">
            <v>Герас Цунев конфекција Струмица</v>
          </cell>
          <cell r="B263">
            <v>500</v>
          </cell>
        </row>
        <row r="264">
          <cell r="A264" t="str">
            <v>Герас Цунев трговија Струмица</v>
          </cell>
          <cell r="B264">
            <v>500</v>
          </cell>
        </row>
        <row r="265">
          <cell r="A265" t="str">
            <v>Грозд Струмица</v>
          </cell>
          <cell r="B265">
            <v>2250</v>
          </cell>
        </row>
        <row r="266">
          <cell r="A266" t="str">
            <v>Градски Трговски Центар Скопје</v>
          </cell>
          <cell r="B266">
            <v>1790</v>
          </cell>
        </row>
        <row r="267">
          <cell r="A267" t="str">
            <v>Интерпромет Тетово</v>
          </cell>
          <cell r="B267">
            <v>4500</v>
          </cell>
        </row>
        <row r="268">
          <cell r="A268" t="str">
            <v>Македонија осигурување АД Скопје - Виена Иншуренс Груп</v>
          </cell>
          <cell r="B268">
            <v>1237</v>
          </cell>
        </row>
        <row r="269">
          <cell r="A269" t="str">
            <v>Кланица со ладилник Струмица</v>
          </cell>
        </row>
        <row r="270">
          <cell r="A270" t="str">
            <v>Фруктал МАК Скопје</v>
          </cell>
          <cell r="B270">
            <v>119</v>
          </cell>
        </row>
        <row r="271">
          <cell r="A271" t="str">
            <v>Карпош Скопје</v>
          </cell>
          <cell r="B271">
            <v>333</v>
          </cell>
        </row>
        <row r="272">
          <cell r="A272" t="str">
            <v>Лотарија на Македонија Скопје</v>
          </cell>
          <cell r="B272">
            <v>180</v>
          </cell>
        </row>
        <row r="273">
          <cell r="A273" t="str">
            <v>Пелистерка АД Скопје</v>
          </cell>
          <cell r="B273">
            <v>2619</v>
          </cell>
        </row>
        <row r="274">
          <cell r="A274" t="str">
            <v>Макпромет Штип</v>
          </cell>
          <cell r="B274">
            <v>600</v>
          </cell>
        </row>
        <row r="275">
          <cell r="A275" t="str">
            <v>Мермерен комбинат Прилеп</v>
          </cell>
          <cell r="B275">
            <v>2500</v>
          </cell>
        </row>
        <row r="276">
          <cell r="A276" t="str">
            <v>Мода Свети Николе</v>
          </cell>
          <cell r="B276">
            <v>99</v>
          </cell>
        </row>
        <row r="277">
          <cell r="A277" t="str">
            <v>Вабтек МЗТ Скопје</v>
          </cell>
          <cell r="B277">
            <v>3133</v>
          </cell>
        </row>
        <row r="278">
          <cell r="A278" t="str">
            <v>МЗТ Пумпи Скопје</v>
          </cell>
          <cell r="B278">
            <v>607</v>
          </cell>
        </row>
        <row r="279">
          <cell r="A279" t="str">
            <v>Огражден Струмица</v>
          </cell>
          <cell r="B279">
            <v>1900</v>
          </cell>
        </row>
        <row r="280">
          <cell r="A280" t="str">
            <v>Нова стоковна куќа Струмица</v>
          </cell>
          <cell r="B280">
            <v>61500</v>
          </cell>
        </row>
        <row r="281">
          <cell r="A281" t="str">
            <v>Оилко КДА Скопје</v>
          </cell>
          <cell r="B281">
            <v>6000</v>
          </cell>
        </row>
        <row r="282">
          <cell r="A282" t="str">
            <v>ОКТА Скопје</v>
          </cell>
          <cell r="B282">
            <v>5562.22</v>
          </cell>
        </row>
        <row r="283">
          <cell r="A283" t="str">
            <v>Оранжерии Хамзали Струмица</v>
          </cell>
          <cell r="B283">
            <v>201</v>
          </cell>
        </row>
        <row r="284">
          <cell r="A284" t="str">
            <v>Пекабеско Скопје</v>
          </cell>
          <cell r="B284">
            <v>16500</v>
          </cell>
        </row>
        <row r="285">
          <cell r="A285" t="str">
            <v>Попова Кула Демир Капија</v>
          </cell>
          <cell r="B285">
            <v>16</v>
          </cell>
        </row>
        <row r="286">
          <cell r="A286" t="str">
            <v>Прилепска Пиварница Прилеп</v>
          </cell>
          <cell r="B286">
            <v>30101</v>
          </cell>
        </row>
        <row r="287">
          <cell r="A287" t="str">
            <v>Раде Кончар Скопје</v>
          </cell>
        </row>
        <row r="288">
          <cell r="A288" t="str">
            <v>РЖ Економика Скопје</v>
          </cell>
          <cell r="B288">
            <v>50</v>
          </cell>
        </row>
        <row r="289">
          <cell r="A289" t="str">
            <v>Либерти АД Скопје</v>
          </cell>
        </row>
        <row r="290">
          <cell r="A290" t="str">
            <v>РЖ Техничка контрола Скопје</v>
          </cell>
        </row>
        <row r="291">
          <cell r="A291" t="str">
            <v>РЖ Уготур Скопје</v>
          </cell>
          <cell r="B291">
            <v>20</v>
          </cell>
        </row>
        <row r="292">
          <cell r="A292" t="str">
            <v>Современ дом Прилеп</v>
          </cell>
          <cell r="B292">
            <v>30</v>
          </cell>
        </row>
        <row r="293">
          <cell r="A293" t="str">
            <v>Силекс Кратово</v>
          </cell>
        </row>
        <row r="294">
          <cell r="A294" t="str">
            <v>Славеј Скопје</v>
          </cell>
          <cell r="B294">
            <v>3100</v>
          </cell>
        </row>
        <row r="295">
          <cell r="A295" t="str">
            <v>Струмичко поле с.Василево</v>
          </cell>
        </row>
        <row r="296">
          <cell r="A296" t="str">
            <v>Сигурносно стакло Прилеп</v>
          </cell>
          <cell r="B296">
            <v>360</v>
          </cell>
        </row>
        <row r="297">
          <cell r="A297" t="str">
            <v>Стопанска банка Скопје</v>
          </cell>
          <cell r="B297">
            <v>1285.85</v>
          </cell>
        </row>
        <row r="298">
          <cell r="A298" t="str">
            <v>Стокопромет Скопје</v>
          </cell>
          <cell r="B298">
            <v>1200</v>
          </cell>
        </row>
        <row r="299">
          <cell r="A299" t="str">
            <v>ТЕАЛ-Алумина Тетово</v>
          </cell>
          <cell r="B299">
            <v>730</v>
          </cell>
        </row>
        <row r="300">
          <cell r="A300" t="str">
            <v>Технокомерц Скопје</v>
          </cell>
          <cell r="B300">
            <v>1000</v>
          </cell>
        </row>
        <row r="301">
          <cell r="A301" t="str">
            <v>Македонски Телеком Скопје</v>
          </cell>
        </row>
        <row r="302">
          <cell r="A302" t="str">
            <v>ГД-Тиквеш Кавадарци</v>
          </cell>
        </row>
        <row r="303">
          <cell r="A303" t="str">
            <v>НЛБ Банка АД Скопје</v>
          </cell>
        </row>
        <row r="304">
          <cell r="A304" t="str">
            <v>Транскоп-Патнички сооб. Битола</v>
          </cell>
        </row>
        <row r="305">
          <cell r="A305" t="str">
            <v>Трготекстил малопродажба Скопје</v>
          </cell>
        </row>
        <row r="306">
          <cell r="A306" t="str">
            <v>Универзална Инвестициона Банка Скопје</v>
          </cell>
          <cell r="B306">
            <v>5001</v>
          </cell>
        </row>
        <row r="307">
          <cell r="A307" t="str">
            <v>Цементарница УСЈЕ Скопје</v>
          </cell>
          <cell r="B307">
            <v>28899</v>
          </cell>
        </row>
        <row r="308">
          <cell r="A308" t="str">
            <v>Триглав осигурување Скопје</v>
          </cell>
        </row>
        <row r="309">
          <cell r="A309" t="str">
            <v>Ветекс Велес</v>
          </cell>
        </row>
        <row r="310">
          <cell r="A310" t="str">
            <v>ЖАС Скопје</v>
          </cell>
        </row>
        <row r="311">
          <cell r="A311" t="str">
            <v>Жито Караорман Кичево</v>
          </cell>
        </row>
        <row r="312">
          <cell r="A312" t="str">
            <v>Жито Полог Тетово</v>
          </cell>
        </row>
        <row r="313">
          <cell r="A313" t="str">
            <v>Задолжителна котација - приоритетни акции</v>
          </cell>
        </row>
        <row r="314">
          <cell r="A314" t="str">
            <v>Стопанска банка Скопје</v>
          </cell>
        </row>
        <row r="315">
          <cell r="A315" t="str">
            <v>Редовен пазар</v>
          </cell>
        </row>
        <row r="316">
          <cell r="A316" t="str">
            <v>Пазар на акционерски друштва со посебни обврски за известување - обични акции</v>
          </cell>
        </row>
        <row r="317">
          <cell r="A317" t="str">
            <v>Агросервис Скопје</v>
          </cell>
        </row>
        <row r="318">
          <cell r="A318" t="str">
            <v>Шпаркасе банка Македонија АД Скопје</v>
          </cell>
        </row>
        <row r="319">
          <cell r="A319" t="str">
            <v>Слободен пазар - обични акции</v>
          </cell>
        </row>
        <row r="320">
          <cell r="A320" t="str">
            <v>Единство Струга</v>
          </cell>
        </row>
        <row r="321">
          <cell r="A321" t="str">
            <v>Комунапроект Тетово</v>
          </cell>
        </row>
        <row r="322">
          <cell r="A322" t="str">
            <v>Квасара Битола</v>
          </cell>
        </row>
        <row r="323">
          <cell r="A323" t="str">
            <v>АрцелорМиттал (ХРМ) АД Скопје - долгорочно суспендирано од котација</v>
          </cell>
        </row>
        <row r="324">
          <cell r="A324" t="str">
            <v>Солун 2001 Гевгелија</v>
          </cell>
        </row>
        <row r="325">
          <cell r="A325" t="str">
            <v>Факул.-земјо. стопанство Трубарево АД с. Трубарево Скопје</v>
          </cell>
        </row>
        <row r="326">
          <cell r="A326" t="str">
            <v>ЗИМ Скопје</v>
          </cell>
        </row>
        <row r="327">
          <cell r="A327" t="str">
            <v>БЛОКОВИ</v>
          </cell>
        </row>
        <row r="328">
          <cell r="A328" t="str">
            <v>Официјален пазар</v>
          </cell>
        </row>
        <row r="329">
          <cell r="A329" t="str">
            <v>Супер котација - обични акции</v>
          </cell>
        </row>
        <row r="330">
          <cell r="A330" t="str">
            <v>Комерцијална банка Скопје</v>
          </cell>
        </row>
        <row r="331">
          <cell r="A331" t="str">
            <v>Вкупен промет на сите пазарни сегменти: 39.109.450,00</v>
          </cell>
        </row>
        <row r="332">
          <cell r="A332" t="str">
            <v>МБИ10</v>
          </cell>
        </row>
        <row r="333">
          <cell r="A333" t="str">
            <v>ОМБ</v>
          </cell>
        </row>
        <row r="334">
          <cell r="A334" t="str">
            <v>1 EUR = 61,5707 МКД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  <cell r="B14">
            <v>20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  <cell r="B24">
            <v>130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Р.Македонија државна обврзница DO2022/16-1237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DO2017/35-1132dk</v>
          </cell>
        </row>
        <row r="46">
          <cell r="A46" t="str">
            <v>Р. Македонија - државна обврзница DO2022/03-0337</v>
          </cell>
        </row>
        <row r="47">
          <cell r="A47" t="str">
            <v>Р. Македонија - државна обврзница DO2023/04-0338</v>
          </cell>
        </row>
        <row r="48">
          <cell r="A48" t="str">
            <v>Р. Македонија - државна обврзница DO2014/16-0724dk</v>
          </cell>
        </row>
        <row r="49">
          <cell r="A49" t="str">
            <v>Р. Македонија - државна обврзница DO2016/26-1131dk</v>
          </cell>
        </row>
        <row r="50">
          <cell r="A50" t="str">
            <v>Р. Македонија - државна обврзница DO2020/14-1223</v>
          </cell>
        </row>
        <row r="51">
          <cell r="A51" t="str">
            <v>Р. Македонија - државна обврзница DO2015/44-1230dk</v>
          </cell>
        </row>
        <row r="52">
          <cell r="A52" t="str">
            <v>Р. Македонија - државна обврзница DO2020/15-1235dk</v>
          </cell>
        </row>
        <row r="53">
          <cell r="A53" t="str">
            <v>Р. Македонија - државна обврзница DO2021/04-0336</v>
          </cell>
        </row>
        <row r="54">
          <cell r="A54" t="str">
            <v>Р. Македонија - државна обврзница DO2017/14-0532dk</v>
          </cell>
        </row>
        <row r="55">
          <cell r="A55" t="str">
            <v>Р. Македонија - државна обврзница DO2015/19-0630dk</v>
          </cell>
        </row>
        <row r="56">
          <cell r="A56" t="str">
            <v>Р.Македонија - државна обврзница DO2022/09-0837</v>
          </cell>
        </row>
        <row r="57">
          <cell r="A57" t="str">
            <v>Р.Македонија - државна обврзница DO2022/10-0837dk</v>
          </cell>
        </row>
        <row r="58">
          <cell r="A58" t="str">
            <v>Р. Македонија - државна обврзница DO2014/19-0924dk</v>
          </cell>
        </row>
        <row r="59">
          <cell r="A59" t="str">
            <v>Р. Македонија - државна обврзница DO2014/38-1224</v>
          </cell>
        </row>
        <row r="60">
          <cell r="A60" t="str">
            <v>Р. Македонија - државна обврзница DO2020/03-0325</v>
          </cell>
        </row>
        <row r="61">
          <cell r="A61" t="str">
            <v>Р. Македонија - државна обврзница DO2014/13-0624dk</v>
          </cell>
        </row>
        <row r="62">
          <cell r="A62" t="str">
            <v>Р. Македонија - државна обврзница ДО2021/13-0836</v>
          </cell>
        </row>
        <row r="63">
          <cell r="A63" t="str">
            <v>Р. Македонија - државна обврзница DO2017/30-1032dk</v>
          </cell>
        </row>
        <row r="64">
          <cell r="A64" t="str">
            <v>Р. Македонија - државна обврзница DO2020/12-1125</v>
          </cell>
        </row>
        <row r="65">
          <cell r="A65" t="str">
            <v>Р. Македонија - државна обврзница DO2019/16-1234dk</v>
          </cell>
        </row>
        <row r="66">
          <cell r="A66" t="str">
            <v>Р. Македонија - државна обврзница DO2017/12-0432dk</v>
          </cell>
        </row>
        <row r="67">
          <cell r="A67" t="str">
            <v>Р. Македонија - државна обврзница DO2017/19-0732dk</v>
          </cell>
        </row>
        <row r="68">
          <cell r="A68" t="str">
            <v>Р. Македонија - државна обврзница DO2015/30-0825dk</v>
          </cell>
        </row>
        <row r="69">
          <cell r="A69" t="str">
            <v>Р. Македонија - државна обврзница DO2015/31-0830dk</v>
          </cell>
        </row>
        <row r="70">
          <cell r="A70" t="str">
            <v>Р. Македонија - државна обврзница DO2020/07-0850dk</v>
          </cell>
        </row>
        <row r="71">
          <cell r="A71" t="str">
            <v>Р. Македонија - државна обврзница DO2019/05-0324</v>
          </cell>
        </row>
        <row r="72">
          <cell r="A72" t="str">
            <v>Р. Македонија - државна обврзница DO2016/11-0426dk</v>
          </cell>
        </row>
        <row r="73">
          <cell r="A73" t="str">
            <v>Р. Македонија - државна обврзница DO2015/17-0530dk</v>
          </cell>
        </row>
        <row r="74">
          <cell r="A74" t="str">
            <v>Р. Македонија - државна обврзница DO2018/12-0633</v>
          </cell>
        </row>
        <row r="75">
          <cell r="A75" t="str">
            <v>Р. Македонија - државна обврзница DO2017/26-0932dk</v>
          </cell>
        </row>
        <row r="76">
          <cell r="A76" t="str">
            <v>Р. Македонија - државна обврзница DO2019/15-1134</v>
          </cell>
        </row>
        <row r="77">
          <cell r="A77" t="str">
            <v>Р. Македонија - државна обврзница DO2017/38-1232dk</v>
          </cell>
        </row>
        <row r="78">
          <cell r="A78" t="str">
            <v>Р. Македонија - државна обврзница DO2018/10-0333dk</v>
          </cell>
        </row>
        <row r="79">
          <cell r="A79" t="str">
            <v>Р. Македонија - државна обврзница DO2017/16-0632dk</v>
          </cell>
        </row>
        <row r="80">
          <cell r="A80" t="str">
            <v>Р. Македонија - државна обврзница DO2016/15-0731dk</v>
          </cell>
        </row>
        <row r="81">
          <cell r="A81" t="str">
            <v>Р. Македонија - државна обврзница DO2019/11-0834dk</v>
          </cell>
        </row>
        <row r="82">
          <cell r="A82" t="str">
            <v>Р. Македонија - државна обврзница DO2015/40-1030dk</v>
          </cell>
        </row>
        <row r="83">
          <cell r="A83" t="str">
            <v>Р. Македонија - државна обврзница DO2023/02-0238</v>
          </cell>
        </row>
        <row r="84">
          <cell r="A84" t="str">
            <v>Р. Македонија - државна обврзница DO2017/08-0332dk</v>
          </cell>
        </row>
        <row r="85">
          <cell r="A85" t="str">
            <v>Р. Македонија - државна обврзница DO2016/13-0631dk</v>
          </cell>
        </row>
        <row r="86">
          <cell r="A86" t="str">
            <v>Р. Македонија - државна обврзница DO2015/23-0725</v>
          </cell>
        </row>
        <row r="87">
          <cell r="A87" t="str">
            <v>Р. Македонија - државна обврзница DO2015/24-0725dk</v>
          </cell>
        </row>
        <row r="88">
          <cell r="A88" t="str">
            <v>Р. Македонија - државна обврзница DO2015/25-0730dk</v>
          </cell>
        </row>
        <row r="89">
          <cell r="A89" t="str">
            <v>Р. Македонија - државна обврзница DO2018/17-0833dk</v>
          </cell>
        </row>
        <row r="90">
          <cell r="A90" t="str">
            <v>Р.Македонија државна обврзница DO2022/13-0937</v>
          </cell>
        </row>
        <row r="91">
          <cell r="A91" t="str">
            <v>Р.Македонија државна обврзница DO2022/12-0937dk</v>
          </cell>
        </row>
        <row r="92">
          <cell r="A92" t="str">
            <v>Р. Македонија - државна обврзница DO2017/22-0832dk</v>
          </cell>
        </row>
        <row r="93">
          <cell r="A93" t="str">
            <v>Р. Македонија - државна обврзница DO2018/02-0128</v>
          </cell>
        </row>
        <row r="94">
          <cell r="A94" t="str">
            <v>Р. Македонија - државна обврзница DO2018/03-0133dk</v>
          </cell>
        </row>
        <row r="95">
          <cell r="A95" t="str">
            <v>Р. Македонија - државна обврзница DO2016/05-0226</v>
          </cell>
        </row>
        <row r="96">
          <cell r="A96" t="str">
            <v>Р. Македонија - државна обврзница DO2016/06-0226dk</v>
          </cell>
        </row>
        <row r="97">
          <cell r="A97" t="str">
            <v>Р. Македонија - државна обврзница DO2016/07-0231dk</v>
          </cell>
        </row>
        <row r="98">
          <cell r="A98" t="str">
            <v>Р. Македонија - државна обврзница DO2023/06-0538</v>
          </cell>
        </row>
        <row r="99">
          <cell r="A99" t="str">
            <v>Р. Македонија - државна обврзница DO2017/02-0132dk</v>
          </cell>
        </row>
        <row r="100">
          <cell r="A100" t="str">
            <v>Р. Македонија - државна обврзница DO2023/01-0138</v>
          </cell>
        </row>
        <row r="101">
          <cell r="A101" t="str">
            <v>Р. Македонија - државна обврзница DO2015/05-0230dk</v>
          </cell>
        </row>
        <row r="102">
          <cell r="A102" t="str">
            <v>Р. Македонија - државна обврзница DO2015/09-0325</v>
          </cell>
        </row>
        <row r="103">
          <cell r="A103" t="str">
            <v>Р. Македонија - државна обврзница DO2015/10-0330dk</v>
          </cell>
        </row>
        <row r="104">
          <cell r="A104" t="str">
            <v>Р. Македонија - државна обврзница DO2022/05-0537</v>
          </cell>
        </row>
        <row r="105">
          <cell r="A105" t="str">
            <v>Р. Македонија - државна обврзница DO2022/01-0137</v>
          </cell>
        </row>
        <row r="106">
          <cell r="A106" t="str">
            <v>Р. Македонија - државна обврзница DO2020/02-0235</v>
          </cell>
        </row>
        <row r="107">
          <cell r="A107" t="str">
            <v>Р. Македонија - државна обврзница DO2022/14-1037</v>
          </cell>
        </row>
        <row r="108">
          <cell r="A108" t="str">
            <v>Р. Македонија - државна обврзница DO2016/01-0126dk</v>
          </cell>
        </row>
        <row r="109">
          <cell r="A109" t="str">
            <v>Р. Македонија - државна обврзница DO2016/02-0131dk</v>
          </cell>
        </row>
        <row r="110">
          <cell r="A110" t="str">
            <v>Р. Македонија - државна обврзница DO2021/01-0136</v>
          </cell>
        </row>
        <row r="111">
          <cell r="A111" t="str">
            <v>Р. Македонија - државна обврзница DO2019/03-0224dk</v>
          </cell>
        </row>
        <row r="112">
          <cell r="A112" t="str">
            <v>Р. Македонија - државна обврзница DO2016/12-0431dk</v>
          </cell>
        </row>
        <row r="113">
          <cell r="A113" t="str">
            <v>Р. Македонија - државна обврзница DO2022/04-0437dk</v>
          </cell>
        </row>
        <row r="114">
          <cell r="A114" t="str">
            <v>Р. Македонија - државна обврзница DO2021/09-0526</v>
          </cell>
        </row>
        <row r="115">
          <cell r="A115" t="str">
            <v>Р. Македонија - државна обврзница DO2016/23-1031dk</v>
          </cell>
        </row>
        <row r="116">
          <cell r="A116" t="str">
            <v>Р. Македонија - државна обврзница DO2021/15-1036</v>
          </cell>
        </row>
        <row r="117">
          <cell r="A117" t="str">
            <v>Р. Македонија - државна обврзница DO2018/08-0233dk</v>
          </cell>
        </row>
        <row r="118">
          <cell r="A118" t="str">
            <v>Р. Македонија - државна обврзница DO2021/07-0436</v>
          </cell>
        </row>
        <row r="119">
          <cell r="A119" t="str">
            <v>Р. Македонија - државна обврзница DO2021/08-0436dk</v>
          </cell>
        </row>
        <row r="120">
          <cell r="A120" t="str">
            <v>Р.Македонија - државна обврзница DO2023/08-0638</v>
          </cell>
        </row>
        <row r="121">
          <cell r="A121" t="str">
            <v>Р.Македонија - државна обврзница DO2023/09-0638dk</v>
          </cell>
        </row>
        <row r="122">
          <cell r="A122" t="str">
            <v>Р. Македонија - државна обврзница DO2020/08-1030</v>
          </cell>
        </row>
        <row r="123">
          <cell r="A123" t="str">
            <v>Р. Македонија - државна обврзница DO2020/09-1030dk</v>
          </cell>
        </row>
        <row r="124">
          <cell r="A124" t="str">
            <v>Р.Македонија - државна обврзница DO2023/03-225</v>
          </cell>
        </row>
        <row r="125">
          <cell r="A125" t="str">
            <v>Р. Македонија - државна обврзница DO2017/06-0232dk</v>
          </cell>
        </row>
        <row r="126">
          <cell r="A126" t="str">
            <v>Р. Македонија - државна обврзница DO2015/15-0430dk</v>
          </cell>
        </row>
        <row r="127">
          <cell r="A127" t="str">
            <v>Р. Македонија - државна обврзница DO2019/08-0524</v>
          </cell>
        </row>
        <row r="128">
          <cell r="A128" t="str">
            <v>Р. Македонија - државна обврзница DO2019/09-0534</v>
          </cell>
        </row>
        <row r="129">
          <cell r="A129" t="str">
            <v>Р.Македонија - државна обврзница DO2022/06-0637</v>
          </cell>
        </row>
        <row r="130">
          <cell r="A130" t="str">
            <v>Р.Македонија - државна обврзница DO2022/07-0637dk</v>
          </cell>
        </row>
        <row r="131">
          <cell r="A131" t="str">
            <v>Р. Македонија - државна обврзница DO2021/14-0936</v>
          </cell>
        </row>
        <row r="132">
          <cell r="A132" t="str">
            <v>Р. Македонија - државна обврзница DO2014/27-1024</v>
          </cell>
        </row>
        <row r="133">
          <cell r="A133" t="str">
            <v>Р. Македонија - државна обврзница DO2014/28-1024dk</v>
          </cell>
        </row>
        <row r="134">
          <cell r="A134" t="str">
            <v>Р. Македонија - државна обврзница DO2021/17-1224</v>
          </cell>
        </row>
        <row r="135">
          <cell r="A135" t="str">
            <v>Р. Македонија - државна обврзница DO2016/08-0331dk</v>
          </cell>
        </row>
        <row r="136">
          <cell r="A136" t="str">
            <v>Р. Македонија - државна обврзница DO2021/10-0636</v>
          </cell>
        </row>
        <row r="137">
          <cell r="A137" t="str">
            <v>Р. Македонија - државна обврзница DO2021/11-0636dk</v>
          </cell>
        </row>
        <row r="138">
          <cell r="A138" t="str">
            <v>Р. Македонија - државна обврзница DO2017/24-0832dk</v>
          </cell>
        </row>
        <row r="139">
          <cell r="A139" t="str">
            <v>Р. Македонија - државна обврзница DO2015/37-0930dk</v>
          </cell>
        </row>
        <row r="140">
          <cell r="A140" t="str">
            <v>Р. Македонија - државна обврзница DO2019/13-1024</v>
          </cell>
        </row>
        <row r="141">
          <cell r="A141" t="str">
            <v>Р.Македонија државна обврзница DO2022/15-1137</v>
          </cell>
        </row>
        <row r="142">
          <cell r="A142" t="str">
            <v>Р. Македонија - државна обврзница DO2015/45-1225dk</v>
          </cell>
        </row>
        <row r="143">
          <cell r="A143" t="str">
            <v>Р. Македонија - државна обврзница DO2021/03-0224</v>
          </cell>
        </row>
        <row r="144">
          <cell r="A144" t="str">
            <v>Р. Македонија - државна обврзница DO2019/06-0449dk</v>
          </cell>
        </row>
        <row r="145">
          <cell r="A145" t="str">
            <v>Р. Македонија - државна обврзница DO2020/06-0635</v>
          </cell>
        </row>
        <row r="146">
          <cell r="A146" t="str">
            <v>Р. Македонија - државна обврзница DO2019/10-0749dk</v>
          </cell>
        </row>
        <row r="147">
          <cell r="A147" t="str">
            <v>Р. Македонија - државна обврзница DO2016/17-0826</v>
          </cell>
        </row>
        <row r="148">
          <cell r="A148" t="str">
            <v>Р. Македонија - државна обврзница DO2016/18-0826dk</v>
          </cell>
        </row>
        <row r="149">
          <cell r="A149" t="str">
            <v>Р. Македонија - државна обврзница DO2016/19-0831dk</v>
          </cell>
        </row>
        <row r="150">
          <cell r="A150" t="str">
            <v>Р. Македонија - државна обврзница DО2022/11-0837dk</v>
          </cell>
        </row>
        <row r="151">
          <cell r="A151" t="str">
            <v>Р. Македонија - државна обврзница DO2018/23-1048dk</v>
          </cell>
        </row>
        <row r="152">
          <cell r="A152" t="str">
            <v>Р. Македонија - државна обврзница DO2021/16-1136dk</v>
          </cell>
        </row>
        <row r="153">
          <cell r="A153" t="str">
            <v>Р. Македонија - државна обврзница DO2018/14-0723</v>
          </cell>
        </row>
        <row r="154">
          <cell r="A154" t="str">
            <v>Р. Македонија - државна обврзница DO2018/15-0748dk</v>
          </cell>
        </row>
        <row r="155">
          <cell r="A155" t="str">
            <v>Р. Македонија - државна обврзница DO2019/12-0934</v>
          </cell>
        </row>
        <row r="156">
          <cell r="A156" t="str">
            <v>Р. Македонија - државна обврзница DO2017/32-1032dk</v>
          </cell>
        </row>
        <row r="157">
          <cell r="A157" t="str">
            <v>Р. Македонија - државна обврзница DO2020/13-1123dk</v>
          </cell>
        </row>
        <row r="158">
          <cell r="A158" t="str">
            <v>Р. Македонија - државна обврзница DO2015/42-1125dk</v>
          </cell>
        </row>
        <row r="159">
          <cell r="A159" t="str">
            <v>Р. Македонија - државна обврзница DO2015/43-1130dk</v>
          </cell>
        </row>
        <row r="160">
          <cell r="A160" t="str">
            <v>Р. Македонија - државна обврзница DO2017/20-0732dk</v>
          </cell>
        </row>
        <row r="161">
          <cell r="A161" t="str">
            <v>Р. Македонија - државна обврзница DO2015/32-0825</v>
          </cell>
        </row>
        <row r="162">
          <cell r="A162" t="str">
            <v>Р. Македонија - државна обврзница DO2015/33-0830dk</v>
          </cell>
        </row>
        <row r="163">
          <cell r="A163" t="str">
            <v>Р. Македонија - државна обврзница DO2018/19-0933</v>
          </cell>
        </row>
        <row r="164">
          <cell r="A164" t="str">
            <v>Р. Македонија - државна обврзница DO2018/20-0933dk</v>
          </cell>
        </row>
        <row r="165">
          <cell r="A165" t="str">
            <v>Р. Македонија - државна обврзница DO2015/18-0525dk</v>
          </cell>
        </row>
        <row r="166">
          <cell r="A166" t="str">
            <v>Р. Македонија - државна обврзница DO2018/13-0633dk</v>
          </cell>
        </row>
        <row r="167">
          <cell r="A167" t="str">
            <v>Р. Македонија - државна обврзница DO2014/18-0824dk</v>
          </cell>
        </row>
        <row r="168">
          <cell r="A168" t="str">
            <v>Р. Македонија - државна обврзница DO2017/27-0932dk</v>
          </cell>
        </row>
        <row r="169">
          <cell r="A169" t="str">
            <v>Р. Македонија - државна обврзница DO2016/03-0131dk</v>
          </cell>
        </row>
        <row r="170">
          <cell r="A170" t="str">
            <v>Р. Македонија - државна обврзница DO2017/17-0632dk</v>
          </cell>
        </row>
        <row r="171">
          <cell r="A171" t="str">
            <v>Р. Македонија - државна обврзница DO2016/21-0931dk</v>
          </cell>
        </row>
        <row r="172">
          <cell r="A172" t="str">
            <v>Р. Македонија - државна обврзница DO2018/27-1133dk</v>
          </cell>
        </row>
        <row r="173">
          <cell r="A173" t="str">
            <v>Р. Македонија - државна обврзница DO2016/29-1231dk</v>
          </cell>
        </row>
        <row r="174">
          <cell r="A174" t="str">
            <v>Р. Македонија - државна обврзница DO2014/02-0124</v>
          </cell>
        </row>
        <row r="175">
          <cell r="A175" t="str">
            <v>Р. Македонија - државна обврзница DO2014/03-0124dk</v>
          </cell>
        </row>
        <row r="176">
          <cell r="A176" t="str">
            <v>Р. Македонија - државна обврзница DO2017/10-0332dk</v>
          </cell>
        </row>
        <row r="177">
          <cell r="A177" t="str">
            <v>Р. Македонија - државна обврзница DO2016/14-0631dk</v>
          </cell>
        </row>
        <row r="178">
          <cell r="A178" t="str">
            <v>Р. Македонија - државна обврзница DO2015/27-0725dk</v>
          </cell>
        </row>
        <row r="179">
          <cell r="A179" t="str">
            <v>Р. Македонија - државна обврзница DO2015/28-0730dk</v>
          </cell>
        </row>
        <row r="180">
          <cell r="A180" t="str">
            <v>Р. Македонија - државна обврзница DO2017/36-1132dk</v>
          </cell>
        </row>
        <row r="181">
          <cell r="A181" t="str">
            <v>Р. Македонија - државна обврзница DO2016/09-0326</v>
          </cell>
        </row>
        <row r="182">
          <cell r="A182" t="str">
            <v>Р. Македонија - државна обврзница DO2014/17-0724dk</v>
          </cell>
        </row>
        <row r="183">
          <cell r="A183" t="str">
            <v>Р. Македонија - државна обврзница DO2015/38-0925dk</v>
          </cell>
        </row>
        <row r="184">
          <cell r="A184" t="str">
            <v>Р. Македонија - државна обврзница DO2015/39-0930dk</v>
          </cell>
        </row>
        <row r="185">
          <cell r="A185" t="str">
            <v>Р. Македонија - државна обврзница DO2015/46-1225dk</v>
          </cell>
        </row>
        <row r="186">
          <cell r="A186" t="str">
            <v>Р. Македонија - државна обврзница DO2018/04-0133</v>
          </cell>
        </row>
        <row r="187">
          <cell r="A187" t="str">
            <v>Р. Македонија - државна обврзница DO2018/05-0133dk</v>
          </cell>
        </row>
        <row r="188">
          <cell r="A188" t="str">
            <v>Р. Македонија - државна обврзница DO2015/20-0625</v>
          </cell>
        </row>
        <row r="189">
          <cell r="A189" t="str">
            <v>Р. Македонија - државна обврзница DO2015/21-0625dk</v>
          </cell>
        </row>
        <row r="190">
          <cell r="A190" t="str">
            <v>Р. Македонија - државна обврзница DO2015/22-0630dk</v>
          </cell>
        </row>
        <row r="191">
          <cell r="A191" t="str">
            <v>Р. Македонија - државна обврзница DO2017/05-0132dk</v>
          </cell>
        </row>
        <row r="192">
          <cell r="A192" t="str">
            <v>Р. Македонија - државна обврзница DO2015/08-0230dk</v>
          </cell>
        </row>
        <row r="193">
          <cell r="A193" t="str">
            <v>Р. Македонија - државна обврзница DO2015/12-0325</v>
          </cell>
        </row>
        <row r="194">
          <cell r="A194" t="str">
            <v>Р. Македонија - државна обврзница DO2015/13-0330dk</v>
          </cell>
        </row>
        <row r="195">
          <cell r="A195" t="str">
            <v>Р. Македонија - државна обврзница DO2018/11-0448dk</v>
          </cell>
        </row>
        <row r="196">
          <cell r="A196" t="str">
            <v>Р.Македонија - државна обврзница DO2023/07-0538dk</v>
          </cell>
        </row>
        <row r="197">
          <cell r="A197" t="str">
            <v>Р. Македонија - државна обврзница DO2022/02-0125</v>
          </cell>
        </row>
        <row r="198">
          <cell r="A198" t="str">
            <v>Р. Македонија - државна обврзница DO2015/34-0825</v>
          </cell>
        </row>
        <row r="199">
          <cell r="A199" t="str">
            <v>Р. Македонија - државна обврзница DO2015/35-0825dk</v>
          </cell>
        </row>
        <row r="200">
          <cell r="A200" t="str">
            <v>Р. Македонија - државна обврзница DO2015/36-0830dk</v>
          </cell>
        </row>
        <row r="201">
          <cell r="A201" t="str">
            <v>Р. Македонија - државна обврзница DO2016/04-0131dk</v>
          </cell>
        </row>
        <row r="202">
          <cell r="A202" t="str">
            <v>Р. Македонија - државна обврзница DO2019/04-0234</v>
          </cell>
          <cell r="B202">
            <v>107.1</v>
          </cell>
        </row>
        <row r="203">
          <cell r="A203" t="str">
            <v>Р. Македонија - државна обврзница DO2016/16-0731dk</v>
          </cell>
        </row>
        <row r="204">
          <cell r="A204" t="str">
            <v>Р. Македонија - државна обврзница DO2015/03-0125</v>
          </cell>
        </row>
        <row r="205">
          <cell r="A205" t="str">
            <v>Р. Македонија - државна обврзница DO2015/04-0125dk</v>
          </cell>
        </row>
        <row r="206">
          <cell r="A206" t="str">
            <v>Р. Македонија - државна обврзница DO2017/18-0632dk</v>
          </cell>
        </row>
        <row r="207">
          <cell r="A207" t="str">
            <v>Р. Македонија - држaвна обврзница DO2021/12-0724</v>
          </cell>
        </row>
        <row r="208">
          <cell r="A208" t="str">
            <v>Р. Македонија - државна обврзница DO2016/22-0931dk</v>
          </cell>
        </row>
        <row r="209">
          <cell r="A209" t="str">
            <v>Р. Македонија - државна обврзница DO2015/41-1030dk</v>
          </cell>
        </row>
        <row r="210">
          <cell r="A210" t="str">
            <v>Р. Македонија - државна обврзница DO2020/10-1035</v>
          </cell>
        </row>
        <row r="211">
          <cell r="A211" t="str">
            <v>Р. Македонија - државна обврзница DO2022/17-1237</v>
          </cell>
        </row>
        <row r="212">
          <cell r="A212" t="str">
            <v>Р. Македонија - државна обврзница DO2022/18-1237dk</v>
          </cell>
        </row>
        <row r="213">
          <cell r="A213" t="str">
            <v>Р. Македонија - државна обврзница DO2020/01-0150dk</v>
          </cell>
        </row>
        <row r="214">
          <cell r="A214" t="str">
            <v>Р. Македонија - државна обврзница DO2017/11-0332dk</v>
          </cell>
        </row>
        <row r="215">
          <cell r="A215" t="str">
            <v>Р. Македонија - државна обврзница DO2023/05-0338</v>
          </cell>
        </row>
        <row r="216">
          <cell r="A216" t="str">
            <v>Р. Македонија - државна обврзница DO2023/06-0338dk</v>
          </cell>
        </row>
        <row r="217">
          <cell r="A217" t="str">
            <v>Р. Македонија - државна обврзница DO2020/04-0450dk</v>
          </cell>
          <cell r="B217">
            <v>100</v>
          </cell>
        </row>
        <row r="218">
          <cell r="A218" t="str">
            <v>Р. Македонија - државна обврзница DO2022/08-0637</v>
          </cell>
        </row>
        <row r="219">
          <cell r="A219" t="str">
            <v>Р. Македонија - државна обврзница DO2015/29-0730dk</v>
          </cell>
        </row>
        <row r="220">
          <cell r="A220" t="str">
            <v>Р. Македонија - државна обврзница DO2014/30-1024dk</v>
          </cell>
        </row>
        <row r="221">
          <cell r="A221" t="str">
            <v>Р. Македонија - државна обврзница DO2017/37-1132dk</v>
          </cell>
        </row>
        <row r="222">
          <cell r="A222" t="str">
            <v>Р. Македонија - државна обврзница DO2019/02-0149dk</v>
          </cell>
        </row>
        <row r="223">
          <cell r="A223" t="str">
            <v>Р. Македонија - државна обврзница DO2016/10-0331dk</v>
          </cell>
        </row>
        <row r="224">
          <cell r="A224" t="str">
            <v>Р. Македонија - државна обврзница DO2019/14-1049dk</v>
          </cell>
          <cell r="B224">
            <v>103.5</v>
          </cell>
        </row>
        <row r="225">
          <cell r="A225" t="str">
            <v>Р. Македонија - државна обврзница DO2020/19-1223</v>
          </cell>
        </row>
        <row r="226">
          <cell r="A226" t="str">
            <v>Р. Македонија - државна обврзница DO2020/20-1223dk</v>
          </cell>
        </row>
        <row r="227">
          <cell r="A227" t="str">
            <v>Р. Македонија - денационализација 13</v>
          </cell>
          <cell r="B227">
            <v>99</v>
          </cell>
        </row>
        <row r="228">
          <cell r="A228" t="str">
            <v>Р. Македонија - денационализација 14</v>
          </cell>
          <cell r="B228">
            <v>99</v>
          </cell>
        </row>
        <row r="229">
          <cell r="A229" t="str">
            <v>Р. Македонија - денационализација 15</v>
          </cell>
          <cell r="B229">
            <v>97.7</v>
          </cell>
        </row>
        <row r="230">
          <cell r="A230" t="str">
            <v>Р. Македонија - денационализација 16</v>
          </cell>
          <cell r="B230">
            <v>93</v>
          </cell>
        </row>
        <row r="231">
          <cell r="A231" t="str">
            <v>Р. Македонија - денационализација 17</v>
          </cell>
          <cell r="B231">
            <v>90</v>
          </cell>
        </row>
        <row r="232">
          <cell r="A232" t="str">
            <v>Р. Македонија - денационализација 18</v>
          </cell>
          <cell r="B232">
            <v>99</v>
          </cell>
        </row>
        <row r="233">
          <cell r="A233" t="str">
            <v>Р. Македонија - денационализација 19</v>
          </cell>
          <cell r="B233">
            <v>92</v>
          </cell>
        </row>
        <row r="234">
          <cell r="A234" t="str">
            <v>Р. Македонија - денационализација 20</v>
          </cell>
          <cell r="B234">
            <v>93.65</v>
          </cell>
        </row>
        <row r="235">
          <cell r="A235" t="str">
            <v>Р. Македонија - денационализација 21</v>
          </cell>
          <cell r="B235">
            <v>94</v>
          </cell>
        </row>
        <row r="236">
          <cell r="A236" t="str">
            <v>СН Осигурителен Брокер АД Битола - корпоративна обврзница I емисија</v>
          </cell>
          <cell r="B236">
            <v>100</v>
          </cell>
        </row>
        <row r="237">
          <cell r="A237" t="str">
            <v>ТТК банка АД Скопје - корпоративна обврзница I емисија</v>
          </cell>
          <cell r="B237">
            <v>100</v>
          </cell>
        </row>
        <row r="238">
          <cell r="A238" t="str">
            <v>ТТК банка АД Скопје - корпоративна обврзница II емисија</v>
          </cell>
        </row>
        <row r="239">
          <cell r="A239" t="str">
            <v>Берзанска котација - други хартии од вредност</v>
          </cell>
        </row>
        <row r="240">
          <cell r="A240" t="str">
            <v>Универзална Инвестициона Банка Скопје - перпетуални обврзници</v>
          </cell>
          <cell r="B240">
            <v>100</v>
          </cell>
        </row>
        <row r="241">
          <cell r="A241" t="str">
            <v>Универзална Инвестициона Банка Скопје - перпетуални обврзници - втора емисија</v>
          </cell>
        </row>
        <row r="242">
          <cell r="A242" t="str">
            <v>Задолжителна котација - обични акции</v>
          </cell>
        </row>
        <row r="243">
          <cell r="A243" t="str">
            <v>Адинг Скопје</v>
          </cell>
          <cell r="B243">
            <v>722</v>
          </cell>
        </row>
        <row r="244">
          <cell r="A244" t="str">
            <v>Агромеханика Скопје</v>
          </cell>
          <cell r="B244">
            <v>300</v>
          </cell>
        </row>
        <row r="245">
          <cell r="A245" t="str">
            <v>Ангропромет-Тиквешанка Кавадарци</v>
          </cell>
          <cell r="B245">
            <v>750</v>
          </cell>
        </row>
        <row r="246">
          <cell r="A246" t="str">
            <v>Аутомакедонија Скопје</v>
          </cell>
          <cell r="B246">
            <v>2987</v>
          </cell>
        </row>
        <row r="247">
          <cell r="A247" t="str">
            <v>Рудници Бањани Скопје</v>
          </cell>
          <cell r="B247">
            <v>603</v>
          </cell>
        </row>
        <row r="248">
          <cell r="A248" t="str">
            <v>Кристал 1923 АД Велес</v>
          </cell>
          <cell r="B248">
            <v>158</v>
          </cell>
        </row>
        <row r="249">
          <cell r="A249" t="str">
            <v>БИМ Свети Николе</v>
          </cell>
          <cell r="B249">
            <v>15550</v>
          </cell>
        </row>
        <row r="250">
          <cell r="A250" t="str">
            <v>ФЗЦ 11 Октомври Куманово</v>
          </cell>
          <cell r="B250">
            <v>200</v>
          </cell>
        </row>
        <row r="251">
          <cell r="A251" t="str">
            <v>Централна кооперативна банка Скопје</v>
          </cell>
          <cell r="B251">
            <v>350</v>
          </cell>
        </row>
        <row r="252">
          <cell r="A252" t="str">
            <v>Дебарски бањи Дебар</v>
          </cell>
        </row>
        <row r="253">
          <cell r="A253" t="str">
            <v>Димко Митрев Велес</v>
          </cell>
          <cell r="B253">
            <v>185</v>
          </cell>
        </row>
        <row r="254">
          <cell r="A254" t="str">
            <v>Единство Струмица</v>
          </cell>
          <cell r="B254">
            <v>60</v>
          </cell>
        </row>
        <row r="255">
          <cell r="A255" t="str">
            <v>Европа Скопје</v>
          </cell>
          <cell r="B255">
            <v>2900</v>
          </cell>
        </row>
        <row r="256">
          <cell r="A256" t="str">
            <v>Факом Скопје</v>
          </cell>
          <cell r="B256">
            <v>6984</v>
          </cell>
        </row>
        <row r="257">
          <cell r="A257" t="str">
            <v>Фустеларко Борец Битола</v>
          </cell>
          <cell r="B257">
            <v>2101</v>
          </cell>
        </row>
        <row r="258">
          <cell r="A258" t="str">
            <v>Герас Цунев конфекција Струмица</v>
          </cell>
          <cell r="B258">
            <v>500</v>
          </cell>
        </row>
        <row r="259">
          <cell r="A259" t="str">
            <v>Герас Цунев трговија Струмица</v>
          </cell>
          <cell r="B259">
            <v>500</v>
          </cell>
        </row>
        <row r="260">
          <cell r="A260" t="str">
            <v>Грозд Струмица</v>
          </cell>
          <cell r="B260">
            <v>2250</v>
          </cell>
        </row>
        <row r="261">
          <cell r="A261" t="str">
            <v>Градски Трговски Центар Скопје</v>
          </cell>
          <cell r="B261">
            <v>1790</v>
          </cell>
        </row>
        <row r="262">
          <cell r="A262" t="str">
            <v>Интерпромет Тетово</v>
          </cell>
          <cell r="B262">
            <v>4500</v>
          </cell>
        </row>
        <row r="263">
          <cell r="A263" t="str">
            <v>Македонија осигурување АД Скопје - Виена Иншуренс Груп</v>
          </cell>
          <cell r="B263">
            <v>1237</v>
          </cell>
        </row>
        <row r="264">
          <cell r="A264" t="str">
            <v>Кланица со ладилник Струмица</v>
          </cell>
          <cell r="B264">
            <v>120</v>
          </cell>
        </row>
        <row r="265">
          <cell r="A265" t="str">
            <v>Фруктал МАК Скопје</v>
          </cell>
          <cell r="B265">
            <v>119</v>
          </cell>
        </row>
        <row r="266">
          <cell r="A266" t="str">
            <v>Карпош Скопје</v>
          </cell>
          <cell r="B266">
            <v>333</v>
          </cell>
        </row>
        <row r="267">
          <cell r="A267" t="str">
            <v>Лотарија на Македонија Скопје</v>
          </cell>
          <cell r="B267">
            <v>180</v>
          </cell>
        </row>
        <row r="268">
          <cell r="A268" t="str">
            <v>Пелистерка АД Скопје</v>
          </cell>
          <cell r="B268">
            <v>2619</v>
          </cell>
        </row>
        <row r="269">
          <cell r="A269" t="str">
            <v>Макпромет Штип</v>
          </cell>
          <cell r="B269">
            <v>600</v>
          </cell>
        </row>
        <row r="270">
          <cell r="A270" t="str">
            <v>Мермерен комбинат Прилеп</v>
          </cell>
          <cell r="B270">
            <v>2500</v>
          </cell>
        </row>
        <row r="271">
          <cell r="A271" t="str">
            <v>Мода Свети Николе</v>
          </cell>
        </row>
        <row r="272">
          <cell r="A272" t="str">
            <v>Вабтек МЗТ Скопје</v>
          </cell>
          <cell r="B272">
            <v>3133</v>
          </cell>
        </row>
        <row r="273">
          <cell r="A273" t="str">
            <v>МЗТ Пумпи Скопје</v>
          </cell>
        </row>
        <row r="274">
          <cell r="A274" t="str">
            <v>Огражден Струмица</v>
          </cell>
        </row>
        <row r="275">
          <cell r="A275" t="str">
            <v>Нова стоковна куќа Струмица</v>
          </cell>
          <cell r="B275">
            <v>61500</v>
          </cell>
        </row>
        <row r="276">
          <cell r="A276" t="str">
            <v>Оилко КДА Скопје</v>
          </cell>
          <cell r="B276">
            <v>6000</v>
          </cell>
        </row>
        <row r="277">
          <cell r="A277" t="str">
            <v>ОКТА Скопје</v>
          </cell>
          <cell r="B277">
            <v>3300</v>
          </cell>
        </row>
        <row r="278">
          <cell r="A278" t="str">
            <v>Оранжерии Хамзали Струмица</v>
          </cell>
        </row>
        <row r="279">
          <cell r="A279" t="str">
            <v>Пекабеско Скопје</v>
          </cell>
          <cell r="B279">
            <v>16500</v>
          </cell>
        </row>
        <row r="280">
          <cell r="A280" t="str">
            <v>Попова Кула Демир Капија</v>
          </cell>
          <cell r="B280">
            <v>16</v>
          </cell>
        </row>
        <row r="281">
          <cell r="A281" t="str">
            <v>Прилепска Пиварница Прилеп</v>
          </cell>
        </row>
        <row r="282">
          <cell r="A282" t="str">
            <v>Раде Кончар Скопје</v>
          </cell>
          <cell r="B282">
            <v>2000</v>
          </cell>
        </row>
        <row r="283">
          <cell r="A283" t="str">
            <v>РЖ Економика Скопје</v>
          </cell>
          <cell r="B283">
            <v>50</v>
          </cell>
        </row>
        <row r="284">
          <cell r="A284" t="str">
            <v>Либерти АД Скопје</v>
          </cell>
        </row>
        <row r="285">
          <cell r="A285" t="str">
            <v>РЖ Техничка контрола Скопје</v>
          </cell>
        </row>
        <row r="286">
          <cell r="A286" t="str">
            <v>РЖ Уготур Скопје</v>
          </cell>
        </row>
        <row r="287">
          <cell r="A287" t="str">
            <v>Современ дом Прилеп</v>
          </cell>
        </row>
        <row r="288">
          <cell r="A288" t="str">
            <v>Силекс Кратово</v>
          </cell>
        </row>
        <row r="289">
          <cell r="A289" t="str">
            <v>Славеј Скопје</v>
          </cell>
        </row>
        <row r="290">
          <cell r="A290" t="str">
            <v>Струмичко поле с.Василево</v>
          </cell>
        </row>
        <row r="291">
          <cell r="A291" t="str">
            <v>Сигурносно стакло Прилеп</v>
          </cell>
        </row>
        <row r="292">
          <cell r="A292" t="str">
            <v>Стопанска банка Скопје</v>
          </cell>
        </row>
        <row r="293">
          <cell r="A293" t="str">
            <v>Стокопромет Скопје</v>
          </cell>
        </row>
        <row r="294">
          <cell r="A294" t="str">
            <v>Тајмиште Кичево</v>
          </cell>
        </row>
        <row r="295">
          <cell r="A295" t="str">
            <v>ТЕАЛ-Алумина Тетово</v>
          </cell>
        </row>
        <row r="296">
          <cell r="A296" t="str">
            <v>Технокомерц Скопје</v>
          </cell>
        </row>
        <row r="297">
          <cell r="A297" t="str">
            <v>Македонски Телеком Скопје</v>
          </cell>
        </row>
        <row r="298">
          <cell r="A298" t="str">
            <v>ГД-Тиквеш Кавадарци</v>
          </cell>
        </row>
        <row r="299">
          <cell r="A299" t="str">
            <v>НЛБ Банка АД Скопје</v>
          </cell>
        </row>
        <row r="300">
          <cell r="A300" t="str">
            <v>Транскоп-Патнички сооб. Битола</v>
          </cell>
        </row>
        <row r="301">
          <cell r="A301" t="str">
            <v>Трготекстил малопродажба Скопје</v>
          </cell>
        </row>
        <row r="302">
          <cell r="A302" t="str">
            <v>Универзална Инвестициона Банка Скопје</v>
          </cell>
        </row>
        <row r="303">
          <cell r="A303" t="str">
            <v>Цементарница УСЈЕ Скопје</v>
          </cell>
        </row>
        <row r="304">
          <cell r="A304" t="str">
            <v>Триглав осигурување Скопје</v>
          </cell>
        </row>
        <row r="305">
          <cell r="A305" t="str">
            <v>Ветекс Велес</v>
          </cell>
        </row>
        <row r="306">
          <cell r="A306" t="str">
            <v>ЖАС Скопје</v>
          </cell>
        </row>
        <row r="307">
          <cell r="A307" t="str">
            <v>Жито Караорман Кичево</v>
          </cell>
        </row>
        <row r="308">
          <cell r="A308" t="str">
            <v>Жито Полог Тетово</v>
          </cell>
        </row>
        <row r="309">
          <cell r="A309" t="str">
            <v>Задолжителна котација - приоритетни акции</v>
          </cell>
        </row>
        <row r="310">
          <cell r="A310" t="str">
            <v>Стопанска банка Скопје</v>
          </cell>
        </row>
        <row r="311">
          <cell r="A311" t="str">
            <v>Редовен пазар</v>
          </cell>
        </row>
        <row r="312">
          <cell r="A312" t="str">
            <v>Пазар на акционерски друштва со посебни обврски за известување - обични акции</v>
          </cell>
        </row>
        <row r="313">
          <cell r="A313" t="str">
            <v>Агросервис Скопје</v>
          </cell>
        </row>
        <row r="314">
          <cell r="A314" t="str">
            <v>Шпаркасе банка Македонија АД Скопје</v>
          </cell>
        </row>
        <row r="315">
          <cell r="A315" t="str">
            <v>ЗЕМ Промет Скопје</v>
          </cell>
        </row>
        <row r="316">
          <cell r="A316" t="str">
            <v>Слободен пазар - обични акции</v>
          </cell>
        </row>
        <row r="317">
          <cell r="A317" t="str">
            <v>АрцелорМиттал (ХРМ) АД Скопје - долгорочно суспендирано од котација</v>
          </cell>
        </row>
        <row r="318">
          <cell r="A318" t="str">
            <v>ЗИМ Скопје</v>
          </cell>
        </row>
        <row r="319">
          <cell r="A319" t="str">
            <v>Вкупен промет на сите пазарни сегменти: 8.650.402,00</v>
          </cell>
        </row>
        <row r="320">
          <cell r="A320" t="str">
            <v>МБИ10</v>
          </cell>
        </row>
        <row r="321">
          <cell r="A321" t="str">
            <v>ОМБ</v>
          </cell>
        </row>
        <row r="322">
          <cell r="A322" t="str">
            <v>1 EUR = 61,6320 МКД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  <cell r="B9">
            <v>1500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  <cell r="B19">
            <v>82000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  <cell r="B33">
            <v>5665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Р.Македонија државна обврзница DO2022/16-1237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DO2017/35-1132dk</v>
          </cell>
        </row>
        <row r="46">
          <cell r="A46" t="str">
            <v>Р. Македонија - државна обврзница DO2022/03-0337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DO2020/14-1223</v>
          </cell>
        </row>
        <row r="50">
          <cell r="A50" t="str">
            <v>Р. Македонија - државна обврзница DO2015/44-1230dk</v>
          </cell>
        </row>
        <row r="51">
          <cell r="A51" t="str">
            <v>Р. Македонија - државна обврзница DO2020/15-1235dk</v>
          </cell>
        </row>
        <row r="52">
          <cell r="A52" t="str">
            <v>Р. Македонија - државна обврзница DO2021/04-0336</v>
          </cell>
        </row>
        <row r="53">
          <cell r="A53" t="str">
            <v>Р. Македонија - државна обврзница DO2017/14-0532dk</v>
          </cell>
        </row>
        <row r="54">
          <cell r="A54" t="str">
            <v>Р. Македонија - државна обврзница DO2015/19-0630dk</v>
          </cell>
        </row>
        <row r="55">
          <cell r="A55" t="str">
            <v>Р.Македонија - државна обврзница DO2022/09-0837</v>
          </cell>
        </row>
        <row r="56">
          <cell r="A56" t="str">
            <v>Р.Македонија - државна обврзница DO2022/10-0837dk</v>
          </cell>
        </row>
        <row r="57">
          <cell r="A57" t="str">
            <v>Р. Македонија - државна обврзница DO2014/19-0924dk</v>
          </cell>
        </row>
        <row r="58">
          <cell r="A58" t="str">
            <v>Р. Македонија - државна обврзница DO2014/38-1224</v>
          </cell>
        </row>
        <row r="59">
          <cell r="A59" t="str">
            <v>Р. Македонија - државна обврзница DO2020/03-0325</v>
          </cell>
        </row>
        <row r="60">
          <cell r="A60" t="str">
            <v>Р. Македонија - државна обврзница DO2014/13-0624dk</v>
          </cell>
        </row>
        <row r="61">
          <cell r="A61" t="str">
            <v>Р. Македонија - државна обврзница ДО2021/13-0836</v>
          </cell>
        </row>
        <row r="62">
          <cell r="A62" t="str">
            <v>Р. Македонија - државна обврзница DO2017/30-1032dk</v>
          </cell>
        </row>
        <row r="63">
          <cell r="A63" t="str">
            <v>Р. Македонија - државна обврзница DO2020/12-1125</v>
          </cell>
        </row>
        <row r="64">
          <cell r="A64" t="str">
            <v>Р. Македонија - државна обврзница DO2019/16-1234dk</v>
          </cell>
        </row>
        <row r="65">
          <cell r="A65" t="str">
            <v>Р. Македонија - државна обврзница DO2017/12-0432dk</v>
          </cell>
        </row>
        <row r="66">
          <cell r="A66" t="str">
            <v>Р. Македонија - државна обврзница DO2017/19-0732dk</v>
          </cell>
        </row>
        <row r="67">
          <cell r="A67" t="str">
            <v>Р. Македонија - државна обврзница DO2015/30-0825dk</v>
          </cell>
        </row>
        <row r="68">
          <cell r="A68" t="str">
            <v>Р. Македонија - државна обврзница DO2015/31-0830dk</v>
          </cell>
        </row>
        <row r="69">
          <cell r="A69" t="str">
            <v>Р. Македонија - државна обврзница DO2020/07-0850dk</v>
          </cell>
        </row>
        <row r="70">
          <cell r="A70" t="str">
            <v>Р. Македонија - државна обврзница DO2019/05-0324</v>
          </cell>
        </row>
        <row r="71">
          <cell r="A71" t="str">
            <v>Р. Македонија - државна обврзница DO2016/11-0426dk</v>
          </cell>
        </row>
        <row r="72">
          <cell r="A72" t="str">
            <v>Р. Македонија - државна обврзница DO2015/17-0530dk</v>
          </cell>
        </row>
        <row r="73">
          <cell r="A73" t="str">
            <v>Р. Македонија - државна обврзница DO2018/12-0633</v>
          </cell>
        </row>
        <row r="74">
          <cell r="A74" t="str">
            <v>Р. Македонија - државна обврзница DO2017/26-0932dk</v>
          </cell>
        </row>
        <row r="75">
          <cell r="A75" t="str">
            <v>Р. Македонија - државна обврзница DO2019/15-1134</v>
          </cell>
        </row>
        <row r="76">
          <cell r="A76" t="str">
            <v>Р. Македонија - државна обврзница DO2017/38-1232dk</v>
          </cell>
        </row>
        <row r="77">
          <cell r="A77" t="str">
            <v>Р. Македонија - државна обврзница DO2018/10-0333dk</v>
          </cell>
        </row>
        <row r="78">
          <cell r="A78" t="str">
            <v>Р. Македонија - државна обврзница DO2017/16-0632dk</v>
          </cell>
        </row>
        <row r="79">
          <cell r="A79" t="str">
            <v>Р. Македонија - државна обврзница DO2016/15-0731dk</v>
          </cell>
        </row>
        <row r="80">
          <cell r="A80" t="str">
            <v>Р. Македонија - државна обврзница DO2019/11-0834dk</v>
          </cell>
        </row>
        <row r="81">
          <cell r="A81" t="str">
            <v>Р. Македонија - државна обврзница DO2015/40-1030dk</v>
          </cell>
        </row>
        <row r="82">
          <cell r="A82" t="str">
            <v>Р. Македонија - државна обврзница DO2023/02-0238</v>
          </cell>
        </row>
        <row r="83">
          <cell r="A83" t="str">
            <v>Р. Македонија - државна обврзница DO2017/08-0332dk</v>
          </cell>
        </row>
        <row r="84">
          <cell r="A84" t="str">
            <v>Р. Македонија - државна обврзница DO2016/13-0631dk</v>
          </cell>
        </row>
        <row r="85">
          <cell r="A85" t="str">
            <v>Р. Македонија - државна обврзница DO2015/23-0725</v>
          </cell>
        </row>
        <row r="86">
          <cell r="A86" t="str">
            <v>Р. Македонија - државна обврзница DO2015/24-0725dk</v>
          </cell>
        </row>
        <row r="87">
          <cell r="A87" t="str">
            <v>Р. Македонија - државна обврзница DO2015/25-0730dk</v>
          </cell>
        </row>
        <row r="88">
          <cell r="A88" t="str">
            <v>Р. Македонија - државна обврзница DO2018/17-0833dk</v>
          </cell>
        </row>
        <row r="89">
          <cell r="A89" t="str">
            <v>Р.Македонија државна обврзница DO2022/13-0937</v>
          </cell>
        </row>
        <row r="90">
          <cell r="A90" t="str">
            <v>Р.Македонија државна обврзница DO2022/12-0937dk</v>
          </cell>
        </row>
        <row r="91">
          <cell r="A91" t="str">
            <v>Р. Македонија - државна обврзница DO2017/22-0832dk</v>
          </cell>
        </row>
        <row r="92">
          <cell r="A92" t="str">
            <v>Р. Македонија - државна обврзница DO2018/02-0128</v>
          </cell>
        </row>
        <row r="93">
          <cell r="A93" t="str">
            <v>Р. Македонија - државна обврзница DO2018/03-0133dk</v>
          </cell>
        </row>
        <row r="94">
          <cell r="A94" t="str">
            <v>Р. Македонија - државна обврзница DO2016/05-0226</v>
          </cell>
        </row>
        <row r="95">
          <cell r="A95" t="str">
            <v>Р. Македонија - државна обврзница DO2016/06-0226dk</v>
          </cell>
        </row>
        <row r="96">
          <cell r="A96" t="str">
            <v>Р. Македонија - државна обврзница DO2016/07-0231dk</v>
          </cell>
        </row>
        <row r="97">
          <cell r="A97" t="str">
            <v>Р. Македонија - државна обврзница DO2017/02-0132dk</v>
          </cell>
        </row>
        <row r="98">
          <cell r="A98" t="str">
            <v>Р. Македонија - државна обврзница DO2023/01-0138</v>
          </cell>
        </row>
        <row r="99">
          <cell r="A99" t="str">
            <v>Р. Македонија - државна обврзница DO2015/05-0230dk</v>
          </cell>
        </row>
        <row r="100">
          <cell r="A100" t="str">
            <v>Р. Македонија - државна обврзница DO2015/09-0325</v>
          </cell>
        </row>
        <row r="101">
          <cell r="A101" t="str">
            <v>Р. Македонија - државна обврзница DO2015/10-0330dk</v>
          </cell>
        </row>
        <row r="102">
          <cell r="A102" t="str">
            <v>Р. Македонија - државна обврзница DO2022/05-0537</v>
          </cell>
        </row>
        <row r="103">
          <cell r="A103" t="str">
            <v>Р. Македонија - државна обврзница DO2022/01-0137</v>
          </cell>
        </row>
        <row r="104">
          <cell r="A104" t="str">
            <v>Р. Македонија - државна обврзница DO2020/02-0235</v>
          </cell>
        </row>
        <row r="105">
          <cell r="A105" t="str">
            <v>Р. Македонија - државна обврзница DO2022/14-1037</v>
          </cell>
        </row>
        <row r="106">
          <cell r="A106" t="str">
            <v>Р. Македонија - државна обврзница DO2016/01-0126dk</v>
          </cell>
        </row>
        <row r="107">
          <cell r="A107" t="str">
            <v>Р. Македонија - државна обврзница DO2016/02-0131dk</v>
          </cell>
        </row>
        <row r="108">
          <cell r="A108" t="str">
            <v>Р. Македонија - државна обврзница DO2021/01-0136</v>
          </cell>
        </row>
        <row r="109">
          <cell r="A109" t="str">
            <v>Р. Македонија - државна обврзница DO2019/03-0224dk</v>
          </cell>
        </row>
        <row r="110">
          <cell r="A110" t="str">
            <v>Р. Македонија - државна обврзница DO2016/12-0431dk</v>
          </cell>
        </row>
        <row r="111">
          <cell r="A111" t="str">
            <v>Р. Македонија - државна обврзница DO2022/04-0437dk</v>
          </cell>
        </row>
        <row r="112">
          <cell r="A112" t="str">
            <v>Р. Македонија - државна обврзница DO2021/09-0526</v>
          </cell>
        </row>
        <row r="113">
          <cell r="A113" t="str">
            <v>Р. Македонија - државна обврзница DO2016/23-1031dk</v>
          </cell>
        </row>
        <row r="114">
          <cell r="A114" t="str">
            <v>Р. Македонија - државна обврзница DO2021/15-1036</v>
          </cell>
        </row>
        <row r="115">
          <cell r="A115" t="str">
            <v>Р. Македонија - државна обврзница DO2018/08-0233dk</v>
          </cell>
        </row>
        <row r="116">
          <cell r="A116" t="str">
            <v>Р. Македонија - државна обврзница DO2021/07-0436</v>
          </cell>
        </row>
        <row r="117">
          <cell r="A117" t="str">
            <v>Р. Македонија - државна обврзница DO2021/08-0436dk</v>
          </cell>
        </row>
        <row r="118">
          <cell r="A118" t="str">
            <v>Р. Македонија - државна обврзница DO2020/08-1030</v>
          </cell>
        </row>
        <row r="119">
          <cell r="A119" t="str">
            <v>Р. Македонија - државна обврзница DO2020/09-1030dk</v>
          </cell>
        </row>
        <row r="120">
          <cell r="A120" t="str">
            <v>Р.Македонија - државна обврзница DO2023/03-225</v>
          </cell>
        </row>
        <row r="121">
          <cell r="A121" t="str">
            <v>Р. Македонија - државна обврзница DO2017/06-0232dk</v>
          </cell>
        </row>
        <row r="122">
          <cell r="A122" t="str">
            <v>Р. Македонија - државна обврзница DO2015/15-0430dk</v>
          </cell>
        </row>
        <row r="123">
          <cell r="A123" t="str">
            <v>Р. Македонија - државна обврзница DO2019/08-0524</v>
          </cell>
        </row>
        <row r="124">
          <cell r="A124" t="str">
            <v>Р. Македонија - државна обврзница DO2019/09-0534</v>
          </cell>
        </row>
        <row r="125">
          <cell r="A125" t="str">
            <v>Р.Македонија - државна обврзница DO2022/06-0637</v>
          </cell>
        </row>
        <row r="126">
          <cell r="A126" t="str">
            <v>Р.Македонија - државна обврзница DO2022/07-0637dk</v>
          </cell>
        </row>
        <row r="127">
          <cell r="A127" t="str">
            <v>Р. Македонија - државна обврзница DO2021/14-0936</v>
          </cell>
        </row>
        <row r="128">
          <cell r="A128" t="str">
            <v>Р. Македонија - државна обврзница DO2014/27-1024</v>
          </cell>
        </row>
        <row r="129">
          <cell r="A129" t="str">
            <v>Р. Македонија - државна обврзница DO2014/28-1024dk</v>
          </cell>
        </row>
        <row r="130">
          <cell r="A130" t="str">
            <v>Р. Македонија - државна обврзница DO2021/17-1224</v>
          </cell>
        </row>
        <row r="131">
          <cell r="A131" t="str">
            <v>Р. Македонија - државна обврзница DO2016/08-0331dk</v>
          </cell>
        </row>
        <row r="132">
          <cell r="A132" t="str">
            <v>Р. Македонија - државна обврзница DO2021/10-0636</v>
          </cell>
        </row>
        <row r="133">
          <cell r="A133" t="str">
            <v>Р. Македонија - државна обврзница DO2021/11-0636dk</v>
          </cell>
        </row>
        <row r="134">
          <cell r="A134" t="str">
            <v>Р. Македонија - државна обврзница DO2017/24-0832dk</v>
          </cell>
        </row>
        <row r="135">
          <cell r="A135" t="str">
            <v>Р. Македонија - државна обврзница DO2015/37-0930dk</v>
          </cell>
        </row>
        <row r="136">
          <cell r="A136" t="str">
            <v>Р. Македонија - државна обврзница DO2019/13-1024</v>
          </cell>
        </row>
        <row r="137">
          <cell r="A137" t="str">
            <v>Р.Македонија државна обврзница DO2022/15-1137</v>
          </cell>
        </row>
        <row r="138">
          <cell r="A138" t="str">
            <v>Р. Македонија - државна обврзница DO2015/45-1225dk</v>
          </cell>
        </row>
        <row r="139">
          <cell r="A139" t="str">
            <v>Р. Македонија - државна обврзница DO2021/03-0224</v>
          </cell>
        </row>
        <row r="140">
          <cell r="A140" t="str">
            <v>Р. Македонија - државна обврзница DO2019/06-0449dk</v>
          </cell>
        </row>
        <row r="141">
          <cell r="A141" t="str">
            <v>Р. Македонија - државна обврзница DO2020/06-0635</v>
          </cell>
        </row>
        <row r="142">
          <cell r="A142" t="str">
            <v>Р. Македонија - државна обврзница DO2019/10-0749dk</v>
          </cell>
        </row>
        <row r="143">
          <cell r="A143" t="str">
            <v>Р. Македонија - државна обврзница DO2016/17-0826</v>
          </cell>
        </row>
        <row r="144">
          <cell r="A144" t="str">
            <v>Р. Македонија - државна обврзница DO2016/18-0826dk</v>
          </cell>
        </row>
        <row r="145">
          <cell r="A145" t="str">
            <v>Р. Македонија - државна обврзница DO2016/19-0831dk</v>
          </cell>
        </row>
        <row r="146">
          <cell r="A146" t="str">
            <v>Р. Македонија - државна обврзница DО2022/11-0837dk</v>
          </cell>
        </row>
        <row r="147">
          <cell r="A147" t="str">
            <v>Р. Македонија - државна обврзница DO2018/23-1048dk</v>
          </cell>
        </row>
        <row r="148">
          <cell r="A148" t="str">
            <v>Р. Македонија - државна обврзница DO2021/16-1136dk</v>
          </cell>
        </row>
        <row r="149">
          <cell r="A149" t="str">
            <v>Р. Македонија - државна обврзница DO2018/14-0723</v>
          </cell>
        </row>
        <row r="150">
          <cell r="A150" t="str">
            <v>Р. Македонија - државна обврзница DO2018/15-0748dk</v>
          </cell>
        </row>
        <row r="151">
          <cell r="A151" t="str">
            <v>Р. Македонија - државна обврзница DO2019/12-0934</v>
          </cell>
        </row>
        <row r="152">
          <cell r="A152" t="str">
            <v>Р. Македонија - државна обврзница DO2017/32-1032dk</v>
          </cell>
        </row>
        <row r="153">
          <cell r="A153" t="str">
            <v>Р. Македонија - државна обврзница DO2020/13-1123dk</v>
          </cell>
        </row>
        <row r="154">
          <cell r="A154" t="str">
            <v>Р. Македонија - државна обврзница DO2015/42-1125dk</v>
          </cell>
        </row>
        <row r="155">
          <cell r="A155" t="str">
            <v>Р. Македонија - државна обврзница DO2015/43-1130dk</v>
          </cell>
        </row>
        <row r="156">
          <cell r="A156" t="str">
            <v>Р. Македонија - државна обврзница DO2017/20-0732dk</v>
          </cell>
        </row>
        <row r="157">
          <cell r="A157" t="str">
            <v>Р. Македонија - државна обврзница DO2015/32-0825</v>
          </cell>
        </row>
        <row r="158">
          <cell r="A158" t="str">
            <v>Р. Македонија - државна обврзница DO2015/33-0830dk</v>
          </cell>
        </row>
        <row r="159">
          <cell r="A159" t="str">
            <v>Р. Македонија - државна обврзница DO2018/19-0933</v>
          </cell>
        </row>
        <row r="160">
          <cell r="A160" t="str">
            <v>Р. Македонија - државна обврзница DO2018/20-0933dk</v>
          </cell>
        </row>
        <row r="161">
          <cell r="A161" t="str">
            <v>Р. Македонија - државна обврзница DO2015/18-0525dk</v>
          </cell>
        </row>
        <row r="162">
          <cell r="A162" t="str">
            <v>Р. Македонија - државна обврзница DO2018/13-0633dk</v>
          </cell>
        </row>
        <row r="163">
          <cell r="A163" t="str">
            <v>Р. Македонија - државна обврзница DO2014/18-0824dk</v>
          </cell>
        </row>
        <row r="164">
          <cell r="A164" t="str">
            <v>Р. Македонија - државна обврзница DO2017/27-0932dk</v>
          </cell>
        </row>
        <row r="165">
          <cell r="A165" t="str">
            <v>Р. Македонија - државна обврзница DO2016/03-0131dk</v>
          </cell>
        </row>
        <row r="166">
          <cell r="A166" t="str">
            <v>Р. Македонија - државна обврзница DO2017/17-0632dk</v>
          </cell>
        </row>
        <row r="167">
          <cell r="A167" t="str">
            <v>Р. Македонија - државна обврзница DO2016/21-0931dk</v>
          </cell>
        </row>
        <row r="168">
          <cell r="A168" t="str">
            <v>Р. Македонија - државна обврзница DO2018/27-1133dk</v>
          </cell>
          <cell r="B168">
            <v>106.8</v>
          </cell>
        </row>
        <row r="169">
          <cell r="A169" t="str">
            <v>Р. Македонија - државна обврзница DO2016/29-1231dk</v>
          </cell>
        </row>
        <row r="170">
          <cell r="A170" t="str">
            <v>Р. Македонија - државна обврзница DO2014/02-0124</v>
          </cell>
        </row>
        <row r="171">
          <cell r="A171" t="str">
            <v>Р. Македонија - државна обврзница DO2014/03-0124dk</v>
          </cell>
        </row>
        <row r="172">
          <cell r="A172" t="str">
            <v>Р. Македонија - државна обврзница DO2017/10-0332dk</v>
          </cell>
        </row>
        <row r="173">
          <cell r="A173" t="str">
            <v>Р. Македонија - државна обврзница DO2016/14-0631dk</v>
          </cell>
        </row>
        <row r="174">
          <cell r="A174" t="str">
            <v>Р. Македонија - државна обврзница DO2015/27-0725dk</v>
          </cell>
        </row>
        <row r="175">
          <cell r="A175" t="str">
            <v>Р. Македонија - државна обврзница DO2015/28-0730dk</v>
          </cell>
        </row>
        <row r="176">
          <cell r="A176" t="str">
            <v>Р. Македонија - државна обврзница DO2017/36-1132dk</v>
          </cell>
        </row>
        <row r="177">
          <cell r="A177" t="str">
            <v>Р. Македонија - државна обврзница DO2016/09-0326</v>
          </cell>
        </row>
        <row r="178">
          <cell r="A178" t="str">
            <v>Р. Македонија - државна обврзница DO2014/17-0724dk</v>
          </cell>
        </row>
        <row r="179">
          <cell r="A179" t="str">
            <v>Р. Македонија - државна обврзница DO2015/38-0925dk</v>
          </cell>
        </row>
        <row r="180">
          <cell r="A180" t="str">
            <v>Р. Македонија - државна обврзница DO2015/39-0930dk</v>
          </cell>
        </row>
        <row r="181">
          <cell r="A181" t="str">
            <v>Р. Македонија - државна обврзница DO2015/46-1225dk</v>
          </cell>
        </row>
        <row r="182">
          <cell r="A182" t="str">
            <v>Р. Македонија - државна обврзница DO2018/04-0133</v>
          </cell>
        </row>
        <row r="183">
          <cell r="A183" t="str">
            <v>Р. Македонија - државна обврзница DO2018/05-0133dk</v>
          </cell>
          <cell r="B183">
            <v>112.2</v>
          </cell>
        </row>
        <row r="184">
          <cell r="A184" t="str">
            <v>Р. Македонија - државна обврзница DO2015/20-0625</v>
          </cell>
        </row>
        <row r="185">
          <cell r="A185" t="str">
            <v>Р. Македонија - државна обврзница DO2015/21-0625dk</v>
          </cell>
        </row>
        <row r="186">
          <cell r="A186" t="str">
            <v>Р. Македонија - државна обврзница DO2015/22-0630dk</v>
          </cell>
        </row>
        <row r="187">
          <cell r="A187" t="str">
            <v>Р. Македонија - државна обврзница DO2017/05-0132dk</v>
          </cell>
        </row>
        <row r="188">
          <cell r="A188" t="str">
            <v>Р. Македонија - државна обврзница DO2015/08-0230dk</v>
          </cell>
        </row>
        <row r="189">
          <cell r="A189" t="str">
            <v>Р. Македонија - државна обврзница DO2015/12-0325</v>
          </cell>
        </row>
        <row r="190">
          <cell r="A190" t="str">
            <v>Р. Македонија - државна обврзница DO2015/13-0330dk</v>
          </cell>
        </row>
        <row r="191">
          <cell r="A191" t="str">
            <v>Р. Македонија - државна обврзница DO2018/11-0448dk</v>
          </cell>
        </row>
        <row r="192">
          <cell r="A192" t="str">
            <v>Р. Македонија - државна обврзница DO2022/02-0125</v>
          </cell>
        </row>
        <row r="193">
          <cell r="A193" t="str">
            <v>Р. Македонија - државна обврзница DO2015/34-0825</v>
          </cell>
        </row>
        <row r="194">
          <cell r="A194" t="str">
            <v>Р. Македонија - државна обврзница DO2015/35-0825dk</v>
          </cell>
        </row>
        <row r="195">
          <cell r="A195" t="str">
            <v>Р. Македонија - државна обврзница DO2015/36-0830dk</v>
          </cell>
        </row>
        <row r="196">
          <cell r="A196" t="str">
            <v>Р. Македонија - државна обврзница DO2016/04-0131dk</v>
          </cell>
        </row>
        <row r="197">
          <cell r="A197" t="str">
            <v>Р. Македонија - државна обврзница DO2019/04-0234</v>
          </cell>
          <cell r="B197">
            <v>107.1</v>
          </cell>
        </row>
        <row r="198">
          <cell r="A198" t="str">
            <v>Р. Македонија - државна обврзница DO2016/16-0731dk</v>
          </cell>
        </row>
        <row r="199">
          <cell r="A199" t="str">
            <v>Р. Македонија - државна обврзница DO2015/03-0125</v>
          </cell>
        </row>
        <row r="200">
          <cell r="A200" t="str">
            <v>Р. Македонија - државна обврзница DO2015/04-0125dk</v>
          </cell>
        </row>
        <row r="201">
          <cell r="A201" t="str">
            <v>Р. Македонија - државна обврзница DO2017/18-0632dk</v>
          </cell>
        </row>
        <row r="202">
          <cell r="A202" t="str">
            <v>Р. Македонија - држaвна обврзница DO2021/12-0724</v>
          </cell>
        </row>
        <row r="203">
          <cell r="A203" t="str">
            <v>Р. Македонија - државна обврзница DO2016/22-0931dk</v>
          </cell>
        </row>
        <row r="204">
          <cell r="A204" t="str">
            <v>Р. Македонија - државна обврзница DO2015/41-1030dk</v>
          </cell>
        </row>
        <row r="205">
          <cell r="A205" t="str">
            <v>Р. Македонија - државна обврзница DO2020/10-1035</v>
          </cell>
        </row>
        <row r="206">
          <cell r="A206" t="str">
            <v>Р. Македонија - државна обврзница DO2022/17-1237</v>
          </cell>
        </row>
        <row r="207">
          <cell r="A207" t="str">
            <v>Р. Македонија - државна обврзница DO2022/18-1237dk</v>
          </cell>
        </row>
        <row r="208">
          <cell r="A208" t="str">
            <v>Р. Македонија - државна обврзница DO2020/01-0150dk</v>
          </cell>
        </row>
        <row r="209">
          <cell r="A209" t="str">
            <v>Р. Македонија - државна обврзница DO2017/11-0332dk</v>
          </cell>
        </row>
        <row r="210">
          <cell r="A210" t="str">
            <v>Р. Македонија - државна обврзница DO2020/04-0450dk</v>
          </cell>
          <cell r="B210">
            <v>100</v>
          </cell>
        </row>
        <row r="211">
          <cell r="A211" t="str">
            <v>Р. Македонија - државна обврзница DO2022/08-0637</v>
          </cell>
        </row>
        <row r="212">
          <cell r="A212" t="str">
            <v>Р. Македонија - државна обврзница DO2015/29-0730dk</v>
          </cell>
        </row>
        <row r="213">
          <cell r="A213" t="str">
            <v>Р. Македонија - државна обврзница DO2014/30-1024dk</v>
          </cell>
        </row>
        <row r="214">
          <cell r="A214" t="str">
            <v>Р. Македонија - државна обврзница DO2017/37-1132dk</v>
          </cell>
        </row>
        <row r="215">
          <cell r="A215" t="str">
            <v>Р. Македонија - државна обврзница DO2019/02-0149dk</v>
          </cell>
        </row>
        <row r="216">
          <cell r="A216" t="str">
            <v>Р. Македонија - државна обврзница DO2016/10-0331dk</v>
          </cell>
        </row>
        <row r="217">
          <cell r="A217" t="str">
            <v>Р. Македонија - државна обврзница DO2019/14-1049dk</v>
          </cell>
          <cell r="B217">
            <v>103.5</v>
          </cell>
        </row>
        <row r="218">
          <cell r="A218" t="str">
            <v>Р. Македонија - државна обврзница DO2020/19-1223</v>
          </cell>
        </row>
        <row r="219">
          <cell r="A219" t="str">
            <v>Р. Македонија - државна обврзница DO2020/20-1223dk</v>
          </cell>
        </row>
        <row r="220">
          <cell r="A220" t="str">
            <v>Р. Македонија - денационализација 12</v>
          </cell>
          <cell r="B220">
            <v>99.31</v>
          </cell>
        </row>
        <row r="221">
          <cell r="A221" t="str">
            <v>Р. Македонија - денационализација 13</v>
          </cell>
          <cell r="B221">
            <v>99</v>
          </cell>
        </row>
        <row r="222">
          <cell r="A222" t="str">
            <v>Р. Македонија - денационализација 14</v>
          </cell>
          <cell r="B222">
            <v>99</v>
          </cell>
        </row>
        <row r="223">
          <cell r="A223" t="str">
            <v>Р. Македонија - денационализација 15</v>
          </cell>
          <cell r="B223">
            <v>99</v>
          </cell>
        </row>
        <row r="224">
          <cell r="A224" t="str">
            <v>Р. Македонија - денационализација 16</v>
          </cell>
          <cell r="B224">
            <v>93</v>
          </cell>
        </row>
        <row r="225">
          <cell r="A225" t="str">
            <v>Р. Македонија - денационализација 17</v>
          </cell>
          <cell r="B225">
            <v>90</v>
          </cell>
        </row>
        <row r="226">
          <cell r="A226" t="str">
            <v>Р. Македонија - денационализација 18</v>
          </cell>
          <cell r="B226">
            <v>99</v>
          </cell>
        </row>
        <row r="227">
          <cell r="A227" t="str">
            <v>Р. Македонија - денационализација 19</v>
          </cell>
          <cell r="B227">
            <v>92</v>
          </cell>
        </row>
        <row r="228">
          <cell r="A228" t="str">
            <v>Р. Македонија - денационализација 20</v>
          </cell>
          <cell r="B228">
            <v>95</v>
          </cell>
        </row>
        <row r="229">
          <cell r="A229" t="str">
            <v>Р. Македонија - денационализација 21</v>
          </cell>
          <cell r="B229">
            <v>94.23</v>
          </cell>
        </row>
        <row r="230">
          <cell r="A230" t="str">
            <v>СН Осигурителен Брокер АД Битола - корпоративна обврзница I емисија</v>
          </cell>
          <cell r="B230">
            <v>100</v>
          </cell>
        </row>
        <row r="231">
          <cell r="A231" t="str">
            <v>ТТК банка АД Скопје - корпоративна обврзница I емисија</v>
          </cell>
          <cell r="B231">
            <v>100</v>
          </cell>
        </row>
        <row r="232">
          <cell r="A232" t="str">
            <v>ТТК банка АД Скопје - корпоративна обврзница II емисија</v>
          </cell>
        </row>
        <row r="233">
          <cell r="A233" t="str">
            <v>Берзанска котација - други хартии од вредност</v>
          </cell>
        </row>
        <row r="234">
          <cell r="A234" t="str">
            <v>Универзална Инвестициона Банка Скопје - перпетуални обврзници</v>
          </cell>
          <cell r="B234">
            <v>100</v>
          </cell>
        </row>
        <row r="235">
          <cell r="A235" t="str">
            <v>Универзална Инвестициона Банка Скопје - перпетуални обврзници - втора емисија</v>
          </cell>
        </row>
        <row r="236">
          <cell r="A236" t="str">
            <v>Задолжителна котација - обични акции</v>
          </cell>
        </row>
        <row r="237">
          <cell r="A237" t="str">
            <v>Адинг Скопје</v>
          </cell>
          <cell r="B237">
            <v>722</v>
          </cell>
        </row>
        <row r="238">
          <cell r="A238" t="str">
            <v>Агромеханика Скопје</v>
          </cell>
          <cell r="B238">
            <v>300</v>
          </cell>
        </row>
        <row r="239">
          <cell r="A239" t="str">
            <v>Ангропромет-Тиквешанка Кавадарци</v>
          </cell>
          <cell r="B239">
            <v>750</v>
          </cell>
        </row>
        <row r="240">
          <cell r="A240" t="str">
            <v>Аутомакедонија Скопје</v>
          </cell>
          <cell r="B240">
            <v>2900</v>
          </cell>
        </row>
        <row r="241">
          <cell r="A241" t="str">
            <v>Рудници Бањани Скопје</v>
          </cell>
          <cell r="B241">
            <v>603</v>
          </cell>
        </row>
        <row r="242">
          <cell r="A242" t="str">
            <v>Кристал 1923 АД Велес</v>
          </cell>
        </row>
        <row r="243">
          <cell r="A243" t="str">
            <v>БИМ Свети Николе</v>
          </cell>
          <cell r="B243">
            <v>15550</v>
          </cell>
        </row>
        <row r="244">
          <cell r="A244" t="str">
            <v>ФЗЦ 11 Октомври Куманово</v>
          </cell>
          <cell r="B244">
            <v>399</v>
          </cell>
        </row>
        <row r="245">
          <cell r="A245" t="str">
            <v>Централна кооперативна банка Скопје</v>
          </cell>
          <cell r="B245">
            <v>450</v>
          </cell>
        </row>
        <row r="246">
          <cell r="A246" t="str">
            <v>Дебарски бањи Дебар</v>
          </cell>
          <cell r="B246">
            <v>1550</v>
          </cell>
        </row>
        <row r="247">
          <cell r="A247" t="str">
            <v>Димко Митрев Велес</v>
          </cell>
          <cell r="B247">
            <v>185</v>
          </cell>
        </row>
        <row r="248">
          <cell r="A248" t="str">
            <v>Единство Струмица</v>
          </cell>
          <cell r="B248">
            <v>60</v>
          </cell>
        </row>
        <row r="249">
          <cell r="A249" t="str">
            <v>Европа Скопје</v>
          </cell>
          <cell r="B249">
            <v>2900</v>
          </cell>
        </row>
        <row r="250">
          <cell r="A250" t="str">
            <v>Факом Скопје</v>
          </cell>
          <cell r="B250">
            <v>7200</v>
          </cell>
        </row>
        <row r="251">
          <cell r="A251" t="str">
            <v>Фустеларко Борец Битола</v>
          </cell>
          <cell r="B251">
            <v>2101</v>
          </cell>
        </row>
        <row r="252">
          <cell r="A252" t="str">
            <v>Герас Цунев конфекција Струмица</v>
          </cell>
          <cell r="B252">
            <v>500</v>
          </cell>
        </row>
        <row r="253">
          <cell r="A253" t="str">
            <v>Герас Цунев трговија Струмица</v>
          </cell>
          <cell r="B253">
            <v>500</v>
          </cell>
        </row>
        <row r="254">
          <cell r="A254" t="str">
            <v>Грозд Струмица</v>
          </cell>
          <cell r="B254">
            <v>2250</v>
          </cell>
        </row>
        <row r="255">
          <cell r="A255" t="str">
            <v>Градски Трговски Центар Скопје</v>
          </cell>
          <cell r="B255">
            <v>1790</v>
          </cell>
        </row>
        <row r="256">
          <cell r="A256" t="str">
            <v>Интерпромет Тетово</v>
          </cell>
          <cell r="B256">
            <v>4500</v>
          </cell>
        </row>
        <row r="257">
          <cell r="A257" t="str">
            <v>Македонија осигурување АД Скопје - Виена Иншуренс Груп</v>
          </cell>
          <cell r="B257">
            <v>1236</v>
          </cell>
        </row>
        <row r="258">
          <cell r="A258" t="str">
            <v>Кланица со ладилник Струмица</v>
          </cell>
          <cell r="B258">
            <v>120</v>
          </cell>
        </row>
        <row r="259">
          <cell r="A259" t="str">
            <v>Фруктал МАК Скопје</v>
          </cell>
          <cell r="B259">
            <v>119</v>
          </cell>
        </row>
        <row r="260">
          <cell r="A260" t="str">
            <v>Карпош Скопје</v>
          </cell>
          <cell r="B260">
            <v>333</v>
          </cell>
        </row>
        <row r="261">
          <cell r="A261" t="str">
            <v>Лотарија на Македонија Скопје</v>
          </cell>
        </row>
        <row r="262">
          <cell r="A262" t="str">
            <v>Пелистерка АД Скопје</v>
          </cell>
          <cell r="B262">
            <v>2619</v>
          </cell>
        </row>
        <row r="263">
          <cell r="A263" t="str">
            <v>Макпромет Штип</v>
          </cell>
        </row>
        <row r="264">
          <cell r="A264" t="str">
            <v>Мермерен комбинат Прилеп</v>
          </cell>
        </row>
        <row r="265">
          <cell r="A265" t="str">
            <v>Мода Свети Николе</v>
          </cell>
          <cell r="B265">
            <v>62</v>
          </cell>
        </row>
        <row r="266">
          <cell r="A266" t="str">
            <v>Вабтек МЗТ Скопје</v>
          </cell>
          <cell r="B266">
            <v>3133</v>
          </cell>
        </row>
        <row r="267">
          <cell r="A267" t="str">
            <v>МЗТ Пумпи Скопје</v>
          </cell>
          <cell r="B267">
            <v>607</v>
          </cell>
        </row>
        <row r="268">
          <cell r="A268" t="str">
            <v>Огражден Струмица</v>
          </cell>
        </row>
        <row r="269">
          <cell r="A269" t="str">
            <v>Нова стоковна куќа Струмица</v>
          </cell>
          <cell r="B269">
            <v>61500</v>
          </cell>
        </row>
        <row r="270">
          <cell r="A270" t="str">
            <v>Оилко КДА Скопје</v>
          </cell>
          <cell r="B270">
            <v>6000</v>
          </cell>
        </row>
        <row r="271">
          <cell r="A271" t="str">
            <v>ОКТА Скопје</v>
          </cell>
          <cell r="B271">
            <v>3350</v>
          </cell>
        </row>
        <row r="272">
          <cell r="A272" t="str">
            <v>Оранжерии Хамзали Струмица</v>
          </cell>
          <cell r="B272">
            <v>201</v>
          </cell>
        </row>
        <row r="273">
          <cell r="A273" t="str">
            <v>Пекабеско Скопје</v>
          </cell>
        </row>
        <row r="274">
          <cell r="A274" t="str">
            <v>Попова Кула Демир Капија</v>
          </cell>
          <cell r="B274">
            <v>16</v>
          </cell>
        </row>
        <row r="275">
          <cell r="A275" t="str">
            <v>Прилепска Пиварница Прилеп</v>
          </cell>
          <cell r="B275">
            <v>32000</v>
          </cell>
        </row>
        <row r="276">
          <cell r="A276" t="str">
            <v>Раде Кончар Скопје</v>
          </cell>
        </row>
        <row r="277">
          <cell r="A277" t="str">
            <v>РЖ Економика Скопје</v>
          </cell>
        </row>
        <row r="278">
          <cell r="A278" t="str">
            <v>Либерти АД Скопје</v>
          </cell>
        </row>
        <row r="279">
          <cell r="A279" t="str">
            <v>РЖ Техничка контрола Скопје</v>
          </cell>
        </row>
        <row r="280">
          <cell r="A280" t="str">
            <v>РЖ Уготур Скопје</v>
          </cell>
        </row>
        <row r="281">
          <cell r="A281" t="str">
            <v>Современ дом Прилеп</v>
          </cell>
        </row>
        <row r="282">
          <cell r="A282" t="str">
            <v>Силекс Кратово</v>
          </cell>
        </row>
        <row r="283">
          <cell r="A283" t="str">
            <v>Славеј Скопје</v>
          </cell>
        </row>
        <row r="284">
          <cell r="A284" t="str">
            <v>Струмичко поле с.Василево</v>
          </cell>
        </row>
        <row r="285">
          <cell r="A285" t="str">
            <v>Сигурносно стакло Прилеп</v>
          </cell>
        </row>
        <row r="286">
          <cell r="A286" t="str">
            <v>Стопанска банка Скопје</v>
          </cell>
        </row>
        <row r="287">
          <cell r="A287" t="str">
            <v>Стокопромет Скопје</v>
          </cell>
        </row>
        <row r="288">
          <cell r="A288" t="str">
            <v>Тајмиште Кичево</v>
          </cell>
        </row>
        <row r="289">
          <cell r="A289" t="str">
            <v>ТЕАЛ-Алумина Тетово</v>
          </cell>
        </row>
        <row r="290">
          <cell r="A290" t="str">
            <v>Технокомерц Скопје</v>
          </cell>
        </row>
        <row r="291">
          <cell r="A291" t="str">
            <v>Македонски Телеком Скопје</v>
          </cell>
        </row>
        <row r="292">
          <cell r="A292" t="str">
            <v>ГД-Тиквеш Кавадарци</v>
          </cell>
        </row>
        <row r="293">
          <cell r="A293" t="str">
            <v>НЛБ Банка АД Скопје</v>
          </cell>
        </row>
        <row r="294">
          <cell r="A294" t="str">
            <v>Транскоп-Патнички сооб. Битола</v>
          </cell>
        </row>
        <row r="295">
          <cell r="A295" t="str">
            <v>Трготекстил малопродажба Скопје</v>
          </cell>
        </row>
        <row r="296">
          <cell r="A296" t="str">
            <v>Универзална Инвестициона Банка Скопје</v>
          </cell>
        </row>
        <row r="297">
          <cell r="A297" t="str">
            <v>Цементарница УСЈЕ Скопје</v>
          </cell>
        </row>
        <row r="298">
          <cell r="A298" t="str">
            <v>Триглав осигурување Скопје</v>
          </cell>
        </row>
        <row r="299">
          <cell r="A299" t="str">
            <v>Ветекс Велес</v>
          </cell>
        </row>
        <row r="300">
          <cell r="A300" t="str">
            <v>ЖАС Скопје</v>
          </cell>
        </row>
        <row r="301">
          <cell r="A301" t="str">
            <v>Жито Караорман Кичево</v>
          </cell>
        </row>
        <row r="302">
          <cell r="A302" t="str">
            <v>Жито Полог Тетово</v>
          </cell>
        </row>
        <row r="303">
          <cell r="A303" t="str">
            <v>Задолжителна котација - приоритетни акции</v>
          </cell>
        </row>
        <row r="304">
          <cell r="A304" t="str">
            <v>Стопанска банка Скопје</v>
          </cell>
        </row>
        <row r="305">
          <cell r="A305" t="str">
            <v>Редовен пазар</v>
          </cell>
        </row>
        <row r="306">
          <cell r="A306" t="str">
            <v>Пазар на акционерски друштва со посебни обврски за известување - обични акции</v>
          </cell>
        </row>
        <row r="307">
          <cell r="A307" t="str">
            <v>Агросервис Скопје</v>
          </cell>
        </row>
        <row r="308">
          <cell r="A308" t="str">
            <v>Шпаркасе банка Македонија АД Скопје</v>
          </cell>
        </row>
        <row r="309">
          <cell r="A309" t="str">
            <v>Отекс Охрид</v>
          </cell>
        </row>
        <row r="310">
          <cell r="A310" t="str">
            <v>Слободен пазар - обични акции</v>
          </cell>
        </row>
        <row r="311">
          <cell r="A311" t="str">
            <v>Град. институт Македонија Скопје</v>
          </cell>
        </row>
        <row r="312">
          <cell r="A312" t="str">
            <v>Караорман Скопје</v>
          </cell>
        </row>
        <row r="313">
          <cell r="A313" t="str">
            <v>Квасара Битола</v>
          </cell>
        </row>
        <row r="314">
          <cell r="A314" t="str">
            <v>АрцелорМиттал (ХРМ) АД Скопје - долгорочно суспендирано од котација</v>
          </cell>
        </row>
        <row r="315">
          <cell r="A315" t="str">
            <v>Вкупен промет на сите пазарни сегменти: 11.388.393,00</v>
          </cell>
        </row>
        <row r="316">
          <cell r="A316" t="str">
            <v>МБИ10</v>
          </cell>
        </row>
        <row r="317">
          <cell r="A317" t="str">
            <v>ОМБ</v>
          </cell>
        </row>
        <row r="318">
          <cell r="A318" t="str">
            <v>1 EUR = 61,6950 МКД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  <cell r="B17">
            <v>67394.06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  <cell r="B31">
            <v>3422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  <cell r="B36">
            <v>100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Р.Македонија државна обврзница DO2022/16-1237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DO2017/35-1132dk</v>
          </cell>
        </row>
        <row r="46">
          <cell r="A46" t="str">
            <v>Р. Македонија - државна обврзница DO2022/03-0337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DO2020/14-1223</v>
          </cell>
        </row>
        <row r="50">
          <cell r="A50" t="str">
            <v>Р. Македонија - државна обврзница DO2015/44-1230dk</v>
          </cell>
        </row>
        <row r="51">
          <cell r="A51" t="str">
            <v>Р. Македонија - државна обврзница DO2020/15-1235dk</v>
          </cell>
        </row>
        <row r="52">
          <cell r="A52" t="str">
            <v>Р. Македонија - државна обврзница DO2021/04-0336</v>
          </cell>
        </row>
        <row r="53">
          <cell r="A53" t="str">
            <v>Р. Македонија - државна обврзница DO2017/14-0532dk</v>
          </cell>
        </row>
        <row r="54">
          <cell r="A54" t="str">
            <v>Р. Македонија - државна обврзница DO2015/19-0630dk</v>
          </cell>
        </row>
        <row r="55">
          <cell r="A55" t="str">
            <v>Р.Македонија - државна обврзница DO2022/09-0837</v>
          </cell>
        </row>
        <row r="56">
          <cell r="A56" t="str">
            <v>Р.Македонија - државна обврзница DO2022/10-0837dk</v>
          </cell>
        </row>
        <row r="57">
          <cell r="A57" t="str">
            <v>Р. Македонија - државна обврзница DO2014/19-0924dk</v>
          </cell>
        </row>
        <row r="58">
          <cell r="A58" t="str">
            <v>Р. Македонија - државна обврзница DO2014/38-1224</v>
          </cell>
        </row>
        <row r="59">
          <cell r="A59" t="str">
            <v>Р. Македонија - државна обврзница DO2020/03-0325</v>
          </cell>
        </row>
        <row r="60">
          <cell r="A60" t="str">
            <v>Р. Македонија - државна обврзница DO2014/13-0624dk</v>
          </cell>
        </row>
        <row r="61">
          <cell r="A61" t="str">
            <v>Р. Македонија - државна обврзница ДО2021/13-0836</v>
          </cell>
        </row>
        <row r="62">
          <cell r="A62" t="str">
            <v>Р. Македонија - државна обврзница DO2017/30-1032dk</v>
          </cell>
        </row>
        <row r="63">
          <cell r="A63" t="str">
            <v>Р. Македонија - државна обврзница DO2020/12-1125</v>
          </cell>
        </row>
        <row r="64">
          <cell r="A64" t="str">
            <v>Р. Македонија - државна обврзница DO2019/16-1234dk</v>
          </cell>
        </row>
        <row r="65">
          <cell r="A65" t="str">
            <v>Р. Македонија - државна обврзница DO2017/12-0432dk</v>
          </cell>
        </row>
        <row r="66">
          <cell r="A66" t="str">
            <v>Р. Македонија - државна обврзница DO2017/19-0732dk</v>
          </cell>
        </row>
        <row r="67">
          <cell r="A67" t="str">
            <v>Р. Македонија - државна обврзница DO2015/30-0825dk</v>
          </cell>
        </row>
        <row r="68">
          <cell r="A68" t="str">
            <v>Р. Македонија - државна обврзница DO2015/31-0830dk</v>
          </cell>
        </row>
        <row r="69">
          <cell r="A69" t="str">
            <v>Р. Македонија - државна обврзница DO2020/07-0850dk</v>
          </cell>
        </row>
        <row r="70">
          <cell r="A70" t="str">
            <v>Р. Македонија - државна обврзница DO2019/05-0324</v>
          </cell>
        </row>
        <row r="71">
          <cell r="A71" t="str">
            <v>Р. Македонија - државна обврзница DO2016/11-0426dk</v>
          </cell>
        </row>
        <row r="72">
          <cell r="A72" t="str">
            <v>Р. Македонија - државна обврзница DO2015/17-0530dk</v>
          </cell>
        </row>
        <row r="73">
          <cell r="A73" t="str">
            <v>Р. Македонија - државна обврзница DO2018/12-0633</v>
          </cell>
        </row>
        <row r="74">
          <cell r="A74" t="str">
            <v>Р. Македонија - државна обврзница DO2017/26-0932dk</v>
          </cell>
        </row>
        <row r="75">
          <cell r="A75" t="str">
            <v>Р. Македонија - државна обврзница DO2019/15-1134</v>
          </cell>
        </row>
        <row r="76">
          <cell r="A76" t="str">
            <v>Р. Македонија - државна обврзница DO2017/38-1232dk</v>
          </cell>
        </row>
        <row r="77">
          <cell r="A77" t="str">
            <v>Р. Македонија - државна обврзница DO2018/10-0333dk</v>
          </cell>
        </row>
        <row r="78">
          <cell r="A78" t="str">
            <v>Р. Македонија - државна обврзница DO2017/16-0632dk</v>
          </cell>
        </row>
        <row r="79">
          <cell r="A79" t="str">
            <v>Р. Македонија - државна обврзница DO2016/15-0731dk</v>
          </cell>
        </row>
        <row r="80">
          <cell r="A80" t="str">
            <v>Р. Македонија - државна обврзница DO2019/11-0834dk</v>
          </cell>
        </row>
        <row r="81">
          <cell r="A81" t="str">
            <v>Р. Македонија - државна обврзница DO2015/40-1030dk</v>
          </cell>
        </row>
        <row r="82">
          <cell r="A82" t="str">
            <v>Р. Македонија - државна обврзница DO2017/08-0332dk</v>
          </cell>
        </row>
        <row r="83">
          <cell r="A83" t="str">
            <v>Р. Македонија - државна обврзница DO2016/13-0631dk</v>
          </cell>
        </row>
        <row r="84">
          <cell r="A84" t="str">
            <v>Р. Македонија - државна обврзница DO2015/23-0725</v>
          </cell>
        </row>
        <row r="85">
          <cell r="A85" t="str">
            <v>Р. Македонија - државна обврзница DO2015/24-0725dk</v>
          </cell>
        </row>
        <row r="86">
          <cell r="A86" t="str">
            <v>Р. Македонија - државна обврзница DO2015/25-0730dk</v>
          </cell>
        </row>
        <row r="87">
          <cell r="A87" t="str">
            <v>Р. Македонија - државна обврзница DO2018/17-0833dk</v>
          </cell>
        </row>
        <row r="88">
          <cell r="A88" t="str">
            <v>Р.Македонија државна обврзница DO2022/13-0937</v>
          </cell>
        </row>
        <row r="89">
          <cell r="A89" t="str">
            <v>Р.Македонија државна обврзница DO2022/12-0937dk</v>
          </cell>
        </row>
        <row r="90">
          <cell r="A90" t="str">
            <v>Р. Македонија - државна обврзница DO2017/22-0832dk</v>
          </cell>
        </row>
        <row r="91">
          <cell r="A91" t="str">
            <v>Р. Македонија - државна обврзница DO2018/02-0128</v>
          </cell>
        </row>
        <row r="92">
          <cell r="A92" t="str">
            <v>Р. Македонија - државна обврзница DO2018/03-0133dk</v>
          </cell>
        </row>
        <row r="93">
          <cell r="A93" t="str">
            <v>Р. Македонија - државна обврзница DO2016/05-0226</v>
          </cell>
        </row>
        <row r="94">
          <cell r="A94" t="str">
            <v>Р. Македонија - државна обврзница DO2016/06-0226dk</v>
          </cell>
        </row>
        <row r="95">
          <cell r="A95" t="str">
            <v>Р. Македонија - државна обврзница DO2016/07-0231dk</v>
          </cell>
        </row>
        <row r="96">
          <cell r="A96" t="str">
            <v>Р. Македонија - државна обврзница DO2017/02-0132dk</v>
          </cell>
        </row>
        <row r="97">
          <cell r="A97" t="str">
            <v>Р. Македонија - државна обврзница DO2015/05-0230dk</v>
          </cell>
        </row>
        <row r="98">
          <cell r="A98" t="str">
            <v>Р. Македонија - државна обврзница DO2015/09-0325</v>
          </cell>
        </row>
        <row r="99">
          <cell r="A99" t="str">
            <v>Р. Македонија - државна обврзница DO2015/10-0330dk</v>
          </cell>
        </row>
        <row r="100">
          <cell r="A100" t="str">
            <v>Р. Македонија - државна обврзница DO2022/05-0537</v>
          </cell>
        </row>
        <row r="101">
          <cell r="A101" t="str">
            <v>Р. Македонија - државна обврзница DO2022/01-0137</v>
          </cell>
        </row>
        <row r="102">
          <cell r="A102" t="str">
            <v>Р. Македонија - државна обврзница DO2020/02-0235</v>
          </cell>
        </row>
        <row r="103">
          <cell r="A103" t="str">
            <v>Р. Македонија - државна обврзница DO2022/14-1037</v>
          </cell>
        </row>
        <row r="104">
          <cell r="A104" t="str">
            <v>Р. Македонија - државна обврзница DO2016/01-0126dk</v>
          </cell>
        </row>
        <row r="105">
          <cell r="A105" t="str">
            <v>Р. Македонија - државна обврзница DO2016/02-0131dk</v>
          </cell>
        </row>
        <row r="106">
          <cell r="A106" t="str">
            <v>Р. Македонија - државна обврзница DO2021/01-0136</v>
          </cell>
        </row>
        <row r="107">
          <cell r="A107" t="str">
            <v>Р. Македонија - државна обврзница DO2019/03-0224dk</v>
          </cell>
        </row>
        <row r="108">
          <cell r="A108" t="str">
            <v>Р. Македонија - државна обврзница DO2016/12-0431dk</v>
          </cell>
        </row>
        <row r="109">
          <cell r="A109" t="str">
            <v>Р. Македонија - државна обврзница DO2022/04-0437dk</v>
          </cell>
        </row>
        <row r="110">
          <cell r="A110" t="str">
            <v>Р. Македонија - државна обврзница DO2021/09-0526</v>
          </cell>
        </row>
        <row r="111">
          <cell r="A111" t="str">
            <v>Р. Македонија - државна обврзница DO2016/23-1031dk</v>
          </cell>
        </row>
        <row r="112">
          <cell r="A112" t="str">
            <v>Р. Македонија - државна обврзница DO2021/15-1036</v>
          </cell>
        </row>
        <row r="113">
          <cell r="A113" t="str">
            <v>Р. Македонија - државна обврзница DO2018/07-0223</v>
          </cell>
        </row>
        <row r="114">
          <cell r="A114" t="str">
            <v>Р. Македонија - државна обврзница DO2018/08-0233dk</v>
          </cell>
        </row>
        <row r="115">
          <cell r="A115" t="str">
            <v>Р. Македонија - државна обврзница DO2021/07-0436</v>
          </cell>
        </row>
        <row r="116">
          <cell r="A116" t="str">
            <v>Р. Македонија - државна обврзница DO2021/08-0436dk</v>
          </cell>
        </row>
        <row r="117">
          <cell r="A117" t="str">
            <v>Р. Македонија - државна обврзница DO2020/08-1030</v>
          </cell>
        </row>
        <row r="118">
          <cell r="A118" t="str">
            <v>Р. Македонија - државна обврзница DO2020/09-1030dk</v>
          </cell>
        </row>
        <row r="119">
          <cell r="A119" t="str">
            <v>Р. Македонија - државна обврзница DO2017/06-0232dk</v>
          </cell>
        </row>
        <row r="120">
          <cell r="A120" t="str">
            <v>Р. Македонија - државна обврзница DO2015/15-0430dk</v>
          </cell>
        </row>
        <row r="121">
          <cell r="A121" t="str">
            <v>Р. Македонија - државна обврзница DO2019/08-0524</v>
          </cell>
        </row>
        <row r="122">
          <cell r="A122" t="str">
            <v>Р. Македонија - државна обврзница DO2019/09-0534</v>
          </cell>
        </row>
        <row r="123">
          <cell r="A123" t="str">
            <v>Р.Македонија - државна обврзница DO2022/06-0637</v>
          </cell>
        </row>
        <row r="124">
          <cell r="A124" t="str">
            <v>Р.Македонија - државна обврзница DO2022/07-0637dk</v>
          </cell>
        </row>
        <row r="125">
          <cell r="A125" t="str">
            <v>Р. Македонија - државна обврзница DO2021/14-0936</v>
          </cell>
        </row>
        <row r="126">
          <cell r="A126" t="str">
            <v>Р. Македонија - државна обврзница DO2014/27-1024</v>
          </cell>
        </row>
        <row r="127">
          <cell r="A127" t="str">
            <v>Р. Македонија - државна обврзница DO2014/28-1024dk</v>
          </cell>
        </row>
        <row r="128">
          <cell r="A128" t="str">
            <v>Р. Македонија - државна обврзница DO2021/17-1224</v>
          </cell>
        </row>
        <row r="129">
          <cell r="A129" t="str">
            <v>Р. Македонија - државна обврзница DO2016/08-0331dk</v>
          </cell>
        </row>
        <row r="130">
          <cell r="A130" t="str">
            <v>Р. Македонија - државна обврзница DO2021/10-0636</v>
          </cell>
        </row>
        <row r="131">
          <cell r="A131" t="str">
            <v>Р. Македонија - државна обврзница DO2021/11-0636dk</v>
          </cell>
        </row>
        <row r="132">
          <cell r="A132" t="str">
            <v>Р. Македонија - државна обврзница DO2017/24-0832dk</v>
          </cell>
        </row>
        <row r="133">
          <cell r="A133" t="str">
            <v>Р. Македонија - државна обврзница DO2015/37-0930dk</v>
          </cell>
        </row>
        <row r="134">
          <cell r="A134" t="str">
            <v>Р. Македонија - државна обврзница DO2019/13-1024</v>
          </cell>
        </row>
        <row r="135">
          <cell r="A135" t="str">
            <v>Р.Македонија државна обврзница DO2022/15-1137</v>
          </cell>
        </row>
        <row r="136">
          <cell r="A136" t="str">
            <v>Р. Македонија - државна обврзница DO2015/45-1225dk</v>
          </cell>
        </row>
        <row r="137">
          <cell r="A137" t="str">
            <v>Р. Македонија - државна обврзница DO2021/03-0224</v>
          </cell>
        </row>
        <row r="138">
          <cell r="A138" t="str">
            <v>Р. Македонија - државна обврзница DO2019/06-0449dk</v>
          </cell>
        </row>
        <row r="139">
          <cell r="A139" t="str">
            <v>Р. Македонија - државна обврзница DO2020/06-0635</v>
          </cell>
        </row>
        <row r="140">
          <cell r="A140" t="str">
            <v>Р. Македонија - државна обврзница DO2019/10-0749dk</v>
          </cell>
        </row>
        <row r="141">
          <cell r="A141" t="str">
            <v>Р. Македонија - државна обврзница DO2016/17-0826</v>
          </cell>
        </row>
        <row r="142">
          <cell r="A142" t="str">
            <v>Р. Македонија - државна обврзница DO2016/18-0826dk</v>
          </cell>
        </row>
        <row r="143">
          <cell r="A143" t="str">
            <v>Р. Македонија - државна обврзница DO2016/19-0831dk</v>
          </cell>
        </row>
        <row r="144">
          <cell r="A144" t="str">
            <v>Р. Македонија - државна обврзница DО2022/11-0837dk</v>
          </cell>
        </row>
        <row r="145">
          <cell r="A145" t="str">
            <v>Р. Македонија - државна обврзница DO2018/23-1048dk</v>
          </cell>
        </row>
        <row r="146">
          <cell r="A146" t="str">
            <v>Р. Македонија - државна обврзница DO2021/16-1136dk</v>
          </cell>
        </row>
        <row r="147">
          <cell r="A147" t="str">
            <v>Р. Македонија - државна обврзница DO2018/14-0723</v>
          </cell>
        </row>
        <row r="148">
          <cell r="A148" t="str">
            <v>Р. Македонија - државна обврзница DO2018/15-0748dk</v>
          </cell>
        </row>
        <row r="149">
          <cell r="A149" t="str">
            <v>Р. Македонија - државна обврзница DO2019/12-0934</v>
          </cell>
        </row>
        <row r="150">
          <cell r="A150" t="str">
            <v>Р. Македонија - државна обврзница DO2017/32-1032dk</v>
          </cell>
        </row>
        <row r="151">
          <cell r="A151" t="str">
            <v>Р. Македонија - државна обврзница DO2020/13-1123dk</v>
          </cell>
        </row>
        <row r="152">
          <cell r="A152" t="str">
            <v>Р. Македонија - државна обврзница DO2015/42-1125dk</v>
          </cell>
        </row>
        <row r="153">
          <cell r="A153" t="str">
            <v>Р. Македонија - државна обврзница DO2015/43-1130dk</v>
          </cell>
        </row>
        <row r="154">
          <cell r="A154" t="str">
            <v>Р. Македонија - државна обврзница DO2017/20-0732dk</v>
          </cell>
        </row>
        <row r="155">
          <cell r="A155" t="str">
            <v>Р. Македонија - државна обврзница DO2015/32-0825</v>
          </cell>
        </row>
        <row r="156">
          <cell r="A156" t="str">
            <v>Р. Македонија - државна обврзница DO2015/33-0830dk</v>
          </cell>
        </row>
        <row r="157">
          <cell r="A157" t="str">
            <v>Р. Македонија - државна обврзница DO2018/19-0933</v>
          </cell>
        </row>
        <row r="158">
          <cell r="A158" t="str">
            <v>Р. Македонија - државна обврзница DO2018/20-0933dk</v>
          </cell>
        </row>
        <row r="159">
          <cell r="A159" t="str">
            <v>Р. Македонија - државна обврзница DO2015/18-0525dk</v>
          </cell>
        </row>
        <row r="160">
          <cell r="A160" t="str">
            <v>Р. Македонија - државна обврзница DO2018/13-0633dk</v>
          </cell>
        </row>
        <row r="161">
          <cell r="A161" t="str">
            <v>Р. Македонија - државна обврзница DO2014/18-0824dk</v>
          </cell>
        </row>
        <row r="162">
          <cell r="A162" t="str">
            <v>Р. Македонија - државна обврзница DO2017/27-0932dk</v>
          </cell>
        </row>
        <row r="163">
          <cell r="A163" t="str">
            <v>Р. Македонија - државна обврзница DO2016/03-0131dk</v>
          </cell>
        </row>
        <row r="164">
          <cell r="A164" t="str">
            <v>Р. Македонија - државна обврзница DO2017/17-0632dk</v>
          </cell>
        </row>
        <row r="165">
          <cell r="A165" t="str">
            <v>Р. Македонија - државна обврзница DO2016/21-0931dk</v>
          </cell>
        </row>
        <row r="166">
          <cell r="A166" t="str">
            <v>Р. Македонија - државна обврзница DO2018/27-1133dk</v>
          </cell>
        </row>
        <row r="167">
          <cell r="A167" t="str">
            <v>Р. Македонија - државна обврзница DO2016/29-1231dk</v>
          </cell>
        </row>
        <row r="168">
          <cell r="A168" t="str">
            <v>Р. Македонија - државна обврзница DO2014/02-0124</v>
          </cell>
        </row>
        <row r="169">
          <cell r="A169" t="str">
            <v>Р. Македонија - државна обврзница DO2014/03-0124dk</v>
          </cell>
        </row>
        <row r="170">
          <cell r="A170" t="str">
            <v>Р. Македонија - државна обврзница DO2017/10-0332dk</v>
          </cell>
        </row>
        <row r="171">
          <cell r="A171" t="str">
            <v>Р. Македонија - државна обврзница DO2016/14-0631dk</v>
          </cell>
        </row>
        <row r="172">
          <cell r="A172" t="str">
            <v>Р. Македонија - државна обврзница DO2015/27-0725dk</v>
          </cell>
        </row>
        <row r="173">
          <cell r="A173" t="str">
            <v>Р. Македонија - државна обврзница DO2015/28-0730dk</v>
          </cell>
        </row>
        <row r="174">
          <cell r="A174" t="str">
            <v>Р. Македонија - државна обврзница DO2017/36-1132dk</v>
          </cell>
        </row>
        <row r="175">
          <cell r="A175" t="str">
            <v>Р. Македонија - државна обврзница DO2016/09-0326</v>
          </cell>
        </row>
        <row r="176">
          <cell r="A176" t="str">
            <v>Р. Македонија - државна обврзница DO2014/17-0724dk</v>
          </cell>
        </row>
        <row r="177">
          <cell r="A177" t="str">
            <v>Р. Македонија - државна обврзница DO2015/38-0925dk</v>
          </cell>
        </row>
        <row r="178">
          <cell r="A178" t="str">
            <v>Р. Македонија - државна обврзница DO2015/39-0930dk</v>
          </cell>
        </row>
        <row r="179">
          <cell r="A179" t="str">
            <v>Р. Македонија - државна обврзница DO2015/46-1225dk</v>
          </cell>
        </row>
        <row r="180">
          <cell r="A180" t="str">
            <v>Р. Македонија - државна обврзница DO2018/04-0133</v>
          </cell>
        </row>
        <row r="181">
          <cell r="A181" t="str">
            <v>Р. Македонија - државна обврзница DO2018/05-0133dk</v>
          </cell>
          <cell r="B181">
            <v>112.2</v>
          </cell>
        </row>
        <row r="182">
          <cell r="A182" t="str">
            <v>Р. Македонија - државна обврзница DO2015/20-0625</v>
          </cell>
        </row>
        <row r="183">
          <cell r="A183" t="str">
            <v>Р. Македонија - државна обврзница DO2015/21-0625dk</v>
          </cell>
        </row>
        <row r="184">
          <cell r="A184" t="str">
            <v>Р. Македонија - државна обврзница DO2015/22-0630dk</v>
          </cell>
        </row>
        <row r="185">
          <cell r="A185" t="str">
            <v>Р. Македонија - државна обврзница DO2017/05-0132dk</v>
          </cell>
        </row>
        <row r="186">
          <cell r="A186" t="str">
            <v>Р. Македонија - државна обврзница DO2015/08-0230dk</v>
          </cell>
        </row>
        <row r="187">
          <cell r="A187" t="str">
            <v>Р. Македонија - државна обврзница DO2015/12-0325</v>
          </cell>
        </row>
        <row r="188">
          <cell r="A188" t="str">
            <v>Р. Македонија - државна обврзница DO2015/13-0330dk</v>
          </cell>
        </row>
        <row r="189">
          <cell r="A189" t="str">
            <v>Р. Македонија - државна обврзница DO2018/11-0448dk</v>
          </cell>
        </row>
        <row r="190">
          <cell r="A190" t="str">
            <v>Р. Македонија - државна обврзница DO2022/02-0125</v>
          </cell>
        </row>
        <row r="191">
          <cell r="A191" t="str">
            <v>Р. Македонија - државна обврзница DO2015/34-0825</v>
          </cell>
        </row>
        <row r="192">
          <cell r="A192" t="str">
            <v>Р. Македонија - државна обврзница DO2015/35-0825dk</v>
          </cell>
        </row>
        <row r="193">
          <cell r="A193" t="str">
            <v>Р. Македонија - државна обврзница DO2015/36-0830dk</v>
          </cell>
        </row>
        <row r="194">
          <cell r="A194" t="str">
            <v>Р. Македонија - државна обврзница DO2021/02-0123</v>
          </cell>
        </row>
        <row r="195">
          <cell r="A195" t="str">
            <v>Р. Македонија - државна обврзница DO2016/04-0131dk</v>
          </cell>
        </row>
        <row r="196">
          <cell r="A196" t="str">
            <v>Р. Македонија - државна обврзница DO2019/04-0234</v>
          </cell>
          <cell r="B196">
            <v>107.1</v>
          </cell>
        </row>
        <row r="197">
          <cell r="A197" t="str">
            <v>Р. Македонија - државна обврзница DO2016/16-0731dk</v>
          </cell>
        </row>
        <row r="198">
          <cell r="A198" t="str">
            <v>Р. Македонија - државна обврзница DO2015/03-0125</v>
          </cell>
        </row>
        <row r="199">
          <cell r="A199" t="str">
            <v>Р. Македонија - државна обврзница DO2015/04-0125dk</v>
          </cell>
        </row>
        <row r="200">
          <cell r="A200" t="str">
            <v>Р. Македонија - државна обврзница DO2017/18-0632dk</v>
          </cell>
        </row>
        <row r="201">
          <cell r="A201" t="str">
            <v>Р. Македонија - држaвна обврзница DO2021/12-0724</v>
          </cell>
        </row>
        <row r="202">
          <cell r="A202" t="str">
            <v>Р. Македонија - државна обврзница DO2016/22-0931dk</v>
          </cell>
        </row>
        <row r="203">
          <cell r="A203" t="str">
            <v>Р. Македонија - државна обврзница DO2015/41-1030dk</v>
          </cell>
        </row>
        <row r="204">
          <cell r="A204" t="str">
            <v>Р. Македонија - државна обврзница DO2020/10-1035</v>
          </cell>
        </row>
        <row r="205">
          <cell r="A205" t="str">
            <v>Р. Македонија - државна обврзница DO2020/01-0150dk</v>
          </cell>
        </row>
        <row r="206">
          <cell r="A206" t="str">
            <v>Р. Македонија - државна обврзница DO2017/11-0332dk</v>
          </cell>
        </row>
        <row r="207">
          <cell r="A207" t="str">
            <v>Р. Македонија - државна обврзница DO2020/04-0450dk</v>
          </cell>
          <cell r="B207">
            <v>100</v>
          </cell>
        </row>
        <row r="208">
          <cell r="A208" t="str">
            <v>Р. Македонија - државна обврзница DO2022/08-0637</v>
          </cell>
        </row>
        <row r="209">
          <cell r="A209" t="str">
            <v>Р. Македонија - државна обврзница DO2015/29-0730dk</v>
          </cell>
        </row>
        <row r="210">
          <cell r="A210" t="str">
            <v>Р. Македонија - државна обврзница DO2014/30-1024dk</v>
          </cell>
        </row>
        <row r="211">
          <cell r="A211" t="str">
            <v>Р. Македонија - државна обврзница DO2017/37-1132dk</v>
          </cell>
        </row>
        <row r="212">
          <cell r="A212" t="str">
            <v>Р. Македонија - државна обврзница DO2019/02-0149dk</v>
          </cell>
        </row>
        <row r="213">
          <cell r="A213" t="str">
            <v>Р. Македонија - државна обврзница DO2016/10-0331dk</v>
          </cell>
        </row>
        <row r="214">
          <cell r="A214" t="str">
            <v>Р. Македонија - државна обврзница DO2019/14-1049dk</v>
          </cell>
          <cell r="B214">
            <v>103.5</v>
          </cell>
        </row>
        <row r="215">
          <cell r="A215" t="str">
            <v>Р. Македонија - државна обврзница DO2020/19-1223</v>
          </cell>
        </row>
        <row r="216">
          <cell r="A216" t="str">
            <v>Р. Македонија - државна обврзница DO2020/20-1223dk</v>
          </cell>
        </row>
        <row r="217">
          <cell r="A217" t="str">
            <v>Р. Македонија - денационализација 12</v>
          </cell>
          <cell r="B217">
            <v>99.31</v>
          </cell>
        </row>
        <row r="218">
          <cell r="A218" t="str">
            <v>Р. Македонија - денационализација 13</v>
          </cell>
          <cell r="B218">
            <v>99</v>
          </cell>
        </row>
        <row r="219">
          <cell r="A219" t="str">
            <v>Р. Македонија - денационализација 14</v>
          </cell>
          <cell r="B219">
            <v>99</v>
          </cell>
        </row>
        <row r="220">
          <cell r="A220" t="str">
            <v>Р. Македонија - денационализација 15</v>
          </cell>
          <cell r="B220">
            <v>99</v>
          </cell>
        </row>
        <row r="221">
          <cell r="A221" t="str">
            <v>Р. Македонија - денационализација 16</v>
          </cell>
          <cell r="B221">
            <v>93</v>
          </cell>
        </row>
        <row r="222">
          <cell r="A222" t="str">
            <v>Р. Македонија - денационализација 17</v>
          </cell>
          <cell r="B222">
            <v>90</v>
          </cell>
        </row>
        <row r="223">
          <cell r="A223" t="str">
            <v>Р. Македонија - денационализација 18</v>
          </cell>
          <cell r="B223">
            <v>99</v>
          </cell>
        </row>
        <row r="224">
          <cell r="A224" t="str">
            <v>Р. Македонија - денационализација 19</v>
          </cell>
          <cell r="B224">
            <v>92</v>
          </cell>
        </row>
        <row r="225">
          <cell r="A225" t="str">
            <v>Р. Македонија - денационализација 20</v>
          </cell>
          <cell r="B225">
            <v>90</v>
          </cell>
        </row>
        <row r="226">
          <cell r="A226" t="str">
            <v>Р. Македонија - денационализација 21</v>
          </cell>
          <cell r="B226">
            <v>91.8</v>
          </cell>
        </row>
        <row r="227">
          <cell r="A227" t="str">
            <v>СН Осигурителен Брокер АД Битола - корпоративна обврзница I емисија</v>
          </cell>
          <cell r="B227">
            <v>100</v>
          </cell>
        </row>
        <row r="228">
          <cell r="A228" t="str">
            <v>ТТК банка АД Скопје - корпоративна обврзница I емисија</v>
          </cell>
          <cell r="B228">
            <v>100</v>
          </cell>
        </row>
        <row r="229">
          <cell r="A229" t="str">
            <v>ТТК банка АД Скопје - корпоративна обврзница II емисија</v>
          </cell>
        </row>
        <row r="230">
          <cell r="A230" t="str">
            <v>Берзанска котација - други хартии од вредност</v>
          </cell>
        </row>
        <row r="231">
          <cell r="A231" t="str">
            <v>Универзална Инвестициона Банка Скопје - перпетуални обврзници</v>
          </cell>
          <cell r="B231">
            <v>100</v>
          </cell>
        </row>
        <row r="232">
          <cell r="A232" t="str">
            <v>Универзална Инвестициона Банка Скопје - перпетуални обврзници - втора емисија</v>
          </cell>
        </row>
        <row r="233">
          <cell r="A233" t="str">
            <v>Задолжителна котација - обични акции</v>
          </cell>
        </row>
        <row r="234">
          <cell r="A234" t="str">
            <v>Адинг Скопје</v>
          </cell>
          <cell r="B234">
            <v>840</v>
          </cell>
        </row>
        <row r="235">
          <cell r="A235" t="str">
            <v>Агромеханика Скопје</v>
          </cell>
          <cell r="B235">
            <v>300</v>
          </cell>
        </row>
        <row r="236">
          <cell r="A236" t="str">
            <v>Ангропромет-Тиквешанка Кавадарци</v>
          </cell>
          <cell r="B236">
            <v>750</v>
          </cell>
        </row>
        <row r="237">
          <cell r="A237" t="str">
            <v>Аутомакедонија Скопје</v>
          </cell>
        </row>
        <row r="238">
          <cell r="A238" t="str">
            <v>Рудници Бањани Скопје</v>
          </cell>
          <cell r="B238">
            <v>603</v>
          </cell>
        </row>
        <row r="239">
          <cell r="A239" t="str">
            <v>Кристал 1923 АД Велес</v>
          </cell>
          <cell r="B239">
            <v>160</v>
          </cell>
        </row>
        <row r="240">
          <cell r="A240" t="str">
            <v>БИМ Свети Николе</v>
          </cell>
          <cell r="B240">
            <v>15550</v>
          </cell>
        </row>
        <row r="241">
          <cell r="A241" t="str">
            <v>ФЗЦ 11 Октомври Куманово</v>
          </cell>
          <cell r="B241">
            <v>399</v>
          </cell>
        </row>
        <row r="242">
          <cell r="A242" t="str">
            <v>Централна кооперативна банка Скопје</v>
          </cell>
          <cell r="B242">
            <v>600</v>
          </cell>
        </row>
        <row r="243">
          <cell r="A243" t="str">
            <v>Дебарски бањи Дебар</v>
          </cell>
          <cell r="B243">
            <v>1550</v>
          </cell>
        </row>
        <row r="244">
          <cell r="A244" t="str">
            <v>Димко Митрев Велес</v>
          </cell>
          <cell r="B244">
            <v>185</v>
          </cell>
        </row>
        <row r="245">
          <cell r="A245" t="str">
            <v>Единство Струмица</v>
          </cell>
          <cell r="B245">
            <v>303</v>
          </cell>
        </row>
        <row r="246">
          <cell r="A246" t="str">
            <v>Европа Скопје</v>
          </cell>
          <cell r="B246">
            <v>2900</v>
          </cell>
        </row>
        <row r="247">
          <cell r="A247" t="str">
            <v>Факом Скопје</v>
          </cell>
          <cell r="B247">
            <v>7200</v>
          </cell>
        </row>
        <row r="248">
          <cell r="A248" t="str">
            <v>Фустеларко Борец Битола</v>
          </cell>
          <cell r="B248">
            <v>1801</v>
          </cell>
        </row>
        <row r="249">
          <cell r="A249" t="str">
            <v>Герас Цунев конфекција Струмица</v>
          </cell>
          <cell r="B249">
            <v>500</v>
          </cell>
        </row>
        <row r="250">
          <cell r="A250" t="str">
            <v>Герас Цунев трговија Струмица</v>
          </cell>
          <cell r="B250">
            <v>500</v>
          </cell>
        </row>
        <row r="251">
          <cell r="A251" t="str">
            <v>Грозд Струмица</v>
          </cell>
          <cell r="B251">
            <v>2250</v>
          </cell>
        </row>
        <row r="252">
          <cell r="A252" t="str">
            <v>Градски Трговски Центар Скопје</v>
          </cell>
          <cell r="B252">
            <v>1790</v>
          </cell>
        </row>
        <row r="253">
          <cell r="A253" t="str">
            <v>Интерпромет Тетово</v>
          </cell>
          <cell r="B253">
            <v>4500</v>
          </cell>
        </row>
        <row r="254">
          <cell r="A254" t="str">
            <v>Македонија осигурување АД Скопје - Виена Иншуренс Груп</v>
          </cell>
          <cell r="B254">
            <v>1200</v>
          </cell>
        </row>
        <row r="255">
          <cell r="A255" t="str">
            <v>Кланица со ладилник Струмица</v>
          </cell>
          <cell r="B255">
            <v>120</v>
          </cell>
        </row>
        <row r="256">
          <cell r="A256" t="str">
            <v>Фруктал МАК Скопје</v>
          </cell>
        </row>
        <row r="257">
          <cell r="A257" t="str">
            <v>Карпош Скопје</v>
          </cell>
          <cell r="B257">
            <v>333</v>
          </cell>
        </row>
        <row r="258">
          <cell r="A258" t="str">
            <v>Лотарија на Македонија Скопје</v>
          </cell>
        </row>
        <row r="259">
          <cell r="A259" t="str">
            <v>Пелистерка АД Скопје</v>
          </cell>
        </row>
        <row r="260">
          <cell r="A260" t="str">
            <v>Макпромет Штип</v>
          </cell>
          <cell r="B260">
            <v>600</v>
          </cell>
        </row>
        <row r="261">
          <cell r="A261" t="str">
            <v>Мермерен комбинат Прилеп</v>
          </cell>
          <cell r="B261">
            <v>2500</v>
          </cell>
        </row>
        <row r="262">
          <cell r="A262" t="str">
            <v>Мода Свети Николе</v>
          </cell>
        </row>
        <row r="263">
          <cell r="A263" t="str">
            <v>Вабтек МЗТ Скопје</v>
          </cell>
          <cell r="B263">
            <v>3133</v>
          </cell>
        </row>
        <row r="264">
          <cell r="A264" t="str">
            <v>МЗТ Пумпи Скопје</v>
          </cell>
          <cell r="B264">
            <v>607</v>
          </cell>
        </row>
        <row r="265">
          <cell r="A265" t="str">
            <v>Огражден Струмица</v>
          </cell>
        </row>
        <row r="266">
          <cell r="A266" t="str">
            <v>Нова стоковна куќа Струмица</v>
          </cell>
        </row>
        <row r="267">
          <cell r="A267" t="str">
            <v>Оилко КДА Скопје</v>
          </cell>
        </row>
        <row r="268">
          <cell r="A268" t="str">
            <v>ОКТА Скопје</v>
          </cell>
        </row>
        <row r="269">
          <cell r="A269" t="str">
            <v>Оранжерии Хамзали Струмица</v>
          </cell>
        </row>
        <row r="270">
          <cell r="A270" t="str">
            <v>Пекабеско Скопје</v>
          </cell>
          <cell r="B270">
            <v>16500</v>
          </cell>
        </row>
        <row r="271">
          <cell r="A271" t="str">
            <v>Попова Кула Демир Капија</v>
          </cell>
          <cell r="B271">
            <v>16</v>
          </cell>
        </row>
        <row r="272">
          <cell r="A272" t="str">
            <v>Прилепска Пиварница Прилеп</v>
          </cell>
        </row>
        <row r="273">
          <cell r="A273" t="str">
            <v>Раде Кончар Скопје</v>
          </cell>
        </row>
        <row r="274">
          <cell r="A274" t="str">
            <v>РЖ Економика Скопје</v>
          </cell>
        </row>
        <row r="275">
          <cell r="A275" t="str">
            <v>Либерти АД Скопје</v>
          </cell>
        </row>
        <row r="276">
          <cell r="A276" t="str">
            <v>РЖ Техничка контрола Скопје</v>
          </cell>
        </row>
        <row r="277">
          <cell r="A277" t="str">
            <v>РЖ Уготур Скопје</v>
          </cell>
        </row>
        <row r="278">
          <cell r="A278" t="str">
            <v>Современ дом Прилеп</v>
          </cell>
        </row>
        <row r="279">
          <cell r="A279" t="str">
            <v>Силекс Кратово</v>
          </cell>
        </row>
        <row r="280">
          <cell r="A280" t="str">
            <v>Славеј Скопје</v>
          </cell>
        </row>
        <row r="281">
          <cell r="A281" t="str">
            <v>Струмичко поле с.Василево</v>
          </cell>
        </row>
        <row r="282">
          <cell r="A282" t="str">
            <v>Сигурносно стакло Прилеп</v>
          </cell>
        </row>
        <row r="283">
          <cell r="A283" t="str">
            <v>Стопанска банка Скопје</v>
          </cell>
        </row>
        <row r="284">
          <cell r="A284" t="str">
            <v>Стокопромет Скопје</v>
          </cell>
        </row>
        <row r="285">
          <cell r="A285" t="str">
            <v>Тајмиште Кичево</v>
          </cell>
        </row>
        <row r="286">
          <cell r="A286" t="str">
            <v>ТЕАЛ-Алумина Тетово</v>
          </cell>
        </row>
        <row r="287">
          <cell r="A287" t="str">
            <v>Технокомерц Скопје</v>
          </cell>
        </row>
        <row r="288">
          <cell r="A288" t="str">
            <v>Македонски Телеком Скопје</v>
          </cell>
        </row>
        <row r="289">
          <cell r="A289" t="str">
            <v>ГД-Тиквеш Кавадарци</v>
          </cell>
        </row>
        <row r="290">
          <cell r="A290" t="str">
            <v>НЛБ Банка АД Скопје</v>
          </cell>
        </row>
        <row r="291">
          <cell r="A291" t="str">
            <v>Транскоп-Патнички сооб. Битола</v>
          </cell>
        </row>
        <row r="292">
          <cell r="A292" t="str">
            <v>Трготекстил малопродажба Скопје</v>
          </cell>
        </row>
        <row r="293">
          <cell r="A293" t="str">
            <v>Универзална Инвестициона Банка Скопје</v>
          </cell>
        </row>
        <row r="294">
          <cell r="A294" t="str">
            <v>Цементарница УСЈЕ Скопје</v>
          </cell>
        </row>
        <row r="295">
          <cell r="A295" t="str">
            <v>Триглав осигурување Скопје</v>
          </cell>
        </row>
        <row r="296">
          <cell r="A296" t="str">
            <v>Ветекс Велес</v>
          </cell>
        </row>
        <row r="297">
          <cell r="A297" t="str">
            <v>ЖАС Скопје</v>
          </cell>
        </row>
        <row r="298">
          <cell r="A298" t="str">
            <v>Жито Караорман Кичево</v>
          </cell>
        </row>
        <row r="299">
          <cell r="A299" t="str">
            <v>Жито Полог Тетово</v>
          </cell>
        </row>
        <row r="300">
          <cell r="A300" t="str">
            <v>Задолжителна котација - приоритетни акции</v>
          </cell>
        </row>
        <row r="301">
          <cell r="A301" t="str">
            <v>Стопанска банка Скопје</v>
          </cell>
        </row>
        <row r="302">
          <cell r="A302" t="str">
            <v>Редовен пазар</v>
          </cell>
        </row>
        <row r="303">
          <cell r="A303" t="str">
            <v>Пазар на акционерски друштва со посебни обврски за известување - обични акции</v>
          </cell>
        </row>
        <row r="304">
          <cell r="A304" t="str">
            <v>Агросервис Скопје</v>
          </cell>
        </row>
        <row r="305">
          <cell r="A305" t="str">
            <v>Шпаркасе банка Македонија АД Скопје</v>
          </cell>
        </row>
        <row r="306">
          <cell r="A306" t="str">
            <v>Слободен пазар - обични акции</v>
          </cell>
        </row>
        <row r="307">
          <cell r="A307" t="str">
            <v>РЖ Скопје-Инженеринг Скопје</v>
          </cell>
        </row>
        <row r="308">
          <cell r="A308" t="str">
            <v>АрцелорМиттал (ХРМ) АД Скопје - долгорочно суспендирано од котација</v>
          </cell>
        </row>
        <row r="309">
          <cell r="A309" t="str">
            <v>БЛОКОВИ</v>
          </cell>
        </row>
        <row r="310">
          <cell r="A310" t="str">
            <v>Официјален пазар</v>
          </cell>
        </row>
        <row r="311">
          <cell r="A311" t="str">
            <v>Задолжителна котација - обични акции</v>
          </cell>
        </row>
        <row r="312">
          <cell r="A312" t="str">
            <v>РЖ Уготур Скопје</v>
          </cell>
        </row>
        <row r="313">
          <cell r="A313" t="str">
            <v>Вкупен промет на сите пазарни сегменти: 29.636.670,00</v>
          </cell>
        </row>
        <row r="314">
          <cell r="A314" t="str">
            <v>МБИ10</v>
          </cell>
        </row>
        <row r="315">
          <cell r="A315" t="str">
            <v>ОМБ</v>
          </cell>
        </row>
        <row r="316">
          <cell r="A316" t="str">
            <v>1 EUR = 61,4943 МКД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  <cell r="B11">
            <v>1499.6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  <cell r="B26">
            <v>250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  <cell r="B31">
            <v>3500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DO2022/03-0337</v>
          </cell>
        </row>
        <row r="46">
          <cell r="A46" t="str">
            <v>Р. Македонија - државна обврзница DO2014/16-0724dk</v>
          </cell>
        </row>
        <row r="47">
          <cell r="A47" t="str">
            <v>Р. Македонија - државна обврзница DO2016/26-1131dk</v>
          </cell>
        </row>
        <row r="48">
          <cell r="A48" t="str">
            <v>Р. Македонија - државна обврзница DO2020/14-1223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DO2020/15-1235dk</v>
          </cell>
        </row>
        <row r="51">
          <cell r="A51" t="str">
            <v>Р. Македонија - државна обврзница DO2021/04-0336</v>
          </cell>
        </row>
        <row r="52">
          <cell r="A52" t="str">
            <v>Р. Македонија - државна обврзница DO2017/14-0532dk</v>
          </cell>
        </row>
        <row r="53">
          <cell r="A53" t="str">
            <v>Р. Македонија - државна обврзница DO2015/19-0630dk</v>
          </cell>
        </row>
        <row r="54">
          <cell r="A54" t="str">
            <v>Р.Македонија - државна обврзница DO2022/09-0837</v>
          </cell>
        </row>
        <row r="55">
          <cell r="A55" t="str">
            <v>Р.Македонија - државна обврзница DO2022/10-0837dk</v>
          </cell>
        </row>
        <row r="56">
          <cell r="A56" t="str">
            <v>Р. Македонија - државна обврзница DO2014/19-0924dk</v>
          </cell>
        </row>
        <row r="57">
          <cell r="A57" t="str">
            <v>Р. Македонија - државна обврзница DO2014/38-1224</v>
          </cell>
        </row>
        <row r="58">
          <cell r="A58" t="str">
            <v>Р. Македонија - државна обврзница DO2020/03-0325</v>
          </cell>
        </row>
        <row r="59">
          <cell r="A59" t="str">
            <v>Р. Македонија - државна обврзница DO2014/13-0624dk</v>
          </cell>
        </row>
        <row r="60">
          <cell r="A60" t="str">
            <v>Р. Македонија - државна обврзница ДО2021/13-0836</v>
          </cell>
        </row>
        <row r="61">
          <cell r="A61" t="str">
            <v>Р. Македонија - државна обврзница DO2017/30-1032dk</v>
          </cell>
        </row>
        <row r="62">
          <cell r="A62" t="str">
            <v>Р. Македонија - државна обврзница DO2020/11-1122</v>
          </cell>
        </row>
        <row r="63">
          <cell r="A63" t="str">
            <v>Р. Македонија - државна обврзница DO2020/12-1125</v>
          </cell>
        </row>
        <row r="64">
          <cell r="A64" t="str">
            <v>Р. Македонија - државна обврзница DO2019/16-1234dk</v>
          </cell>
        </row>
        <row r="65">
          <cell r="A65" t="str">
            <v>Р. Македонија - државна обврзница DO2017/12-0432dk</v>
          </cell>
        </row>
        <row r="66">
          <cell r="A66" t="str">
            <v>Р. Македонија - државна обврзница DO2017/19-0732dk</v>
          </cell>
        </row>
        <row r="67">
          <cell r="A67" t="str">
            <v>Р. Македонија - државна обврзница DO2015/30-0825dk</v>
          </cell>
        </row>
        <row r="68">
          <cell r="A68" t="str">
            <v>Р. Македонија - државна обврзница DO2015/31-0830dk</v>
          </cell>
        </row>
        <row r="69">
          <cell r="A69" t="str">
            <v>Р. Македонија - државна обврзница DO2020/07-0850dk</v>
          </cell>
        </row>
        <row r="70">
          <cell r="A70" t="str">
            <v>Р. Македонија - државна обврзница DO2019/05-0324</v>
          </cell>
        </row>
        <row r="71">
          <cell r="A71" t="str">
            <v>Р. Македонија - државна обврзница DO2016/11-0426dk</v>
          </cell>
        </row>
        <row r="72">
          <cell r="A72" t="str">
            <v>Р. Македонија - државна обврзница DO2015/17-0530dk</v>
          </cell>
        </row>
        <row r="73">
          <cell r="A73" t="str">
            <v>Р. Македонија - државна обврзница DO2018/12-0633</v>
          </cell>
        </row>
        <row r="74">
          <cell r="A74" t="str">
            <v>Р. Македонија - државна обврзница DO2017/26-0932dk</v>
          </cell>
        </row>
        <row r="75">
          <cell r="A75" t="str">
            <v>Р. Македонија - државна обврзница DO2019/15-1134</v>
          </cell>
          <cell r="B75">
            <v>105.3</v>
          </cell>
        </row>
        <row r="76">
          <cell r="A76" t="str">
            <v>Р. Македонија - државна обврзница DO2017/38-1232dk</v>
          </cell>
        </row>
        <row r="77">
          <cell r="A77" t="str">
            <v>Р. Македонија - државна обврзница DO2018/10-0333dk</v>
          </cell>
        </row>
        <row r="78">
          <cell r="A78" t="str">
            <v>Р. Македонија - државна обврзница DO2017/16-0632dk</v>
          </cell>
        </row>
        <row r="79">
          <cell r="A79" t="str">
            <v>Р. Македонија - државна обврзница DO2016/15-0731dk</v>
          </cell>
        </row>
        <row r="80">
          <cell r="A80" t="str">
            <v>Р. Македонија - државна обврзница DO2019/11-0834dk</v>
          </cell>
        </row>
        <row r="81">
          <cell r="A81" t="str">
            <v>Р. Македонија - државна обврзница DO2015/40-1030dk</v>
          </cell>
        </row>
        <row r="82">
          <cell r="A82" t="str">
            <v>Р. Македонија - државна обврзница DO2017/08-0332dk</v>
          </cell>
        </row>
        <row r="83">
          <cell r="A83" t="str">
            <v>Р. Македонија - државна обврзница DO2016/13-0631dk</v>
          </cell>
        </row>
        <row r="84">
          <cell r="A84" t="str">
            <v>Р. Македонија - државна обврзница DO2015/23-0725</v>
          </cell>
        </row>
        <row r="85">
          <cell r="A85" t="str">
            <v>Р. Македонија - државна обврзница DO2015/24-0725dk</v>
          </cell>
        </row>
        <row r="86">
          <cell r="A86" t="str">
            <v>Р. Македонија - државна обврзница DO2015/25-0730dk</v>
          </cell>
        </row>
        <row r="87">
          <cell r="A87" t="str">
            <v>Р. Македонија - државна обврзница DO2018/17-0833dk</v>
          </cell>
        </row>
        <row r="88">
          <cell r="A88" t="str">
            <v>Р.Македонија државна обврзница DO2022/13-0937</v>
          </cell>
        </row>
        <row r="89">
          <cell r="A89" t="str">
            <v>Р.Македонија државна обврзница DO2022/12-0937dk</v>
          </cell>
        </row>
        <row r="90">
          <cell r="A90" t="str">
            <v>Р. Македонија - државна обврзница DO2017/22-0832dk</v>
          </cell>
        </row>
        <row r="91">
          <cell r="A91" t="str">
            <v>Р. Македонија - државна обврзница DO2018/02-0128</v>
          </cell>
        </row>
        <row r="92">
          <cell r="A92" t="str">
            <v>Р. Македонија - државна обврзница DO2018/03-0133dk</v>
          </cell>
        </row>
        <row r="93">
          <cell r="A93" t="str">
            <v>Р. Македонија - државна обврзница DO2016/05-0226</v>
          </cell>
        </row>
        <row r="94">
          <cell r="A94" t="str">
            <v>Р. Македонија - државна обврзница DO2016/06-0226dk</v>
          </cell>
        </row>
        <row r="95">
          <cell r="A95" t="str">
            <v>Р. Македонија - државна обврзница DO2016/07-0231dk</v>
          </cell>
        </row>
        <row r="96">
          <cell r="A96" t="str">
            <v>Р. Македонија - државна обврзница DO2017/02-0132dk</v>
          </cell>
        </row>
        <row r="97">
          <cell r="A97" t="str">
            <v>Р. Македонија - државна обврзница DO2015/05-0230dk</v>
          </cell>
        </row>
        <row r="98">
          <cell r="A98" t="str">
            <v>Р. Македонија - државна обврзница DO2015/09-0325</v>
          </cell>
        </row>
        <row r="99">
          <cell r="A99" t="str">
            <v>Р. Македонија - државна обврзница DO2015/10-0330dk</v>
          </cell>
        </row>
        <row r="100">
          <cell r="A100" t="str">
            <v>Р. Македонија - државна обврзница DO2022/05-0537</v>
          </cell>
        </row>
        <row r="101">
          <cell r="A101" t="str">
            <v>Р. Македонија - државна обврзница DO2022/01-0137</v>
          </cell>
        </row>
        <row r="102">
          <cell r="A102" t="str">
            <v>Р. Македонија - државна обврзница DO2020/02-0235</v>
          </cell>
        </row>
        <row r="103">
          <cell r="A103" t="str">
            <v>Р. Македонија - државна обврзница DO2016/01-0126dk</v>
          </cell>
        </row>
        <row r="104">
          <cell r="A104" t="str">
            <v>Р. Македонија - државна обврзница DO2016/02-0131dk</v>
          </cell>
        </row>
        <row r="105">
          <cell r="A105" t="str">
            <v>Р. Македонија - државна обврзница DO2021/01-0136</v>
          </cell>
        </row>
        <row r="106">
          <cell r="A106" t="str">
            <v>Р. Македонија - државна обврзница DO2019/03-0224dk</v>
          </cell>
        </row>
        <row r="107">
          <cell r="A107" t="str">
            <v>Р. Македонија - државна обврзница DO2016/12-0431dk</v>
          </cell>
        </row>
        <row r="108">
          <cell r="A108" t="str">
            <v>Р. Македонија - државна обврзница DO2022/04-0437dk</v>
          </cell>
        </row>
        <row r="109">
          <cell r="A109" t="str">
            <v>Р. Македонија - државна обврзница DO2021/09-0526</v>
          </cell>
        </row>
        <row r="110">
          <cell r="A110" t="str">
            <v>Р. Македонија - државна обврзница DO2016/23-1031dk</v>
          </cell>
        </row>
        <row r="111">
          <cell r="A111" t="str">
            <v>Р. Македонија - државна обврзница DO2021/15-1036</v>
          </cell>
        </row>
        <row r="112">
          <cell r="A112" t="str">
            <v>Р. Македонија - државна обврзница DO2018/07-0223</v>
          </cell>
        </row>
        <row r="113">
          <cell r="A113" t="str">
            <v>Р. Македонија - државна обврзница DO2018/08-0233dk</v>
          </cell>
        </row>
        <row r="114">
          <cell r="A114" t="str">
            <v>Р. Македонија - државна обврзница DO2021/07-0436</v>
          </cell>
        </row>
        <row r="115">
          <cell r="A115" t="str">
            <v>Р. Македонија - државна обврзница DO2021/08-0436dk</v>
          </cell>
        </row>
        <row r="116">
          <cell r="A116" t="str">
            <v>Р. Македонија - државна обврзница DO2020/08-1030</v>
          </cell>
        </row>
        <row r="117">
          <cell r="A117" t="str">
            <v>Р. Македонија - државна обврзница DO2020/09-1030dk</v>
          </cell>
        </row>
        <row r="118">
          <cell r="A118" t="str">
            <v>Р. Македонија - државна обврзница DO2017/06-0232dk</v>
          </cell>
        </row>
        <row r="119">
          <cell r="A119" t="str">
            <v>Р. Македонија - државна обврзница DO2015/15-0430dk</v>
          </cell>
        </row>
        <row r="120">
          <cell r="A120" t="str">
            <v>Р. Македонија - државна обврзница DO2019/08-0524</v>
          </cell>
        </row>
        <row r="121">
          <cell r="A121" t="str">
            <v>Р. Македонија - државна обврзница DO2019/09-0534</v>
          </cell>
        </row>
        <row r="122">
          <cell r="A122" t="str">
            <v>Р.Македонија - државна обврзница DO2022/06-0637</v>
          </cell>
        </row>
        <row r="123">
          <cell r="A123" t="str">
            <v>Р.Македонија - државна обврзница DO2022/07-0637dk</v>
          </cell>
        </row>
        <row r="124">
          <cell r="A124" t="str">
            <v>Р. Македонија - државна обврзница DO2021/14-0936</v>
          </cell>
        </row>
        <row r="125">
          <cell r="A125" t="str">
            <v>Р. Македонија - државна обврзница DO2014/27-1024</v>
          </cell>
        </row>
        <row r="126">
          <cell r="A126" t="str">
            <v>Р. Македонија - државна обврзница DO2014/28-1024dk</v>
          </cell>
        </row>
        <row r="127">
          <cell r="A127" t="str">
            <v>Р. Македонија - државна обврзница DO2021/17-1224</v>
          </cell>
        </row>
        <row r="128">
          <cell r="A128" t="str">
            <v>Р. Македонија - државна обврзница DO2016/08-0331dk</v>
          </cell>
        </row>
        <row r="129">
          <cell r="A129" t="str">
            <v>Р. Македонија - државна обврзница DO2021/10-0636</v>
          </cell>
        </row>
        <row r="130">
          <cell r="A130" t="str">
            <v>Р. Македонија - државна обврзница DO2021/11-0636dk</v>
          </cell>
        </row>
        <row r="131">
          <cell r="A131" t="str">
            <v>Р. Македонија - државна обврзница DO2017/24-0832dk</v>
          </cell>
        </row>
        <row r="132">
          <cell r="A132" t="str">
            <v>Р. Македонија - државна обврзница DO2015/37-0930dk</v>
          </cell>
        </row>
        <row r="133">
          <cell r="A133" t="str">
            <v>Р. Македонија - државна обврзница DO2019/13-1024</v>
          </cell>
        </row>
        <row r="134">
          <cell r="A134" t="str">
            <v>Р. Македонија - државна обврзница DO2020/16-1222dk</v>
          </cell>
        </row>
        <row r="135">
          <cell r="A135" t="str">
            <v>Р. Македонија - државна обврзница DO2015/45-1225dk</v>
          </cell>
        </row>
        <row r="136">
          <cell r="A136" t="str">
            <v>Р. Македонија - државна обврзница DO2021/03-0224</v>
          </cell>
        </row>
        <row r="137">
          <cell r="A137" t="str">
            <v>Р. Македонија - државна обврзница DO2019/06-0449dk</v>
          </cell>
        </row>
        <row r="138">
          <cell r="A138" t="str">
            <v>Р. Македонија - државна обврзница DO2020/06-0635</v>
          </cell>
        </row>
        <row r="139">
          <cell r="A139" t="str">
            <v>Р. Македонија - државна обврзница DO2019/10-0749dk</v>
          </cell>
        </row>
        <row r="140">
          <cell r="A140" t="str">
            <v>Р. Македонија - државна обврзница DO2016/17-0826</v>
          </cell>
        </row>
        <row r="141">
          <cell r="A141" t="str">
            <v>Р. Македонија - државна обврзница DO2016/18-0826dk</v>
          </cell>
        </row>
        <row r="142">
          <cell r="A142" t="str">
            <v>Р. Македонија - државна обврзница DO2016/19-0831dk</v>
          </cell>
        </row>
        <row r="143">
          <cell r="A143" t="str">
            <v>Р. Македонија - државна обврзница DО2022/11-0837dk</v>
          </cell>
        </row>
        <row r="144">
          <cell r="A144" t="str">
            <v>Р. Македонија - државна обврзница DO2018/23-1048dk</v>
          </cell>
        </row>
        <row r="145">
          <cell r="A145" t="str">
            <v>Р. Македонија - државна обврзница DO2021/16-1136dk</v>
          </cell>
        </row>
        <row r="146">
          <cell r="A146" t="str">
            <v>Р. Македонија - државна обврзница DO2018/14-0723</v>
          </cell>
        </row>
        <row r="147">
          <cell r="A147" t="str">
            <v>Р. Македонија - државна обврзница DO2018/15-0748dk</v>
          </cell>
        </row>
        <row r="148">
          <cell r="A148" t="str">
            <v>Р. Македонија - државна обврзница DO2019/12-0934</v>
          </cell>
        </row>
        <row r="149">
          <cell r="A149" t="str">
            <v>Р. Македонија - државна обврзница DO2017/32-1032dk</v>
          </cell>
        </row>
        <row r="150">
          <cell r="A150" t="str">
            <v>Р. Македонија - државна обврзница DO2020/13-1123dk</v>
          </cell>
        </row>
        <row r="151">
          <cell r="A151" t="str">
            <v>Р. Македонија - државна обврзница DO2015/42-1125dk</v>
          </cell>
        </row>
        <row r="152">
          <cell r="A152" t="str">
            <v>Р. Македонија - државна обврзница DO2015/43-1130dk</v>
          </cell>
        </row>
        <row r="153">
          <cell r="A153" t="str">
            <v>Р. Македонија - државна обврзница DO2017/20-0732dk</v>
          </cell>
        </row>
        <row r="154">
          <cell r="A154" t="str">
            <v>Р. Македонија - државна обврзница DO2015/32-0825</v>
          </cell>
        </row>
        <row r="155">
          <cell r="A155" t="str">
            <v>Р. Македонија - државна обврзница DO2015/33-0830dk</v>
          </cell>
        </row>
        <row r="156">
          <cell r="A156" t="str">
            <v>Р. Македонија - државна обврзница DO2018/19-0933</v>
          </cell>
        </row>
        <row r="157">
          <cell r="A157" t="str">
            <v>Р. Македонија - државна обврзница DO2018/20-0933dk</v>
          </cell>
        </row>
        <row r="158">
          <cell r="A158" t="str">
            <v>Р. Македонија - државна обврзница DO2015/18-0525dk</v>
          </cell>
        </row>
        <row r="159">
          <cell r="A159" t="str">
            <v>Р. Македонија - државна обврзница DO2018/13-0633dk</v>
          </cell>
        </row>
        <row r="160">
          <cell r="A160" t="str">
            <v>Р. Македонија - државна обврзница DO2014/18-0824dk</v>
          </cell>
        </row>
        <row r="161">
          <cell r="A161" t="str">
            <v>Р. Македонија - државна обврзница DO2017/27-0932dk</v>
          </cell>
        </row>
        <row r="162">
          <cell r="A162" t="str">
            <v>Р. Македонија - државна обврзница DO2016/03-0131dk</v>
          </cell>
        </row>
        <row r="163">
          <cell r="A163" t="str">
            <v>Р. Македонија - државна обврзница DO2017/17-0632dk</v>
          </cell>
        </row>
        <row r="164">
          <cell r="A164" t="str">
            <v>Р. Македонија - државна обврзница DO2016/21-0931dk</v>
          </cell>
        </row>
        <row r="165">
          <cell r="A165" t="str">
            <v>Р. Македонија - државна обврзница DO2018/27-1133dk</v>
          </cell>
        </row>
        <row r="166">
          <cell r="A166" t="str">
            <v>Р. Македонија - државна обврзница DO2016/29-1231dk</v>
          </cell>
        </row>
        <row r="167">
          <cell r="A167" t="str">
            <v>Р. Македонија - државна обврзница DO2014/02-0124</v>
          </cell>
        </row>
        <row r="168">
          <cell r="A168" t="str">
            <v>Р. Македонија - државна обврзница DO2014/03-0124dk</v>
          </cell>
        </row>
        <row r="169">
          <cell r="A169" t="str">
            <v>Р. Македонија - државна обврзница DO2017/10-0332dk</v>
          </cell>
        </row>
        <row r="170">
          <cell r="A170" t="str">
            <v>Р. Македонија - државна обврзница DO2016/14-0631dk</v>
          </cell>
        </row>
        <row r="171">
          <cell r="A171" t="str">
            <v>Р. Македонија - државна обврзница DO2015/27-0725dk</v>
          </cell>
        </row>
        <row r="172">
          <cell r="A172" t="str">
            <v>Р. Македонија - државна обврзница DO2015/28-0730dk</v>
          </cell>
        </row>
        <row r="173">
          <cell r="A173" t="str">
            <v>Р. Македонија - државна обврзница DO2017/36-1132dk</v>
          </cell>
        </row>
        <row r="174">
          <cell r="A174" t="str">
            <v>Р. Македонија - државна обврзница DO2016/09-0326</v>
          </cell>
        </row>
        <row r="175">
          <cell r="A175" t="str">
            <v>Р. Македонија - државна обврзница DO2014/17-0724dk</v>
          </cell>
        </row>
        <row r="176">
          <cell r="A176" t="str">
            <v>Р. Македонија - државна обврзница DO2015/38-0925dk</v>
          </cell>
        </row>
        <row r="177">
          <cell r="A177" t="str">
            <v>Р. Македонија - државна обврзница DO2015/39-0930dk</v>
          </cell>
        </row>
        <row r="178">
          <cell r="A178" t="str">
            <v>Р. Македонија - државна обврзница DO2015/46-1225dk</v>
          </cell>
        </row>
        <row r="179">
          <cell r="A179" t="str">
            <v>Р. Македонија - државна обврзница DO2018/04-0133</v>
          </cell>
        </row>
        <row r="180">
          <cell r="A180" t="str">
            <v>Р. Македонија - државна обврзница DO2018/05-0133dk</v>
          </cell>
          <cell r="B180">
            <v>112.2</v>
          </cell>
        </row>
        <row r="181">
          <cell r="A181" t="str">
            <v>Р. Македонија - државна обврзница DO2015/20-0625</v>
          </cell>
        </row>
        <row r="182">
          <cell r="A182" t="str">
            <v>Р. Македонија - државна обврзница DO2015/21-0625dk</v>
          </cell>
        </row>
        <row r="183">
          <cell r="A183" t="str">
            <v>Р. Македонија - државна обврзница DO2015/22-0630dk</v>
          </cell>
        </row>
        <row r="184">
          <cell r="A184" t="str">
            <v>Р. Македонија - државна обврзница DO2017/05-0132dk</v>
          </cell>
        </row>
        <row r="185">
          <cell r="A185" t="str">
            <v>Р. Македонија - државна обврзница DO2015/08-0230dk</v>
          </cell>
        </row>
        <row r="186">
          <cell r="A186" t="str">
            <v>Р. Македонија - државна обврзница DO2015/12-0325</v>
          </cell>
        </row>
        <row r="187">
          <cell r="A187" t="str">
            <v>Р. Македонија - државна обврзница DO2015/13-0330dk</v>
          </cell>
        </row>
        <row r="188">
          <cell r="A188" t="str">
            <v>Р. Македонија - државна обврзница DO2018/11-0448dk</v>
          </cell>
        </row>
        <row r="189">
          <cell r="A189" t="str">
            <v>Р. Македонија - државна обврзница DO2022/02-0125</v>
          </cell>
        </row>
        <row r="190">
          <cell r="A190" t="str">
            <v>Р. Македонија - државна обврзница DO2015/34-0825</v>
          </cell>
        </row>
        <row r="191">
          <cell r="A191" t="str">
            <v>Р. Македонија - државна обврзница DO2015/35-0825dk</v>
          </cell>
        </row>
        <row r="192">
          <cell r="A192" t="str">
            <v>Р. Македонија - државна обврзница DO2015/36-0830dk</v>
          </cell>
        </row>
        <row r="193">
          <cell r="A193" t="str">
            <v>Р. Македонија - државна обврзница DO2021/02-0123</v>
          </cell>
        </row>
        <row r="194">
          <cell r="A194" t="str">
            <v>Р. Македонија - државна обврзница DO2016/04-0131dk</v>
          </cell>
        </row>
        <row r="195">
          <cell r="A195" t="str">
            <v>Р. Македонија - државна обврзница DO2019/04-0234</v>
          </cell>
          <cell r="B195">
            <v>107.1</v>
          </cell>
        </row>
        <row r="196">
          <cell r="A196" t="str">
            <v>Р. Македонија - државна обврзница DO2016/16-0731dk</v>
          </cell>
        </row>
        <row r="197">
          <cell r="A197" t="str">
            <v>Р. Македонија - државна обврзница DO2015/03-0125</v>
          </cell>
        </row>
        <row r="198">
          <cell r="A198" t="str">
            <v>Р. Македонија - државна обврзница DO2015/04-0125dk</v>
          </cell>
        </row>
        <row r="199">
          <cell r="A199" t="str">
            <v>Р. Македонија - државна обврзница DO2017/18-0632dk</v>
          </cell>
        </row>
        <row r="200">
          <cell r="A200" t="str">
            <v>Р. Македонија - држaвна обврзница DO2021/12-0724</v>
          </cell>
        </row>
        <row r="201">
          <cell r="A201" t="str">
            <v>Р. Македонија - државна обврзница DO2016/22-0931dk</v>
          </cell>
        </row>
        <row r="202">
          <cell r="A202" t="str">
            <v>Р. Македонија - државна обврзница DO2015/41-1030dk</v>
          </cell>
        </row>
        <row r="203">
          <cell r="A203" t="str">
            <v>Р. Македонија - државна обврзница DO2020/10-1035</v>
          </cell>
        </row>
        <row r="204">
          <cell r="A204" t="str">
            <v>Р. Македонија - државна обврзница DO2020/01-0150dk</v>
          </cell>
        </row>
        <row r="205">
          <cell r="A205" t="str">
            <v>Р. Македонија - државна обврзница DO2017/11-0332dk</v>
          </cell>
        </row>
        <row r="206">
          <cell r="A206" t="str">
            <v>Р. Македонија - државна обврзница DO2020/04-0450dk</v>
          </cell>
          <cell r="B206">
            <v>100</v>
          </cell>
        </row>
        <row r="207">
          <cell r="A207" t="str">
            <v>Р. Македонија - државна обврзница DO2022/08-0637</v>
          </cell>
        </row>
        <row r="208">
          <cell r="A208" t="str">
            <v>Р. Македонија - државна обврзница DO2015/29-0730dk</v>
          </cell>
        </row>
        <row r="209">
          <cell r="A209" t="str">
            <v>Р. Македонија - државна обврзница DO2014/30-1024dk</v>
          </cell>
        </row>
        <row r="210">
          <cell r="A210" t="str">
            <v>Р. Македонија - државна обврзница DO2017/37-1132dk</v>
          </cell>
        </row>
        <row r="211">
          <cell r="A211" t="str">
            <v>Р. Македонија - државна обврзница DO2019/02-0149dk</v>
          </cell>
        </row>
        <row r="212">
          <cell r="A212" t="str">
            <v>Р. Македонија - државна обврзница DO2016/10-0331dk</v>
          </cell>
        </row>
        <row r="213">
          <cell r="A213" t="str">
            <v>Р. Македонија - државна обврзница DO2019/14-1049dk</v>
          </cell>
          <cell r="B213">
            <v>103.5</v>
          </cell>
        </row>
        <row r="214">
          <cell r="A214" t="str">
            <v>Р. Македонија - државна обврзница DO2020/17-1222</v>
          </cell>
        </row>
        <row r="215">
          <cell r="A215" t="str">
            <v>Р. Македонија - државна обврзница DO2020/18-1222dk</v>
          </cell>
        </row>
        <row r="216">
          <cell r="A216" t="str">
            <v>Р. Македонија - државна обврзница DO2020/19-1223</v>
          </cell>
        </row>
        <row r="217">
          <cell r="A217" t="str">
            <v>Р. Македонија - државна обврзница DO2020/20-1223dk</v>
          </cell>
        </row>
        <row r="218">
          <cell r="A218" t="str">
            <v>Р. Македонија - денационализација 12</v>
          </cell>
          <cell r="B218">
            <v>99.31</v>
          </cell>
        </row>
        <row r="219">
          <cell r="A219" t="str">
            <v>Р. Македонија - денационализација 13</v>
          </cell>
          <cell r="B219">
            <v>99</v>
          </cell>
        </row>
        <row r="220">
          <cell r="A220" t="str">
            <v>Р. Македонија - денационализација 14</v>
          </cell>
          <cell r="B220">
            <v>99</v>
          </cell>
        </row>
        <row r="221">
          <cell r="A221" t="str">
            <v>Р. Македонија - денационализација 15</v>
          </cell>
          <cell r="B221">
            <v>99</v>
          </cell>
        </row>
        <row r="222">
          <cell r="A222" t="str">
            <v>Р. Македонија - денационализација 16</v>
          </cell>
          <cell r="B222">
            <v>96</v>
          </cell>
        </row>
        <row r="223">
          <cell r="A223" t="str">
            <v>Р. Македонија - денационализација 17</v>
          </cell>
          <cell r="B223">
            <v>90</v>
          </cell>
        </row>
        <row r="224">
          <cell r="A224" t="str">
            <v>Р. Македонија - денационализација 18</v>
          </cell>
          <cell r="B224">
            <v>99</v>
          </cell>
        </row>
        <row r="225">
          <cell r="A225" t="str">
            <v>Р. Македонија - денационализација 19</v>
          </cell>
          <cell r="B225">
            <v>92</v>
          </cell>
        </row>
        <row r="226">
          <cell r="A226" t="str">
            <v>Р. Македонија - денационализација 20</v>
          </cell>
          <cell r="B226">
            <v>92.1</v>
          </cell>
        </row>
        <row r="227">
          <cell r="A227" t="str">
            <v>Р. Македонија - денационализација 21</v>
          </cell>
          <cell r="B227">
            <v>93.38</v>
          </cell>
        </row>
        <row r="228">
          <cell r="A228" t="str">
            <v>СН Осигурителен Брокер АД Битола - корпоративна обврзница I емисија</v>
          </cell>
        </row>
        <row r="229">
          <cell r="A229" t="str">
            <v>ТТК банка АД Скопје - корпоративна обврзница I емисија</v>
          </cell>
          <cell r="B229">
            <v>100</v>
          </cell>
        </row>
        <row r="230">
          <cell r="A230" t="str">
            <v>ТТК банка АД Скопје - корпоративна обврзница II емисија</v>
          </cell>
        </row>
        <row r="231">
          <cell r="A231" t="str">
            <v>Берзанска котација - други хартии од вредност</v>
          </cell>
        </row>
        <row r="232">
          <cell r="A232" t="str">
            <v>Универзална Инвестициона Банка Скопје - перпетуални обврзници</v>
          </cell>
        </row>
        <row r="233">
          <cell r="A233" t="str">
            <v>Задолжителна котација - обични акции</v>
          </cell>
        </row>
        <row r="234">
          <cell r="A234" t="str">
            <v>Адинг Скопје</v>
          </cell>
          <cell r="B234">
            <v>815</v>
          </cell>
        </row>
        <row r="235">
          <cell r="A235" t="str">
            <v>Агромеханика Скопје</v>
          </cell>
          <cell r="B235">
            <v>300</v>
          </cell>
        </row>
        <row r="236">
          <cell r="A236" t="str">
            <v>Ангропромет-Тиквешанка Кавадарци</v>
          </cell>
          <cell r="B236">
            <v>750</v>
          </cell>
        </row>
        <row r="237">
          <cell r="A237" t="str">
            <v>Аутомакедонија Скопје</v>
          </cell>
          <cell r="B237">
            <v>2700</v>
          </cell>
        </row>
        <row r="238">
          <cell r="A238" t="str">
            <v>Рудници Бањани Скопје</v>
          </cell>
          <cell r="B238">
            <v>603</v>
          </cell>
        </row>
        <row r="239">
          <cell r="A239" t="str">
            <v>Кристал 1923 АД Велес</v>
          </cell>
          <cell r="B239">
            <v>152</v>
          </cell>
        </row>
        <row r="240">
          <cell r="A240" t="str">
            <v>БИМ Свети Николе</v>
          </cell>
          <cell r="B240">
            <v>15550</v>
          </cell>
        </row>
        <row r="241">
          <cell r="A241" t="str">
            <v>ФЗЦ 11 Октомври Куманово</v>
          </cell>
          <cell r="B241">
            <v>400</v>
          </cell>
        </row>
        <row r="242">
          <cell r="A242" t="str">
            <v>Централна кооперативна банка Скопје</v>
          </cell>
          <cell r="B242">
            <v>450</v>
          </cell>
        </row>
        <row r="243">
          <cell r="A243" t="str">
            <v>Дебарски бањи Дебар</v>
          </cell>
          <cell r="B243">
            <v>1550</v>
          </cell>
        </row>
        <row r="244">
          <cell r="A244" t="str">
            <v>Димко Митрев Велес</v>
          </cell>
          <cell r="B244">
            <v>185</v>
          </cell>
        </row>
        <row r="245">
          <cell r="A245" t="str">
            <v>Единство Струмица</v>
          </cell>
          <cell r="B245">
            <v>303</v>
          </cell>
        </row>
        <row r="246">
          <cell r="A246" t="str">
            <v>Европа Скопје</v>
          </cell>
          <cell r="B246">
            <v>2900</v>
          </cell>
        </row>
        <row r="247">
          <cell r="A247" t="str">
            <v>Факом Скопје</v>
          </cell>
          <cell r="B247">
            <v>7200</v>
          </cell>
        </row>
        <row r="248">
          <cell r="A248" t="str">
            <v>Фустеларко Борец Битола</v>
          </cell>
          <cell r="B248">
            <v>1801</v>
          </cell>
        </row>
        <row r="249">
          <cell r="A249" t="str">
            <v>Герас Цунев конфекција Струмица</v>
          </cell>
          <cell r="B249">
            <v>500</v>
          </cell>
        </row>
        <row r="250">
          <cell r="A250" t="str">
            <v>Герас Цунев трговија Струмица</v>
          </cell>
          <cell r="B250">
            <v>500</v>
          </cell>
        </row>
        <row r="251">
          <cell r="A251" t="str">
            <v>Грозд Струмица</v>
          </cell>
        </row>
        <row r="252">
          <cell r="A252" t="str">
            <v>Градски Трговски Центар Скопје</v>
          </cell>
          <cell r="B252">
            <v>1790</v>
          </cell>
        </row>
        <row r="253">
          <cell r="A253" t="str">
            <v>Интерпромет Тетово</v>
          </cell>
        </row>
        <row r="254">
          <cell r="A254" t="str">
            <v>Македонија осигурување АД Скопје - Виена Иншуренс Груп</v>
          </cell>
        </row>
        <row r="255">
          <cell r="A255" t="str">
            <v>Кланица со ладилник Струмица</v>
          </cell>
          <cell r="B255">
            <v>120</v>
          </cell>
        </row>
        <row r="256">
          <cell r="A256" t="str">
            <v>Фруктал МАК Скопје</v>
          </cell>
          <cell r="B256">
            <v>119</v>
          </cell>
        </row>
        <row r="257">
          <cell r="A257" t="str">
            <v>Карпош Скопје</v>
          </cell>
        </row>
        <row r="258">
          <cell r="A258" t="str">
            <v>Лотарија на Македонија Скопје</v>
          </cell>
          <cell r="B258">
            <v>200</v>
          </cell>
        </row>
        <row r="259">
          <cell r="A259" t="str">
            <v>Пелистерка АД Скопје</v>
          </cell>
        </row>
        <row r="260">
          <cell r="A260" t="str">
            <v>Макпромет Штип</v>
          </cell>
          <cell r="B260">
            <v>553</v>
          </cell>
        </row>
        <row r="261">
          <cell r="A261" t="str">
            <v>Мермерен комбинат Прилеп</v>
          </cell>
          <cell r="B261">
            <v>2500</v>
          </cell>
        </row>
        <row r="262">
          <cell r="A262" t="str">
            <v>Мода Свети Николе</v>
          </cell>
        </row>
        <row r="263">
          <cell r="A263" t="str">
            <v>Вабтек МЗТ Скопје</v>
          </cell>
        </row>
        <row r="264">
          <cell r="A264" t="str">
            <v>МЗТ Пумпи Скопје</v>
          </cell>
        </row>
        <row r="265">
          <cell r="A265" t="str">
            <v>Огражден Струмица</v>
          </cell>
        </row>
        <row r="266">
          <cell r="A266" t="str">
            <v>Нова стоковна куќа Струмица</v>
          </cell>
        </row>
        <row r="267">
          <cell r="A267" t="str">
            <v>Оилко КДА Скопје</v>
          </cell>
        </row>
        <row r="268">
          <cell r="A268" t="str">
            <v>ОКТА Скопје</v>
          </cell>
        </row>
        <row r="269">
          <cell r="A269" t="str">
            <v>Оранжерии Хамзали Струмица</v>
          </cell>
        </row>
        <row r="270">
          <cell r="A270" t="str">
            <v>Пекабеско Скопје</v>
          </cell>
        </row>
        <row r="271">
          <cell r="A271" t="str">
            <v>Попова Кула Демир Капија</v>
          </cell>
        </row>
        <row r="272">
          <cell r="A272" t="str">
            <v>Прилепска Пиварница Прилеп</v>
          </cell>
        </row>
        <row r="273">
          <cell r="A273" t="str">
            <v>Раде Кончар Скопје</v>
          </cell>
        </row>
        <row r="274">
          <cell r="A274" t="str">
            <v>РЖ Економика Скопје</v>
          </cell>
        </row>
        <row r="275">
          <cell r="A275" t="str">
            <v>Либерти АД Скопје</v>
          </cell>
        </row>
        <row r="276">
          <cell r="A276" t="str">
            <v>РЖ Техничка контрола Скопје</v>
          </cell>
        </row>
        <row r="277">
          <cell r="A277" t="str">
            <v>РЖ Уготур Скопје</v>
          </cell>
        </row>
        <row r="278">
          <cell r="A278" t="str">
            <v>Современ дом Прилеп</v>
          </cell>
        </row>
        <row r="279">
          <cell r="A279" t="str">
            <v>Силекс Кратово</v>
          </cell>
        </row>
        <row r="280">
          <cell r="A280" t="str">
            <v>Славеј Скопје</v>
          </cell>
        </row>
        <row r="281">
          <cell r="A281" t="str">
            <v>Струмичко поле с.Василево</v>
          </cell>
        </row>
        <row r="282">
          <cell r="A282" t="str">
            <v>Сигурносно стакло Прилеп</v>
          </cell>
        </row>
        <row r="283">
          <cell r="A283" t="str">
            <v>Стопанска банка Скопје</v>
          </cell>
        </row>
        <row r="284">
          <cell r="A284" t="str">
            <v>Стокопромет Скопје</v>
          </cell>
        </row>
        <row r="285">
          <cell r="A285" t="str">
            <v>Тајмиште Кичево</v>
          </cell>
        </row>
        <row r="286">
          <cell r="A286" t="str">
            <v>ТЕАЛ-Алумина Тетово</v>
          </cell>
        </row>
        <row r="287">
          <cell r="A287" t="str">
            <v>Технокомерц Скопје</v>
          </cell>
        </row>
        <row r="288">
          <cell r="A288" t="str">
            <v>Македонски Телеком Скопје</v>
          </cell>
        </row>
        <row r="289">
          <cell r="A289" t="str">
            <v>ГД-Тиквеш Кавадарци</v>
          </cell>
        </row>
        <row r="290">
          <cell r="A290" t="str">
            <v>НЛБ Банка АД Скопје</v>
          </cell>
        </row>
        <row r="291">
          <cell r="A291" t="str">
            <v>Транскоп-Патнички сооб. Битола</v>
          </cell>
        </row>
        <row r="292">
          <cell r="A292" t="str">
            <v>Трготекстил малопродажба Скопје</v>
          </cell>
        </row>
        <row r="293">
          <cell r="A293" t="str">
            <v>Универзална Инвестициона Банка Скопје</v>
          </cell>
        </row>
        <row r="294">
          <cell r="A294" t="str">
            <v>Цементарница УСЈЕ Скопје</v>
          </cell>
        </row>
        <row r="295">
          <cell r="A295" t="str">
            <v>Триглав осигурување Скопје</v>
          </cell>
        </row>
        <row r="296">
          <cell r="A296" t="str">
            <v>Ветекс Велес</v>
          </cell>
        </row>
        <row r="297">
          <cell r="A297" t="str">
            <v>ЖАС Скопје</v>
          </cell>
        </row>
        <row r="298">
          <cell r="A298" t="str">
            <v>Жито Караорман Кичево</v>
          </cell>
        </row>
        <row r="299">
          <cell r="A299" t="str">
            <v>Жито Полог Тетово</v>
          </cell>
        </row>
        <row r="300">
          <cell r="A300" t="str">
            <v>Задолжителна котација - приоритетни акции</v>
          </cell>
        </row>
        <row r="301">
          <cell r="A301" t="str">
            <v>Стопанска банка Скопје</v>
          </cell>
        </row>
        <row r="302">
          <cell r="A302" t="str">
            <v>Редовен пазар</v>
          </cell>
        </row>
        <row r="303">
          <cell r="A303" t="str">
            <v>Пазар на акционерски друштва со посебни обврски за известување - обични акции</v>
          </cell>
        </row>
        <row r="304">
          <cell r="A304" t="str">
            <v>Агросервис Скопје</v>
          </cell>
        </row>
        <row r="305">
          <cell r="A305" t="str">
            <v>Шпаркасе банка Македонија АД Скопје</v>
          </cell>
        </row>
        <row r="306">
          <cell r="A306" t="str">
            <v>Слободен пазар - обични акции</v>
          </cell>
        </row>
        <row r="307">
          <cell r="A307" t="str">
            <v>АрцелорМиттал (ХРМ) АД Скопје - долгорочно суспендирано од котација</v>
          </cell>
        </row>
        <row r="308">
          <cell r="A308" t="str">
            <v>Вкупен промет на сите пазарни сегменти: 17.117.069,00</v>
          </cell>
        </row>
        <row r="309">
          <cell r="A309" t="str">
            <v>МБИ10</v>
          </cell>
        </row>
        <row r="310">
          <cell r="A310" t="str">
            <v>ОМБ</v>
          </cell>
        </row>
        <row r="311">
          <cell r="A311" t="str">
            <v>1 EUR = 61,4950 МКД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  <cell r="B14">
            <v>20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  <cell r="B29">
            <v>12200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  <cell r="B34">
            <v>560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DO2022/03-0337</v>
          </cell>
        </row>
        <row r="46">
          <cell r="A46" t="str">
            <v>Р. Македонија - државна обврзница DO2014/16-0724dk</v>
          </cell>
        </row>
        <row r="47">
          <cell r="A47" t="str">
            <v>Р. Македонија - државна обврзница DO2016/26-1131dk</v>
          </cell>
        </row>
        <row r="48">
          <cell r="A48" t="str">
            <v>Р. Македонија - државна обврзница DO2020/14-1223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DO2020/15-1235dk</v>
          </cell>
        </row>
        <row r="51">
          <cell r="A51" t="str">
            <v>Р. Македонија - државна обврзница DO2021/04-0336</v>
          </cell>
        </row>
        <row r="52">
          <cell r="A52" t="str">
            <v>Р. Македонија - државна обврзница DO2017/14-0532dk</v>
          </cell>
        </row>
        <row r="53">
          <cell r="A53" t="str">
            <v>Р. Македонија - државна обврзница DO2015/19-0630dk</v>
          </cell>
        </row>
        <row r="54">
          <cell r="A54" t="str">
            <v>Р.Македонија - државна обврзница DO2022/09-0837</v>
          </cell>
        </row>
        <row r="55">
          <cell r="A55" t="str">
            <v>Р.Македонија - државна обврзница DO2022/10-0837dk</v>
          </cell>
        </row>
        <row r="56">
          <cell r="A56" t="str">
            <v>Р. Македонија - државна обврзница DO2014/19-0924dk</v>
          </cell>
        </row>
        <row r="57">
          <cell r="A57" t="str">
            <v>Р. Македонија - државна обврзница DO2014/38-1224</v>
          </cell>
        </row>
        <row r="58">
          <cell r="A58" t="str">
            <v>Р. Македонија - државна обврзница DO2020/03-0325</v>
          </cell>
        </row>
        <row r="59">
          <cell r="A59" t="str">
            <v>Р. Македонија - државна обврзница DO2014/13-0624dk</v>
          </cell>
        </row>
        <row r="60">
          <cell r="A60" t="str">
            <v>Р. Македонија - државна обврзница ДО2021/13-0836</v>
          </cell>
        </row>
        <row r="61">
          <cell r="A61" t="str">
            <v>Р. Македонија - државна обврзница DO2017/30-1032dk</v>
          </cell>
        </row>
        <row r="62">
          <cell r="A62" t="str">
            <v>Р. Македонија - државна обврзница DO2020/11-1122</v>
          </cell>
        </row>
        <row r="63">
          <cell r="A63" t="str">
            <v>Р. Македонија - државна обврзница DO2020/12-1125</v>
          </cell>
        </row>
        <row r="64">
          <cell r="A64" t="str">
            <v>Р. Македонија - државна обврзница DO2019/16-1234dk</v>
          </cell>
        </row>
        <row r="65">
          <cell r="A65" t="str">
            <v>Р. Македонија - државна обврзница DO2017/12-0432dk</v>
          </cell>
        </row>
        <row r="66">
          <cell r="A66" t="str">
            <v>Р. Македонија - државна обврзница DO2017/19-0732dk</v>
          </cell>
        </row>
        <row r="67">
          <cell r="A67" t="str">
            <v>Р. Македонија - државна обврзница DO2015/30-0825dk</v>
          </cell>
        </row>
        <row r="68">
          <cell r="A68" t="str">
            <v>Р. Македонија - државна обврзница DO2015/31-0830dk</v>
          </cell>
        </row>
        <row r="69">
          <cell r="A69" t="str">
            <v>Р. Македонија - државна обврзница DO2020/07-0850dk</v>
          </cell>
        </row>
        <row r="70">
          <cell r="A70" t="str">
            <v>Р. Македонија - државна обврзница DO2019/05-0324</v>
          </cell>
        </row>
        <row r="71">
          <cell r="A71" t="str">
            <v>Р. Македонија - државна обврзница DO2016/11-0426dk</v>
          </cell>
        </row>
        <row r="72">
          <cell r="A72" t="str">
            <v>Р. Македонија - државна обврзница DO2015/17-0530dk</v>
          </cell>
        </row>
        <row r="73">
          <cell r="A73" t="str">
            <v>Р. Македонија - државна обврзница DO2018/12-0633</v>
          </cell>
        </row>
        <row r="74">
          <cell r="A74" t="str">
            <v>Р. Македонија - државна обврзница DO2017/26-0932dk</v>
          </cell>
        </row>
        <row r="75">
          <cell r="A75" t="str">
            <v>Р. Македонија - државна обврзница DO2019/15-1134</v>
          </cell>
        </row>
        <row r="76">
          <cell r="A76" t="str">
            <v>Р. Македонија - државна обврзница DO2017/38-1232dk</v>
          </cell>
        </row>
        <row r="77">
          <cell r="A77" t="str">
            <v>Р. Македонија - државна обврзница DO2018/10-0333dk</v>
          </cell>
        </row>
        <row r="78">
          <cell r="A78" t="str">
            <v>Р. Македонија - државна обврзница DO2017/16-0632dk</v>
          </cell>
        </row>
        <row r="79">
          <cell r="A79" t="str">
            <v>Р. Македонија - државна обврзница DO2016/15-0731dk</v>
          </cell>
        </row>
        <row r="80">
          <cell r="A80" t="str">
            <v>Р. Македонија - државна обврзница DO2019/11-0834dk</v>
          </cell>
        </row>
        <row r="81">
          <cell r="A81" t="str">
            <v>Р. Македонија - државна обврзница DO2015/40-1030dk</v>
          </cell>
        </row>
        <row r="82">
          <cell r="A82" t="str">
            <v>Р. Македонија - државна обврзница DO2017/08-0332dk</v>
          </cell>
        </row>
        <row r="83">
          <cell r="A83" t="str">
            <v>Р. Македонија - државна обврзница DO2016/13-0631dk</v>
          </cell>
        </row>
        <row r="84">
          <cell r="A84" t="str">
            <v>Р. Македонија - државна обврзница DO2015/23-0725</v>
          </cell>
        </row>
        <row r="85">
          <cell r="A85" t="str">
            <v>Р. Македонија - државна обврзница DO2015/24-0725dk</v>
          </cell>
        </row>
        <row r="86">
          <cell r="A86" t="str">
            <v>Р. Македонија - државна обврзница DO2015/25-0730dk</v>
          </cell>
        </row>
        <row r="87">
          <cell r="A87" t="str">
            <v>Р. Македонија - државна обврзница DO2018/17-0833dk</v>
          </cell>
        </row>
        <row r="88">
          <cell r="A88" t="str">
            <v>Р.Македонија државна обврзница DO2022/13-0937</v>
          </cell>
        </row>
        <row r="89">
          <cell r="A89" t="str">
            <v>Р.Македонија државна обврзница DO2022/12-0937dk</v>
          </cell>
        </row>
        <row r="90">
          <cell r="A90" t="str">
            <v>Р. Македонија - државна обврзница DO2017/22-0832dk</v>
          </cell>
        </row>
        <row r="91">
          <cell r="A91" t="str">
            <v>Р. Македонија - државна обврзница DO2018/02-0128</v>
          </cell>
        </row>
        <row r="92">
          <cell r="A92" t="str">
            <v>Р. Македонија - државна обврзница DO2018/03-0133dk</v>
          </cell>
        </row>
        <row r="93">
          <cell r="A93" t="str">
            <v>Р. Македонија - државна обврзница DO2016/05-0226</v>
          </cell>
        </row>
        <row r="94">
          <cell r="A94" t="str">
            <v>Р. Македонија - државна обврзница DO2016/06-0226dk</v>
          </cell>
        </row>
        <row r="95">
          <cell r="A95" t="str">
            <v>Р. Македонија - државна обврзница DO2016/07-0231dk</v>
          </cell>
        </row>
        <row r="96">
          <cell r="A96" t="str">
            <v>Р. Македонија - државна обврзница DO2017/02-0132dk</v>
          </cell>
        </row>
        <row r="97">
          <cell r="A97" t="str">
            <v>Р. Македонија - државна обврзница DO2015/05-0230dk</v>
          </cell>
        </row>
        <row r="98">
          <cell r="A98" t="str">
            <v>Р. Македонија - државна обврзница DO2015/09-0325</v>
          </cell>
        </row>
        <row r="99">
          <cell r="A99" t="str">
            <v>Р. Македонија - државна обврзница DO2015/10-0330dk</v>
          </cell>
        </row>
        <row r="100">
          <cell r="A100" t="str">
            <v>Р. Македонија - државна обврзница DO2022/05-0537</v>
          </cell>
        </row>
        <row r="101">
          <cell r="A101" t="str">
            <v>Р. Македонија - државна обврзница DO2022/01-0137</v>
          </cell>
        </row>
        <row r="102">
          <cell r="A102" t="str">
            <v>Р. Македонија - државна обврзница DO2020/02-0235</v>
          </cell>
          <cell r="B102">
            <v>98.8</v>
          </cell>
        </row>
        <row r="103">
          <cell r="A103" t="str">
            <v>Р. Македонија - државна обврзница DO2016/01-0126dk</v>
          </cell>
        </row>
        <row r="104">
          <cell r="A104" t="str">
            <v>Р. Македонија - државна обврзница DO2016/02-0131dk</v>
          </cell>
        </row>
        <row r="105">
          <cell r="A105" t="str">
            <v>Р. Македонија - државна обврзница DO2021/01-0136</v>
          </cell>
        </row>
        <row r="106">
          <cell r="A106" t="str">
            <v>Р. Македонија - државна обврзница DO2019/03-0224dk</v>
          </cell>
        </row>
        <row r="107">
          <cell r="A107" t="str">
            <v>Р. Македонија - државна обврзница DO2016/12-0431dk</v>
          </cell>
        </row>
        <row r="108">
          <cell r="A108" t="str">
            <v>Р. Македонија - државна обврзница DO2022/04-0437dk</v>
          </cell>
        </row>
        <row r="109">
          <cell r="A109" t="str">
            <v>Р. Македонија - државна обврзница DO2021/09-0526</v>
          </cell>
        </row>
        <row r="110">
          <cell r="A110" t="str">
            <v>Р. Македонија - државна обврзница DO2016/23-1031dk</v>
          </cell>
        </row>
        <row r="111">
          <cell r="A111" t="str">
            <v>Р. Македонија - државна обврзница DO2021/15-1036</v>
          </cell>
        </row>
        <row r="112">
          <cell r="A112" t="str">
            <v>Р. Македонија - државна обврзница DO2018/07-0223</v>
          </cell>
        </row>
        <row r="113">
          <cell r="A113" t="str">
            <v>Р. Македонија - државна обврзница DO2018/08-0233dk</v>
          </cell>
        </row>
        <row r="114">
          <cell r="A114" t="str">
            <v>Р. Македонија - државна обврзница DO2021/07-0436</v>
          </cell>
        </row>
        <row r="115">
          <cell r="A115" t="str">
            <v>Р. Македонија - државна обврзница DO2021/08-0436dk</v>
          </cell>
        </row>
        <row r="116">
          <cell r="A116" t="str">
            <v>Р. Македонија - државна обврзница DO2020/08-1030</v>
          </cell>
        </row>
        <row r="117">
          <cell r="A117" t="str">
            <v>Р. Македонија - државна обврзница DO2020/09-1030dk</v>
          </cell>
        </row>
        <row r="118">
          <cell r="A118" t="str">
            <v>Р. Македонија - државна обврзница DO2017/06-0232dk</v>
          </cell>
        </row>
        <row r="119">
          <cell r="A119" t="str">
            <v>Р. Македонија - државна обврзница DO2015/15-0430dk</v>
          </cell>
        </row>
        <row r="120">
          <cell r="A120" t="str">
            <v>Р. Македонија - државна обврзница DO2019/08-0524</v>
          </cell>
        </row>
        <row r="121">
          <cell r="A121" t="str">
            <v>Р. Македонија - државна обврзница DO2019/09-0534</v>
          </cell>
        </row>
        <row r="122">
          <cell r="A122" t="str">
            <v>Р.Македонија - државна обврзница DO2022/06-0637</v>
          </cell>
        </row>
        <row r="123">
          <cell r="A123" t="str">
            <v>Р.Македонија - државна обврзница DO2022/07-0637dk</v>
          </cell>
        </row>
        <row r="124">
          <cell r="A124" t="str">
            <v>Р. Македонија - државна обврзница DO2021/14-0936</v>
          </cell>
        </row>
        <row r="125">
          <cell r="A125" t="str">
            <v>Р. Македонија - државна обврзница DO2014/27-1024</v>
          </cell>
        </row>
        <row r="126">
          <cell r="A126" t="str">
            <v>Р. Македонија - државна обврзница DO2014/28-1024dk</v>
          </cell>
        </row>
        <row r="127">
          <cell r="A127" t="str">
            <v>Р. Македонија - државна обврзница DO2021/17-1224</v>
          </cell>
        </row>
        <row r="128">
          <cell r="A128" t="str">
            <v>Р. Македонија - државна обврзница DO2016/08-0331dk</v>
          </cell>
        </row>
        <row r="129">
          <cell r="A129" t="str">
            <v>Р. Македонија - државна обврзница DO2021/10-0636</v>
          </cell>
        </row>
        <row r="130">
          <cell r="A130" t="str">
            <v>Р. Македонија - државна обврзница DO2021/11-0636dk</v>
          </cell>
        </row>
        <row r="131">
          <cell r="A131" t="str">
            <v>Р. Македонија - државна обврзница DO2017/24-0832dk</v>
          </cell>
        </row>
        <row r="132">
          <cell r="A132" t="str">
            <v>Р. Македонија - државна обврзница DO2015/37-0930dk</v>
          </cell>
        </row>
        <row r="133">
          <cell r="A133" t="str">
            <v>Р. Македонија - државна обврзница DO2019/13-1024</v>
          </cell>
        </row>
        <row r="134">
          <cell r="A134" t="str">
            <v>Р. Македонија - државна обврзница DO2020/16-1222dk</v>
          </cell>
        </row>
        <row r="135">
          <cell r="A135" t="str">
            <v>Р. Македонија - државна обврзница DO2015/45-1225dk</v>
          </cell>
        </row>
        <row r="136">
          <cell r="A136" t="str">
            <v>Р. Македонија - државна обврзница DO2021/03-0224</v>
          </cell>
        </row>
        <row r="137">
          <cell r="A137" t="str">
            <v>Р. Македонија - државна обврзница DO2019/06-0449dk</v>
          </cell>
        </row>
        <row r="138">
          <cell r="A138" t="str">
            <v>Р. Македонија - државна обврзница DO2020/06-0635</v>
          </cell>
        </row>
        <row r="139">
          <cell r="A139" t="str">
            <v>Р. Македонија - државна обврзница DO2019/10-0749dk</v>
          </cell>
        </row>
        <row r="140">
          <cell r="A140" t="str">
            <v>Р. Македонија - државна обврзница DO2016/17-0826</v>
          </cell>
        </row>
        <row r="141">
          <cell r="A141" t="str">
            <v>Р. Македонија - државна обврзница DO2016/18-0826dk</v>
          </cell>
        </row>
        <row r="142">
          <cell r="A142" t="str">
            <v>Р. Македонија - државна обврзница DO2016/19-0831dk</v>
          </cell>
        </row>
        <row r="143">
          <cell r="A143" t="str">
            <v>Р. Македонија - државна обврзница DО2022/11-0837dk</v>
          </cell>
        </row>
        <row r="144">
          <cell r="A144" t="str">
            <v>Р. Македонија - државна обврзница DO2018/23-1048dk</v>
          </cell>
        </row>
        <row r="145">
          <cell r="A145" t="str">
            <v>Р. Македонија - државна обврзница DO2021/16-1136dk</v>
          </cell>
        </row>
        <row r="146">
          <cell r="A146" t="str">
            <v>Р. Македонија - државна обврзница DO2018/14-0723</v>
          </cell>
        </row>
        <row r="147">
          <cell r="A147" t="str">
            <v>Р. Македонија - државна обврзница DO2018/15-0748dk</v>
          </cell>
        </row>
        <row r="148">
          <cell r="A148" t="str">
            <v>Р. Македонија - државна обврзница DO2019/12-0934</v>
          </cell>
        </row>
        <row r="149">
          <cell r="A149" t="str">
            <v>Р. Македонија - државна обврзница DO2017/32-1032dk</v>
          </cell>
        </row>
        <row r="150">
          <cell r="A150" t="str">
            <v>Р. Македонија - државна обврзница DO2020/13-1123dk</v>
          </cell>
        </row>
        <row r="151">
          <cell r="A151" t="str">
            <v>Р. Македонија - државна обврзница DO2015/42-1125dk</v>
          </cell>
        </row>
        <row r="152">
          <cell r="A152" t="str">
            <v>Р. Македонија - државна обврзница DO2015/43-1130dk</v>
          </cell>
        </row>
        <row r="153">
          <cell r="A153" t="str">
            <v>Р. Македонија - државна обврзница DO2017/20-0732dk</v>
          </cell>
        </row>
        <row r="154">
          <cell r="A154" t="str">
            <v>Р. Македонија - државна обврзница DO2015/32-0825</v>
          </cell>
        </row>
        <row r="155">
          <cell r="A155" t="str">
            <v>Р. Македонија - државна обврзница DO2015/33-0830dk</v>
          </cell>
        </row>
        <row r="156">
          <cell r="A156" t="str">
            <v>Р. Македонија - државна обврзница DO2018/19-0933</v>
          </cell>
        </row>
        <row r="157">
          <cell r="A157" t="str">
            <v>Р. Македонија - државна обврзница DO2018/20-0933dk</v>
          </cell>
        </row>
        <row r="158">
          <cell r="A158" t="str">
            <v>Р. Македонија - државна обврзница DO2015/18-0525dk</v>
          </cell>
        </row>
        <row r="159">
          <cell r="A159" t="str">
            <v>Р. Македонија - државна обврзница DO2018/13-0633dk</v>
          </cell>
        </row>
        <row r="160">
          <cell r="A160" t="str">
            <v>Р. Македонија - државна обврзница DO2014/18-0824dk</v>
          </cell>
        </row>
        <row r="161">
          <cell r="A161" t="str">
            <v>Р. Македонија - државна обврзница DO2017/27-0932dk</v>
          </cell>
        </row>
        <row r="162">
          <cell r="A162" t="str">
            <v>Р. Македонија - државна обврзница DO2016/03-0131dk</v>
          </cell>
        </row>
        <row r="163">
          <cell r="A163" t="str">
            <v>Р. Македонија - државна обврзница DO2017/17-0632dk</v>
          </cell>
        </row>
        <row r="164">
          <cell r="A164" t="str">
            <v>Р. Македонија - државна обврзница DO2016/21-0931dk</v>
          </cell>
        </row>
        <row r="165">
          <cell r="A165" t="str">
            <v>Р. Македонија - државна обврзница DO2018/27-1133dk</v>
          </cell>
        </row>
        <row r="166">
          <cell r="A166" t="str">
            <v>Р. Македонија - државна обврзница DO2016/29-1231dk</v>
          </cell>
        </row>
        <row r="167">
          <cell r="A167" t="str">
            <v>Р. Македонија - државна обврзница DO2014/02-0124</v>
          </cell>
        </row>
        <row r="168">
          <cell r="A168" t="str">
            <v>Р. Македонија - државна обврзница DO2014/03-0124dk</v>
          </cell>
        </row>
        <row r="169">
          <cell r="A169" t="str">
            <v>Р. Македонија - државна обврзница DO2017/10-0332dk</v>
          </cell>
        </row>
        <row r="170">
          <cell r="A170" t="str">
            <v>Р. Македонија - државна обврзница DO2016/14-0631dk</v>
          </cell>
        </row>
        <row r="171">
          <cell r="A171" t="str">
            <v>Р. Македонија - државна обврзница DO2015/27-0725dk</v>
          </cell>
        </row>
        <row r="172">
          <cell r="A172" t="str">
            <v>Р. Македонија - државна обврзница DO2015/28-0730dk</v>
          </cell>
        </row>
        <row r="173">
          <cell r="A173" t="str">
            <v>Р. Македонија - државна обврзница DO2017/36-1132dk</v>
          </cell>
        </row>
        <row r="174">
          <cell r="A174" t="str">
            <v>Р. Македонија - државна обврзница DO2016/09-0326</v>
          </cell>
        </row>
        <row r="175">
          <cell r="A175" t="str">
            <v>Р. Македонија - државна обврзница DO2014/17-0724dk</v>
          </cell>
        </row>
        <row r="176">
          <cell r="A176" t="str">
            <v>Р. Македонија - државна обврзница DO2015/38-0925dk</v>
          </cell>
        </row>
        <row r="177">
          <cell r="A177" t="str">
            <v>Р. Македонија - државна обврзница DO2015/39-0930dk</v>
          </cell>
        </row>
        <row r="178">
          <cell r="A178" t="str">
            <v>Р. Македонија - државна обврзница DO2015/46-1225dk</v>
          </cell>
        </row>
        <row r="179">
          <cell r="A179" t="str">
            <v>Р. Македонија - државна обврзница DO2018/04-0133</v>
          </cell>
        </row>
        <row r="180">
          <cell r="A180" t="str">
            <v>Р. Македонија - државна обврзница DO2018/05-0133dk</v>
          </cell>
          <cell r="B180">
            <v>112.2</v>
          </cell>
        </row>
        <row r="181">
          <cell r="A181" t="str">
            <v>Р. Македонија - државна обврзница DO2015/20-0625</v>
          </cell>
        </row>
        <row r="182">
          <cell r="A182" t="str">
            <v>Р. Македонија - државна обврзница DO2015/21-0625dk</v>
          </cell>
        </row>
        <row r="183">
          <cell r="A183" t="str">
            <v>Р. Македонија - државна обврзница DO2015/22-0630dk</v>
          </cell>
        </row>
        <row r="184">
          <cell r="A184" t="str">
            <v>Р. Македонија - државна обврзница DO2017/05-0132dk</v>
          </cell>
        </row>
        <row r="185">
          <cell r="A185" t="str">
            <v>Р. Македонија - државна обврзница DO2015/08-0230dk</v>
          </cell>
        </row>
        <row r="186">
          <cell r="A186" t="str">
            <v>Р. Македонија - државна обврзница DO2015/12-0325</v>
          </cell>
        </row>
        <row r="187">
          <cell r="A187" t="str">
            <v>Р. Македонија - државна обврзница DO2015/13-0330dk</v>
          </cell>
        </row>
        <row r="188">
          <cell r="A188" t="str">
            <v>Р. Македонија - државна обврзница DO2018/11-0448dk</v>
          </cell>
        </row>
        <row r="189">
          <cell r="A189" t="str">
            <v>Р. Македонија - државна обврзница DO2022/02-0125</v>
          </cell>
        </row>
        <row r="190">
          <cell r="A190" t="str">
            <v>Р. Македонија - државна обврзница DO2015/34-0825</v>
          </cell>
        </row>
        <row r="191">
          <cell r="A191" t="str">
            <v>Р. Македонија - државна обврзница DO2015/35-0825dk</v>
          </cell>
        </row>
        <row r="192">
          <cell r="A192" t="str">
            <v>Р. Македонија - државна обврзница DO2015/36-0830dk</v>
          </cell>
        </row>
        <row r="193">
          <cell r="A193" t="str">
            <v>Р. Македонија - државна обврзница DO2021/02-0123</v>
          </cell>
        </row>
        <row r="194">
          <cell r="A194" t="str">
            <v>Р. Македонија - државна обврзница DO2016/04-0131dk</v>
          </cell>
        </row>
        <row r="195">
          <cell r="A195" t="str">
            <v>Р. Македонија - државна обврзница DO2019/04-0234</v>
          </cell>
          <cell r="B195">
            <v>107.1</v>
          </cell>
        </row>
        <row r="196">
          <cell r="A196" t="str">
            <v>Р. Македонија - државна обврзница DO2016/16-0731dk</v>
          </cell>
        </row>
        <row r="197">
          <cell r="A197" t="str">
            <v>Р. Македонија - државна обврзница DO2015/03-0125</v>
          </cell>
        </row>
        <row r="198">
          <cell r="A198" t="str">
            <v>Р. Македонија - државна обврзница DO2015/04-0125dk</v>
          </cell>
        </row>
        <row r="199">
          <cell r="A199" t="str">
            <v>Р. Македонија - државна обврзница DO2017/18-0632dk</v>
          </cell>
        </row>
        <row r="200">
          <cell r="A200" t="str">
            <v>Р. Македонија - држaвна обврзница DO2021/12-0724</v>
          </cell>
        </row>
        <row r="201">
          <cell r="A201" t="str">
            <v>Р. Македонија - државна обврзница DO2016/22-0931dk</v>
          </cell>
        </row>
        <row r="202">
          <cell r="A202" t="str">
            <v>Р. Македонија - државна обврзница DO2015/41-1030dk</v>
          </cell>
        </row>
        <row r="203">
          <cell r="A203" t="str">
            <v>Р. Македонија - државна обврзница DO2020/10-1035</v>
          </cell>
        </row>
        <row r="204">
          <cell r="A204" t="str">
            <v>Р. Македонија - државна обврзница DO2020/01-0150dk</v>
          </cell>
        </row>
        <row r="205">
          <cell r="A205" t="str">
            <v>Р. Македонија - државна обврзница DO2017/11-0332dk</v>
          </cell>
        </row>
        <row r="206">
          <cell r="A206" t="str">
            <v>Р. Македонија - државна обврзница DO2020/04-0450dk</v>
          </cell>
          <cell r="B206">
            <v>100</v>
          </cell>
        </row>
        <row r="207">
          <cell r="A207" t="str">
            <v>Р. Македонија - државна обврзница DO2022/08-0637</v>
          </cell>
        </row>
        <row r="208">
          <cell r="A208" t="str">
            <v>Р. Македонија - државна обврзница DO2015/29-0730dk</v>
          </cell>
        </row>
        <row r="209">
          <cell r="A209" t="str">
            <v>Р. Македонија - државна обврзница DO2014/30-1024dk</v>
          </cell>
        </row>
        <row r="210">
          <cell r="A210" t="str">
            <v>Р. Македонија - државна обврзница DO2017/37-1132dk</v>
          </cell>
        </row>
        <row r="211">
          <cell r="A211" t="str">
            <v>Р. Македонија - државна обврзница DO2019/02-0149dk</v>
          </cell>
        </row>
        <row r="212">
          <cell r="A212" t="str">
            <v>Р. Македонија - државна обврзница DO2016/10-0331dk</v>
          </cell>
        </row>
        <row r="213">
          <cell r="A213" t="str">
            <v>Р. Македонија - државна обврзница DO2019/14-1049dk</v>
          </cell>
          <cell r="B213">
            <v>103.5</v>
          </cell>
        </row>
        <row r="214">
          <cell r="A214" t="str">
            <v>Р. Македонија - државна обврзница DO2020/17-1222</v>
          </cell>
        </row>
        <row r="215">
          <cell r="A215" t="str">
            <v>Р. Македонија - државна обврзница DO2020/18-1222dk</v>
          </cell>
        </row>
        <row r="216">
          <cell r="A216" t="str">
            <v>Р. Македонија - државна обврзница DO2020/19-1223</v>
          </cell>
        </row>
        <row r="217">
          <cell r="A217" t="str">
            <v>Р. Македонија - државна обврзница DO2020/20-1223dk</v>
          </cell>
        </row>
        <row r="218">
          <cell r="A218" t="str">
            <v>Р. Македонија - денационализација 12</v>
          </cell>
          <cell r="B218">
            <v>99.31</v>
          </cell>
        </row>
        <row r="219">
          <cell r="A219" t="str">
            <v>Р. Македонија - денационализација 13</v>
          </cell>
          <cell r="B219">
            <v>99</v>
          </cell>
        </row>
        <row r="220">
          <cell r="A220" t="str">
            <v>Р. Македонија - денационализација 14</v>
          </cell>
          <cell r="B220">
            <v>99</v>
          </cell>
        </row>
        <row r="221">
          <cell r="A221" t="str">
            <v>Р. Македонија - денационализација 15</v>
          </cell>
          <cell r="B221">
            <v>99</v>
          </cell>
        </row>
        <row r="222">
          <cell r="A222" t="str">
            <v>Р. Македонија - денационализација 16</v>
          </cell>
          <cell r="B222">
            <v>98</v>
          </cell>
        </row>
        <row r="223">
          <cell r="A223" t="str">
            <v>Р. Македонија - денационализација 17</v>
          </cell>
          <cell r="B223">
            <v>90</v>
          </cell>
        </row>
        <row r="224">
          <cell r="A224" t="str">
            <v>Р. Македонија - денационализација 18</v>
          </cell>
          <cell r="B224">
            <v>99</v>
          </cell>
        </row>
        <row r="225">
          <cell r="A225" t="str">
            <v>Р. Македонија - денационализација 19</v>
          </cell>
          <cell r="B225">
            <v>90</v>
          </cell>
        </row>
        <row r="226">
          <cell r="A226" t="str">
            <v>Р. Македонија - денационализација 20</v>
          </cell>
          <cell r="B226">
            <v>91</v>
          </cell>
        </row>
        <row r="227">
          <cell r="A227" t="str">
            <v>Р. Македонија - денационализација 21</v>
          </cell>
          <cell r="B227">
            <v>91</v>
          </cell>
        </row>
        <row r="228">
          <cell r="A228" t="str">
            <v>СН Осигурителен Брокер АД Битола - корпоративна обврзница I емисија</v>
          </cell>
        </row>
        <row r="229">
          <cell r="A229" t="str">
            <v>ТТК банка АД Скопје - корпоративна обврзница I емисија</v>
          </cell>
          <cell r="B229">
            <v>100</v>
          </cell>
        </row>
        <row r="230">
          <cell r="A230" t="str">
            <v>ТТК банка АД Скопје - корпоративна обврзница II емисија</v>
          </cell>
        </row>
        <row r="231">
          <cell r="A231" t="str">
            <v>Берзанска котација - други хартии од вредност</v>
          </cell>
        </row>
        <row r="232">
          <cell r="A232" t="str">
            <v>Универзална Инвестициона Банка Скопје - перпетуални обврзници</v>
          </cell>
          <cell r="B232">
            <v>101.5</v>
          </cell>
        </row>
        <row r="233">
          <cell r="A233" t="str">
            <v>Задолжителна котација - обични акции</v>
          </cell>
        </row>
        <row r="234">
          <cell r="A234" t="str">
            <v>Адинг Скопје</v>
          </cell>
          <cell r="B234">
            <v>815</v>
          </cell>
        </row>
        <row r="235">
          <cell r="A235" t="str">
            <v>Агромеханика Скопје</v>
          </cell>
        </row>
        <row r="236">
          <cell r="A236" t="str">
            <v>Ангропромет-Тиквешанка Кавадарци</v>
          </cell>
          <cell r="B236">
            <v>750</v>
          </cell>
        </row>
        <row r="237">
          <cell r="A237" t="str">
            <v>Аутомакедонија Скопје</v>
          </cell>
          <cell r="B237">
            <v>2700</v>
          </cell>
        </row>
        <row r="238">
          <cell r="A238" t="str">
            <v>Рудници Бањани Скопје</v>
          </cell>
          <cell r="B238">
            <v>603</v>
          </cell>
        </row>
        <row r="239">
          <cell r="A239" t="str">
            <v>Кристал 1923 АД Велес</v>
          </cell>
          <cell r="B239">
            <v>152</v>
          </cell>
        </row>
        <row r="240">
          <cell r="A240" t="str">
            <v>БИМ Свети Николе</v>
          </cell>
          <cell r="B240">
            <v>15550</v>
          </cell>
        </row>
        <row r="241">
          <cell r="A241" t="str">
            <v>ФЗЦ 11 Октомври Куманово</v>
          </cell>
          <cell r="B241">
            <v>400</v>
          </cell>
        </row>
        <row r="242">
          <cell r="A242" t="str">
            <v>Централна кооперативна банка Скопје</v>
          </cell>
          <cell r="B242">
            <v>450</v>
          </cell>
        </row>
        <row r="243">
          <cell r="A243" t="str">
            <v>Дебарски бањи Дебар</v>
          </cell>
          <cell r="B243">
            <v>1550</v>
          </cell>
        </row>
        <row r="244">
          <cell r="A244" t="str">
            <v>Димко Митрев Велес</v>
          </cell>
          <cell r="B244">
            <v>185</v>
          </cell>
        </row>
        <row r="245">
          <cell r="A245" t="str">
            <v>Единство Струмица</v>
          </cell>
          <cell r="B245">
            <v>303</v>
          </cell>
        </row>
        <row r="246">
          <cell r="A246" t="str">
            <v>Европа Скопје</v>
          </cell>
          <cell r="B246">
            <v>2900</v>
          </cell>
        </row>
        <row r="247">
          <cell r="A247" t="str">
            <v>Факом Скопје</v>
          </cell>
          <cell r="B247">
            <v>7200</v>
          </cell>
        </row>
        <row r="248">
          <cell r="A248" t="str">
            <v>Фустеларко Борец Битола</v>
          </cell>
          <cell r="B248">
            <v>1801</v>
          </cell>
        </row>
        <row r="249">
          <cell r="A249" t="str">
            <v>Герас Цунев конфекција Струмица</v>
          </cell>
          <cell r="B249">
            <v>500</v>
          </cell>
        </row>
        <row r="250">
          <cell r="A250" t="str">
            <v>Герас Цунев трговија Струмица</v>
          </cell>
          <cell r="B250">
            <v>500</v>
          </cell>
        </row>
        <row r="251">
          <cell r="A251" t="str">
            <v>Грозд Струмица</v>
          </cell>
          <cell r="B251">
            <v>2250</v>
          </cell>
        </row>
        <row r="252">
          <cell r="A252" t="str">
            <v>Градски Трговски Центар Скопје</v>
          </cell>
          <cell r="B252">
            <v>1790</v>
          </cell>
        </row>
        <row r="253">
          <cell r="A253" t="str">
            <v>Интерпромет Тетово</v>
          </cell>
          <cell r="B253">
            <v>4500</v>
          </cell>
        </row>
        <row r="254">
          <cell r="A254" t="str">
            <v>Македонија осигурување АД Скопје - Виена Иншуренс Груп</v>
          </cell>
        </row>
        <row r="255">
          <cell r="A255" t="str">
            <v>Кланица со ладилник Струмица</v>
          </cell>
          <cell r="B255">
            <v>120</v>
          </cell>
        </row>
        <row r="256">
          <cell r="A256" t="str">
            <v>Фруктал МАК Скопје</v>
          </cell>
        </row>
        <row r="257">
          <cell r="A257" t="str">
            <v>Карпош Скопје</v>
          </cell>
        </row>
        <row r="258">
          <cell r="A258" t="str">
            <v>Лотарија на Македонија Скопје</v>
          </cell>
          <cell r="B258">
            <v>200</v>
          </cell>
        </row>
        <row r="259">
          <cell r="A259" t="str">
            <v>Пелистерка АД Скопје</v>
          </cell>
          <cell r="B259">
            <v>2472</v>
          </cell>
        </row>
        <row r="260">
          <cell r="A260" t="str">
            <v>Макпромет Штип</v>
          </cell>
        </row>
        <row r="261">
          <cell r="A261" t="str">
            <v>Мермерен комбинат Прилеп</v>
          </cell>
          <cell r="B261">
            <v>2500</v>
          </cell>
        </row>
        <row r="262">
          <cell r="A262" t="str">
            <v>Мода Свети Николе</v>
          </cell>
          <cell r="B262">
            <v>100</v>
          </cell>
        </row>
        <row r="263">
          <cell r="A263" t="str">
            <v>Вабтек МЗТ Скопје</v>
          </cell>
          <cell r="B263">
            <v>3133</v>
          </cell>
        </row>
        <row r="264">
          <cell r="A264" t="str">
            <v>МЗТ Пумпи Скопје</v>
          </cell>
          <cell r="B264">
            <v>607</v>
          </cell>
        </row>
        <row r="265">
          <cell r="A265" t="str">
            <v>Огражден Струмица</v>
          </cell>
        </row>
        <row r="266">
          <cell r="A266" t="str">
            <v>Нова стоковна куќа Струмица</v>
          </cell>
          <cell r="B266">
            <v>61500</v>
          </cell>
        </row>
        <row r="267">
          <cell r="A267" t="str">
            <v>Оилко КДА Скопје</v>
          </cell>
          <cell r="B267">
            <v>6000</v>
          </cell>
        </row>
        <row r="268">
          <cell r="A268" t="str">
            <v>ОКТА Скопје</v>
          </cell>
        </row>
        <row r="269">
          <cell r="A269" t="str">
            <v>Оранжерии Хамзали Струмица</v>
          </cell>
        </row>
        <row r="270">
          <cell r="A270" t="str">
            <v>Пекабеско Скопје</v>
          </cell>
        </row>
        <row r="271">
          <cell r="A271" t="str">
            <v>Попова Кула Демир Капија</v>
          </cell>
        </row>
        <row r="272">
          <cell r="A272" t="str">
            <v>Прилепска Пиварница Прилеп</v>
          </cell>
        </row>
        <row r="273">
          <cell r="A273" t="str">
            <v>Раде Кончар Скопје</v>
          </cell>
        </row>
        <row r="274">
          <cell r="A274" t="str">
            <v>РЖ Економика Скопје</v>
          </cell>
        </row>
        <row r="275">
          <cell r="A275" t="str">
            <v>Либерти АД Скопје</v>
          </cell>
        </row>
        <row r="276">
          <cell r="A276" t="str">
            <v>РЖ Техничка контрола Скопје</v>
          </cell>
        </row>
        <row r="277">
          <cell r="A277" t="str">
            <v>РЖ Уготур Скопје</v>
          </cell>
        </row>
        <row r="278">
          <cell r="A278" t="str">
            <v>Современ дом Прилеп</v>
          </cell>
        </row>
        <row r="279">
          <cell r="A279" t="str">
            <v>Силекс Кратово</v>
          </cell>
        </row>
        <row r="280">
          <cell r="A280" t="str">
            <v>Славеј Скопје</v>
          </cell>
        </row>
        <row r="281">
          <cell r="A281" t="str">
            <v>Струмичко поле с.Василево</v>
          </cell>
        </row>
        <row r="282">
          <cell r="A282" t="str">
            <v>Сигурносно стакло Прилеп</v>
          </cell>
        </row>
        <row r="283">
          <cell r="A283" t="str">
            <v>Стопанска банка Скопје</v>
          </cell>
        </row>
        <row r="284">
          <cell r="A284" t="str">
            <v>Стокопромет Скопје</v>
          </cell>
        </row>
        <row r="285">
          <cell r="A285" t="str">
            <v>Тајмиште Кичево</v>
          </cell>
        </row>
        <row r="286">
          <cell r="A286" t="str">
            <v>ТЕАЛ-Алумина Тетово</v>
          </cell>
        </row>
        <row r="287">
          <cell r="A287" t="str">
            <v>Технокомерц Скопје</v>
          </cell>
        </row>
        <row r="288">
          <cell r="A288" t="str">
            <v>Македонски Телеком Скопје</v>
          </cell>
        </row>
        <row r="289">
          <cell r="A289" t="str">
            <v>ГД-Тиквеш Кавадарци</v>
          </cell>
        </row>
        <row r="290">
          <cell r="A290" t="str">
            <v>НЛБ Банка АД Скопје</v>
          </cell>
        </row>
        <row r="291">
          <cell r="A291" t="str">
            <v>Транскоп-Патнички сооб. Битола</v>
          </cell>
        </row>
        <row r="292">
          <cell r="A292" t="str">
            <v>Трготекстил малопродажба Скопје</v>
          </cell>
        </row>
        <row r="293">
          <cell r="A293" t="str">
            <v>Универзална Инвестициона Банка Скопје</v>
          </cell>
        </row>
        <row r="294">
          <cell r="A294" t="str">
            <v>Цементарница УСЈЕ Скопје</v>
          </cell>
        </row>
        <row r="295">
          <cell r="A295" t="str">
            <v>Триглав осигурување Скопје</v>
          </cell>
        </row>
        <row r="296">
          <cell r="A296" t="str">
            <v>Ветекс Велес</v>
          </cell>
        </row>
        <row r="297">
          <cell r="A297" t="str">
            <v>ЖАС Скопје</v>
          </cell>
        </row>
        <row r="298">
          <cell r="A298" t="str">
            <v>Жито Караорман Кичево</v>
          </cell>
        </row>
        <row r="299">
          <cell r="A299" t="str">
            <v>Жито Полог Тетово</v>
          </cell>
        </row>
        <row r="300">
          <cell r="A300" t="str">
            <v>Задолжителна котација - приоритетни акции</v>
          </cell>
        </row>
        <row r="301">
          <cell r="A301" t="str">
            <v>Стопанска банка Скопје</v>
          </cell>
        </row>
        <row r="302">
          <cell r="A302" t="str">
            <v>Редовен пазар</v>
          </cell>
        </row>
        <row r="303">
          <cell r="A303" t="str">
            <v>Пазар на акционерски друштва со посебни обврски за известување - обични акции</v>
          </cell>
        </row>
        <row r="304">
          <cell r="A304" t="str">
            <v>Агросервис Скопје</v>
          </cell>
        </row>
        <row r="305">
          <cell r="A305" t="str">
            <v>Шпаркасе банка Македонија АД Скопје</v>
          </cell>
        </row>
        <row r="306">
          <cell r="A306" t="str">
            <v>Слободен пазар - обични акции</v>
          </cell>
        </row>
        <row r="307">
          <cell r="A307" t="str">
            <v>Квасара Битола</v>
          </cell>
        </row>
        <row r="308">
          <cell r="A308" t="str">
            <v>Македонска берза АД Скопје</v>
          </cell>
        </row>
        <row r="309">
          <cell r="A309" t="str">
            <v>РИМИ АД Штип</v>
          </cell>
        </row>
        <row r="310">
          <cell r="A310" t="str">
            <v>АрцелорМиттал (ХРМ) АД Скопје - долгорочно суспендирано од котација</v>
          </cell>
        </row>
        <row r="311">
          <cell r="A311" t="str">
            <v>Вкупен промет на сите пазарни сегменти: 31.708.805,00</v>
          </cell>
        </row>
        <row r="312">
          <cell r="A312" t="str">
            <v>МБИ10</v>
          </cell>
        </row>
        <row r="313">
          <cell r="A313" t="str">
            <v>ОМБ</v>
          </cell>
        </row>
        <row r="314">
          <cell r="A314" t="str">
            <v>1 EUR = 61,4950 МКД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  <cell r="B9">
            <v>3558.67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  <cell r="B24">
            <v>120.88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  <cell r="B29">
            <v>12200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DO2022/03-0337</v>
          </cell>
        </row>
        <row r="46">
          <cell r="A46" t="str">
            <v>Р. Македонија - државна обврзница DO2014/16-0724dk</v>
          </cell>
        </row>
        <row r="47">
          <cell r="A47" t="str">
            <v>Р. Македонија - државна обврзница DO2016/26-1131dk</v>
          </cell>
        </row>
        <row r="48">
          <cell r="A48" t="str">
            <v>Р. Македонија - државна обврзница DO2020/14-1223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DO2020/15-1235dk</v>
          </cell>
          <cell r="B50">
            <v>100</v>
          </cell>
        </row>
        <row r="51">
          <cell r="A51" t="str">
            <v>Р. Македонија - државна обврзница DO2021/04-0336</v>
          </cell>
        </row>
        <row r="52">
          <cell r="A52" t="str">
            <v>Р. Македонија - државна обврзница DO2017/14-0532dk</v>
          </cell>
        </row>
        <row r="53">
          <cell r="A53" t="str">
            <v>Р. Македонија - државна обврзница DO2015/19-0630dk</v>
          </cell>
        </row>
        <row r="54">
          <cell r="A54" t="str">
            <v>Р. Македонија - државна обврзница DO2014/19-0924dk</v>
          </cell>
        </row>
        <row r="55">
          <cell r="A55" t="str">
            <v>Р. Македонија - државна обврзница DO2014/38-1224</v>
          </cell>
        </row>
        <row r="56">
          <cell r="A56" t="str">
            <v>Р. Македонија - државна обврзница DO2020/03-0325</v>
          </cell>
        </row>
        <row r="57">
          <cell r="A57" t="str">
            <v>Р. Македонија - државна обврзница DO2014/13-0624dk</v>
          </cell>
        </row>
        <row r="58">
          <cell r="A58" t="str">
            <v>Р. Македонија - државна обврзница ДО2021/13-0836</v>
          </cell>
        </row>
        <row r="59">
          <cell r="A59" t="str">
            <v>Р. Македонија - државна обврзница DO2017/30-1032dk</v>
          </cell>
        </row>
        <row r="60">
          <cell r="A60" t="str">
            <v>Р. Македонија - државна обврзница DO2020/11-1122</v>
          </cell>
        </row>
        <row r="61">
          <cell r="A61" t="str">
            <v>Р. Македонија - државна обврзница DO2020/12-1125</v>
          </cell>
        </row>
        <row r="62">
          <cell r="A62" t="str">
            <v>Р. Македонија - државна обврзница DO2019/16-1234dk</v>
          </cell>
        </row>
        <row r="63">
          <cell r="A63" t="str">
            <v>Р. Македонија - државна обврзница DO2017/12-0432dk</v>
          </cell>
        </row>
        <row r="64">
          <cell r="A64" t="str">
            <v>Р. Македонија - државна обврзница DO2017/19-0732dk</v>
          </cell>
        </row>
        <row r="65">
          <cell r="A65" t="str">
            <v>Р. Македонија - државна обврзница DO2015/30-0825dk</v>
          </cell>
        </row>
        <row r="66">
          <cell r="A66" t="str">
            <v>Р. Македонија - државна обврзница DO2015/31-0830dk</v>
          </cell>
        </row>
        <row r="67">
          <cell r="A67" t="str">
            <v>Р. Македонија - државна обврзница DO2020/07-0850dk</v>
          </cell>
        </row>
        <row r="68">
          <cell r="A68" t="str">
            <v>Р. Македонија - државна обврзница DO2019/05-0324</v>
          </cell>
        </row>
        <row r="69">
          <cell r="A69" t="str">
            <v>Р. Македонија - државна обврзница DO2016/11-0426dk</v>
          </cell>
        </row>
        <row r="70">
          <cell r="A70" t="str">
            <v>Р. Македонија - државна обврзница DO2015/17-0530dk</v>
          </cell>
        </row>
        <row r="71">
          <cell r="A71" t="str">
            <v>Р. Македонија - државна обврзница DO2018/12-0633</v>
          </cell>
        </row>
        <row r="72">
          <cell r="A72" t="str">
            <v>Р. Македонија - државна обврзница DO2017/26-0932dk</v>
          </cell>
        </row>
        <row r="73">
          <cell r="A73" t="str">
            <v>Р. Македонија - државна обврзница DO2019/15-1134</v>
          </cell>
        </row>
        <row r="74">
          <cell r="A74" t="str">
            <v>Р. Македонија - државна обврзница DO2017/38-1232dk</v>
          </cell>
        </row>
        <row r="75">
          <cell r="A75" t="str">
            <v>Р. Македонија - државна обврзница DO2018/10-0333dk</v>
          </cell>
        </row>
        <row r="76">
          <cell r="A76" t="str">
            <v>Р. Македонија - државна обврзница DO2017/16-0632dk</v>
          </cell>
        </row>
        <row r="77">
          <cell r="A77" t="str">
            <v>Р. Македонија - државна обврзница DO2016/15-0731dk</v>
          </cell>
        </row>
        <row r="78">
          <cell r="A78" t="str">
            <v>Р. Македонија - државна обврзница DO2019/11-0834dk</v>
          </cell>
        </row>
        <row r="79">
          <cell r="A79" t="str">
            <v>Р. Македонија - државна обврзница DO2015/40-1030dk</v>
          </cell>
        </row>
        <row r="80">
          <cell r="A80" t="str">
            <v>Р. Македонија - државна обврзница DO2017/08-0332dk</v>
          </cell>
        </row>
        <row r="81">
          <cell r="A81" t="str">
            <v>Р. Македонија - државна обврзница DO2016/13-0631dk</v>
          </cell>
        </row>
        <row r="82">
          <cell r="A82" t="str">
            <v>Р. Македонија - државна обврзница DO2015/23-0725</v>
          </cell>
        </row>
        <row r="83">
          <cell r="A83" t="str">
            <v>Р. Македонија - државна обврзница DO2015/24-0725dk</v>
          </cell>
        </row>
        <row r="84">
          <cell r="A84" t="str">
            <v>Р. Македонија - државна обврзница DO2015/25-0730dk</v>
          </cell>
        </row>
        <row r="85">
          <cell r="A85" t="str">
            <v>Р. Македонија - државна обврзница DO2018/17-0833dk</v>
          </cell>
        </row>
        <row r="86">
          <cell r="A86" t="str">
            <v>Р. Македонија - државна обврзница DO2017/21-0822dk</v>
          </cell>
        </row>
        <row r="87">
          <cell r="A87" t="str">
            <v>Р. Македонија - државна обврзница DO2017/22-0832dk</v>
          </cell>
        </row>
        <row r="88">
          <cell r="A88" t="str">
            <v>Р. Македонија - државна обврзница DO2018/02-0128</v>
          </cell>
        </row>
        <row r="89">
          <cell r="A89" t="str">
            <v>Р. Македонија - државна обврзница DO2018/03-0133dk</v>
          </cell>
        </row>
        <row r="90">
          <cell r="A90" t="str">
            <v>Р. Македонија - државна обврзница DO2016/05-0226</v>
          </cell>
        </row>
        <row r="91">
          <cell r="A91" t="str">
            <v>Р. Македонија - државна обврзница DO2016/06-0226dk</v>
          </cell>
        </row>
        <row r="92">
          <cell r="A92" t="str">
            <v>Р. Македонија - државна обврзница DO2016/07-0231dk</v>
          </cell>
        </row>
        <row r="93">
          <cell r="A93" t="str">
            <v>Р. Македонија - државна обврзница DO2017/02-0132dk</v>
          </cell>
        </row>
        <row r="94">
          <cell r="A94" t="str">
            <v>Р. Македонија - државна обврзница DO2015/05-0230dk</v>
          </cell>
        </row>
        <row r="95">
          <cell r="A95" t="str">
            <v>Р. Македонија - државна обврзница DO2015/09-0325</v>
          </cell>
        </row>
        <row r="96">
          <cell r="A96" t="str">
            <v>Р. Македонија - државна обврзница DO2015/10-0330dk</v>
          </cell>
        </row>
        <row r="97">
          <cell r="A97" t="str">
            <v>Р. Македонија - државна обврзница DO2022/05-0537</v>
          </cell>
        </row>
        <row r="98">
          <cell r="A98" t="str">
            <v>Р. Македонија - државна обврзница DO2022/01-0137</v>
          </cell>
        </row>
        <row r="99">
          <cell r="A99" t="str">
            <v>Р. Македонија - државна обврзница DO2020/02-0235</v>
          </cell>
        </row>
        <row r="100">
          <cell r="A100" t="str">
            <v>Р. Македонија - државна обврзница DO2016/01-0126dk</v>
          </cell>
        </row>
        <row r="101">
          <cell r="A101" t="str">
            <v>Р. Македонија - државна обврзница DO2016/02-0131dk</v>
          </cell>
        </row>
        <row r="102">
          <cell r="A102" t="str">
            <v>Р. Македонија - државна обврзница DO2021/01-0136</v>
          </cell>
        </row>
        <row r="103">
          <cell r="A103" t="str">
            <v>Р. Македонија - државна обврзница DO2019/03-0224dk</v>
          </cell>
        </row>
        <row r="104">
          <cell r="A104" t="str">
            <v>Р. Македонија - државна обврзница DO2016/12-0431dk</v>
          </cell>
        </row>
        <row r="105">
          <cell r="A105" t="str">
            <v>Р. Македонија - државна обврзница DO2022/04-0437dk</v>
          </cell>
        </row>
        <row r="106">
          <cell r="A106" t="str">
            <v>Р. Македонија - државна обврзница DO2021/09-0526</v>
          </cell>
        </row>
        <row r="107">
          <cell r="A107" t="str">
            <v>Р. Македонија - државна обврзница DO2016/23-1031dk</v>
          </cell>
        </row>
        <row r="108">
          <cell r="A108" t="str">
            <v>Р. Македонија - државна обврзница DO2021/15-1036</v>
          </cell>
        </row>
        <row r="109">
          <cell r="A109" t="str">
            <v>Р. Македонија - државна обврзница DO2018/07-0223</v>
          </cell>
        </row>
        <row r="110">
          <cell r="A110" t="str">
            <v>Р. Македонија - државна обврзница DO2018/08-0233dk</v>
          </cell>
        </row>
        <row r="111">
          <cell r="A111" t="str">
            <v>Р. Македонија - државна обврзница DO2021/07-0436</v>
          </cell>
        </row>
        <row r="112">
          <cell r="A112" t="str">
            <v>Р. Македонија - државна обврзница DO2021/08-0436dk</v>
          </cell>
        </row>
        <row r="113">
          <cell r="A113" t="str">
            <v>Р. Македонија - државна обврзница DO2020/08-1030</v>
          </cell>
        </row>
        <row r="114">
          <cell r="A114" t="str">
            <v>Р. Македонија - државна обврзница DO2020/09-1030dk</v>
          </cell>
        </row>
        <row r="115">
          <cell r="A115" t="str">
            <v>Р. Македонија - државна обврзница DO2017/06-0232dk</v>
          </cell>
        </row>
        <row r="116">
          <cell r="A116" t="str">
            <v>Р. Македонија - државна обврзница DO2015/15-0430dk</v>
          </cell>
        </row>
        <row r="117">
          <cell r="A117" t="str">
            <v>Р. Македонија - државна обврзница DO2019/08-0524</v>
          </cell>
        </row>
        <row r="118">
          <cell r="A118" t="str">
            <v>Р. Македонија - државна обврзница DO2019/09-0534</v>
          </cell>
        </row>
        <row r="119">
          <cell r="A119" t="str">
            <v>Р.Македонија - државна обврзница DO2022/06-0637</v>
          </cell>
        </row>
        <row r="120">
          <cell r="A120" t="str">
            <v>Р.Македонија - државна обврзница DO2022/07-0637dk</v>
          </cell>
        </row>
        <row r="121">
          <cell r="A121" t="str">
            <v>Р. Македонија - државна обврзница DO2021/14-0936</v>
          </cell>
        </row>
        <row r="122">
          <cell r="A122" t="str">
            <v>Р. Македонија - државна обврзница DO2014/27-1024</v>
          </cell>
        </row>
        <row r="123">
          <cell r="A123" t="str">
            <v>Р. Македонија - државна обврзница DO2014/28-1024dk</v>
          </cell>
        </row>
        <row r="124">
          <cell r="A124" t="str">
            <v>Р. Македонија - државна обврзница DO2021/17-1224</v>
          </cell>
        </row>
        <row r="125">
          <cell r="A125" t="str">
            <v>Р. Македонија - државна обврзница DO2016/08-0331dk</v>
          </cell>
        </row>
        <row r="126">
          <cell r="A126" t="str">
            <v>Р. Македонија - државна обврзница DO2021/10-0636</v>
          </cell>
        </row>
        <row r="127">
          <cell r="A127" t="str">
            <v>Р. Македонија - државна обврзница DO2021/11-0636dk</v>
          </cell>
        </row>
        <row r="128">
          <cell r="A128" t="str">
            <v>Р. Македонија - државна обврзница DO2017/23-0822dk</v>
          </cell>
        </row>
        <row r="129">
          <cell r="A129" t="str">
            <v>Р. Македонија - државна обврзница DO2017/24-0832dk</v>
          </cell>
        </row>
        <row r="130">
          <cell r="A130" t="str">
            <v>Р. Македонија - државна обврзница DO2015/37-0930dk</v>
          </cell>
        </row>
        <row r="131">
          <cell r="A131" t="str">
            <v>Р. Македонија - државна обврзница DO2019/13-1024</v>
          </cell>
        </row>
        <row r="132">
          <cell r="A132" t="str">
            <v>Р. Македонија - државна обврзница DO2020/16-1222dk</v>
          </cell>
        </row>
        <row r="133">
          <cell r="A133" t="str">
            <v>Р. Македонија - државна обврзница DO2015/45-1225dk</v>
          </cell>
        </row>
        <row r="134">
          <cell r="A134" t="str">
            <v>Р. Македонија - државна обврзница DO2021/03-0224</v>
          </cell>
        </row>
        <row r="135">
          <cell r="A135" t="str">
            <v>Р. Македонија - државна обврзница DO2019/06-0449dk</v>
          </cell>
        </row>
        <row r="136">
          <cell r="A136" t="str">
            <v>Р. Македонија - државна обврзница DO2020/06-0635</v>
          </cell>
        </row>
        <row r="137">
          <cell r="A137" t="str">
            <v>Р. Македонија - државна обврзница DO2019/10-0749dk</v>
          </cell>
        </row>
        <row r="138">
          <cell r="A138" t="str">
            <v>Р. Македонија - државна обврзница DO2016/17-0826</v>
          </cell>
        </row>
        <row r="139">
          <cell r="A139" t="str">
            <v>Р. Македонија - државна обврзница DO2016/18-0826dk</v>
          </cell>
        </row>
        <row r="140">
          <cell r="A140" t="str">
            <v>Р. Македонија - државна обврзница DO2016/19-0831dk</v>
          </cell>
        </row>
        <row r="141">
          <cell r="A141" t="str">
            <v>Р. Македонија - државна обврзница DO2018/23-1048dk</v>
          </cell>
        </row>
        <row r="142">
          <cell r="A142" t="str">
            <v>Р. Македонија - државна обврзница DO2021/16-1136dk</v>
          </cell>
        </row>
        <row r="143">
          <cell r="A143" t="str">
            <v>Р. Македонија - државна обврзница DO2018/14-0723</v>
          </cell>
        </row>
        <row r="144">
          <cell r="A144" t="str">
            <v>Р. Македонија - државна обврзница DO2018/15-0748dk</v>
          </cell>
        </row>
        <row r="145">
          <cell r="A145" t="str">
            <v>Р. Македонија - државна обврзница DO2019/12-0934</v>
          </cell>
        </row>
        <row r="146">
          <cell r="A146" t="str">
            <v>Р. Македонија - државна обврзница DO2017/32-1032dk</v>
          </cell>
        </row>
        <row r="147">
          <cell r="A147" t="str">
            <v>Р. Македонија - државна обврзница DO2020/13-1123dk</v>
          </cell>
        </row>
        <row r="148">
          <cell r="A148" t="str">
            <v>Р. Македонија - државна обврзница DO2015/42-1125dk</v>
          </cell>
        </row>
        <row r="149">
          <cell r="A149" t="str">
            <v>Р. Македонија - државна обврзница DO2015/43-1130dk</v>
          </cell>
        </row>
        <row r="150">
          <cell r="A150" t="str">
            <v>Р. Македонија - државна обврзница DO2017/20-0732dk</v>
          </cell>
        </row>
        <row r="151">
          <cell r="A151" t="str">
            <v>Р. Македонија - државна обврзница DO2015/32-0825</v>
          </cell>
        </row>
        <row r="152">
          <cell r="A152" t="str">
            <v>Р. Македонија - државна обврзница DO2015/33-0830dk</v>
          </cell>
        </row>
        <row r="153">
          <cell r="A153" t="str">
            <v>Р. Македонија - државна обврзница DO2018/19-0933</v>
          </cell>
        </row>
        <row r="154">
          <cell r="A154" t="str">
            <v>Р. Македонија - државна обврзница DO2018/20-0933dk</v>
          </cell>
        </row>
        <row r="155">
          <cell r="A155" t="str">
            <v>Р. Македонија - државна обврзница DO2015/18-0525dk</v>
          </cell>
        </row>
        <row r="156">
          <cell r="A156" t="str">
            <v>Р. Македонија - државна обврзница DO2018/13-0633dk</v>
          </cell>
        </row>
        <row r="157">
          <cell r="A157" t="str">
            <v>Р. Македонија - државна обврзница DO2014/18-0824dk</v>
          </cell>
        </row>
        <row r="158">
          <cell r="A158" t="str">
            <v>Р. Македонија - државна обврзница DO2017/27-0932dk</v>
          </cell>
        </row>
        <row r="159">
          <cell r="A159" t="str">
            <v>Р. Македонија - државна обврзница DO2016/03-0131dk</v>
          </cell>
        </row>
        <row r="160">
          <cell r="A160" t="str">
            <v>Р. Македонија - државна обврзница DO2017/17-0632dk</v>
          </cell>
        </row>
        <row r="161">
          <cell r="A161" t="str">
            <v>Р. Македонија - државна обврзница DO2016/21-0931dk</v>
          </cell>
        </row>
        <row r="162">
          <cell r="A162" t="str">
            <v>Р. Македонија - државна обврзница DO2018/27-1133dk</v>
          </cell>
        </row>
        <row r="163">
          <cell r="A163" t="str">
            <v>Р. Македонија - државна обврзница DO2016/29-1231dk</v>
          </cell>
        </row>
        <row r="164">
          <cell r="A164" t="str">
            <v>Р. Македонија - државна обврзница DO2014/02-0124</v>
          </cell>
        </row>
        <row r="165">
          <cell r="A165" t="str">
            <v>Р. Македонија - државна обврзница DO2014/03-0124dk</v>
          </cell>
        </row>
        <row r="166">
          <cell r="A166" t="str">
            <v>Р. Македонија - државна обврзница DO2017/10-0332dk</v>
          </cell>
        </row>
        <row r="167">
          <cell r="A167" t="str">
            <v>Р. Македонија - државна обврзница DO2016/14-0631dk</v>
          </cell>
        </row>
        <row r="168">
          <cell r="A168" t="str">
            <v>Р. Македонија - државна обврзница DO2015/27-0725dk</v>
          </cell>
        </row>
        <row r="169">
          <cell r="A169" t="str">
            <v>Р. Македонија - државна обврзница DO2015/28-0730dk</v>
          </cell>
        </row>
        <row r="170">
          <cell r="A170" t="str">
            <v>Р. Македонија - државна обврзница DO2017/36-1132dk</v>
          </cell>
        </row>
        <row r="171">
          <cell r="A171" t="str">
            <v>Р. Македонија - државна обврзница DO2016/09-0326</v>
          </cell>
        </row>
        <row r="172">
          <cell r="A172" t="str">
            <v>Р. Македонија - државна обврзница DO2014/17-0724dk</v>
          </cell>
        </row>
        <row r="173">
          <cell r="A173" t="str">
            <v>Р. Македонија - државна обврзница DO2015/38-0925dk</v>
          </cell>
        </row>
        <row r="174">
          <cell r="A174" t="str">
            <v>Р. Македонија - државна обврзница DO2015/39-0930dk</v>
          </cell>
        </row>
        <row r="175">
          <cell r="A175" t="str">
            <v>Р. Македонија - државна обврзница DO2015/46-1225dk</v>
          </cell>
        </row>
        <row r="176">
          <cell r="A176" t="str">
            <v>Р. Македонија - државна обврзница DO2018/04-0133</v>
          </cell>
        </row>
        <row r="177">
          <cell r="A177" t="str">
            <v>Р. Македонија - државна обврзница DO2018/05-0133dk</v>
          </cell>
        </row>
        <row r="178">
          <cell r="A178" t="str">
            <v>Р. Македонија - државна обврзница DO2015/20-0625</v>
          </cell>
        </row>
        <row r="179">
          <cell r="A179" t="str">
            <v>Р. Македонија - државна обврзница DO2015/21-0625dk</v>
          </cell>
        </row>
        <row r="180">
          <cell r="A180" t="str">
            <v>Р. Македонија - државна обврзница DO2015/22-0630dk</v>
          </cell>
        </row>
        <row r="181">
          <cell r="A181" t="str">
            <v>Р. Македонија - државна обврзница DO2017/05-0132dk</v>
          </cell>
        </row>
        <row r="182">
          <cell r="A182" t="str">
            <v>Р. Македонија - државна обврзница DO2015/08-0230dk</v>
          </cell>
        </row>
        <row r="183">
          <cell r="A183" t="str">
            <v>Р. Македонија - државна обврзница DO2015/12-0325</v>
          </cell>
        </row>
        <row r="184">
          <cell r="A184" t="str">
            <v>Р. Македонија - државна обврзница DO2015/13-0330dk</v>
          </cell>
        </row>
        <row r="185">
          <cell r="A185" t="str">
            <v>Р. Македонија - државна обврзница DO2018/11-0448dk</v>
          </cell>
        </row>
        <row r="186">
          <cell r="A186" t="str">
            <v>Р. Македонија - државна обврзница DO2022/02-0125</v>
          </cell>
        </row>
        <row r="187">
          <cell r="A187" t="str">
            <v>Р. Македонија - државна обврзница DO2015/34-0825</v>
          </cell>
        </row>
        <row r="188">
          <cell r="A188" t="str">
            <v>Р. Македонија - државна обврзница DO2015/35-0825dk</v>
          </cell>
        </row>
        <row r="189">
          <cell r="A189" t="str">
            <v>Р. Македонија - државна обврзница DO2015/36-0830dk</v>
          </cell>
        </row>
        <row r="190">
          <cell r="A190" t="str">
            <v>Р. Македонија - државна обврзница DO2021/02-0123</v>
          </cell>
        </row>
        <row r="191">
          <cell r="A191" t="str">
            <v>Р. Македонија - државна обврзница DO2016/04-0131dk</v>
          </cell>
        </row>
        <row r="192">
          <cell r="A192" t="str">
            <v>Р. Македонија - државна обврзница DO2019/04-0234</v>
          </cell>
          <cell r="B192">
            <v>107.1</v>
          </cell>
        </row>
        <row r="193">
          <cell r="A193" t="str">
            <v>Р. Македонија - државна обврзница DO2016/16-0731dk</v>
          </cell>
        </row>
        <row r="194">
          <cell r="A194" t="str">
            <v>Р. Македонија - државна обврзница DO2015/03-0125</v>
          </cell>
        </row>
        <row r="195">
          <cell r="A195" t="str">
            <v>Р. Македонија - државна обврзница DO2015/04-0125dk</v>
          </cell>
        </row>
        <row r="196">
          <cell r="A196" t="str">
            <v>Р. Македонија - државна обврзница DO2017/18-0632dk</v>
          </cell>
        </row>
        <row r="197">
          <cell r="A197" t="str">
            <v>Р. Македонија - држaвна обврзница DO2021/12-0724</v>
          </cell>
        </row>
        <row r="198">
          <cell r="A198" t="str">
            <v>Р. Македонија - државна обврзница DO2016/22-0931dk</v>
          </cell>
        </row>
        <row r="199">
          <cell r="A199" t="str">
            <v>Р. Македонија - државна обврзница DO2015/41-1030dk</v>
          </cell>
        </row>
        <row r="200">
          <cell r="A200" t="str">
            <v>Р. Македонија - државна обврзница DO2020/10-1035</v>
          </cell>
        </row>
        <row r="201">
          <cell r="A201" t="str">
            <v>Р. Македонија - државна обврзница DO2020/01-0150dk</v>
          </cell>
        </row>
        <row r="202">
          <cell r="A202" t="str">
            <v>Р. Македонија - државна обврзница DO2017/11-0332dk</v>
          </cell>
        </row>
        <row r="203">
          <cell r="A203" t="str">
            <v>Р. Македонија - државна обврзница DO2020/04-0450dk</v>
          </cell>
          <cell r="B203">
            <v>100</v>
          </cell>
        </row>
        <row r="204">
          <cell r="A204" t="str">
            <v>Р. Македонија - државна обврзница DO2015/29-0730dk</v>
          </cell>
        </row>
        <row r="205">
          <cell r="A205" t="str">
            <v>Р. Македонија - државна обврзница DO2014/30-1024dk</v>
          </cell>
        </row>
        <row r="206">
          <cell r="A206" t="str">
            <v>Р. Македонија - државна обврзница DO2017/37-1132dk</v>
          </cell>
        </row>
        <row r="207">
          <cell r="A207" t="str">
            <v>Р. Македонија - државна обврзница DO2019/02-0149dk</v>
          </cell>
        </row>
        <row r="208">
          <cell r="A208" t="str">
            <v>Р. Македонија - државна обврзница DO2016/10-0331dk</v>
          </cell>
        </row>
        <row r="209">
          <cell r="A209" t="str">
            <v>Р. Македонија - државна обврзница DO2019/14-1049dk</v>
          </cell>
          <cell r="B209">
            <v>103.5</v>
          </cell>
        </row>
        <row r="210">
          <cell r="A210" t="str">
            <v>Р. Македонија - државна обврзница DO2020/17-1222</v>
          </cell>
        </row>
        <row r="211">
          <cell r="A211" t="str">
            <v>Р. Македонија - државна обврзница DO2020/18-1222dk</v>
          </cell>
        </row>
        <row r="212">
          <cell r="A212" t="str">
            <v>Р. Македонија - државна обврзница DO2020/19-1223</v>
          </cell>
        </row>
        <row r="213">
          <cell r="A213" t="str">
            <v>Р. Македонија - државна обврзница DO2020/20-1223dk</v>
          </cell>
        </row>
        <row r="214">
          <cell r="A214" t="str">
            <v>Р. Македонија - денационализација 12</v>
          </cell>
          <cell r="B214">
            <v>99.31</v>
          </cell>
        </row>
        <row r="215">
          <cell r="A215" t="str">
            <v>Р. Македонија - денационализација 13</v>
          </cell>
          <cell r="B215">
            <v>99</v>
          </cell>
        </row>
        <row r="216">
          <cell r="A216" t="str">
            <v>Р. Македонија - денационализација 14</v>
          </cell>
          <cell r="B216">
            <v>99</v>
          </cell>
        </row>
        <row r="217">
          <cell r="A217" t="str">
            <v>Р. Македонија - денационализација 15</v>
          </cell>
          <cell r="B217">
            <v>99</v>
          </cell>
        </row>
        <row r="218">
          <cell r="A218" t="str">
            <v>Р. Македонија - денационализација 16</v>
          </cell>
          <cell r="B218">
            <v>98</v>
          </cell>
        </row>
        <row r="219">
          <cell r="A219" t="str">
            <v>Р. Македонија - денационализација 17</v>
          </cell>
          <cell r="B219">
            <v>95</v>
          </cell>
        </row>
        <row r="220">
          <cell r="A220" t="str">
            <v>Р. Македонија - денационализација 18</v>
          </cell>
          <cell r="B220">
            <v>99</v>
          </cell>
        </row>
        <row r="221">
          <cell r="A221" t="str">
            <v>Р. Македонија - денационализација 19</v>
          </cell>
          <cell r="B221">
            <v>90</v>
          </cell>
        </row>
        <row r="222">
          <cell r="A222" t="str">
            <v>Р. Македонија - денационализација 20</v>
          </cell>
          <cell r="B222">
            <v>95.1</v>
          </cell>
        </row>
        <row r="223">
          <cell r="A223" t="str">
            <v>Р. Македонија - денационализација 21</v>
          </cell>
          <cell r="B223">
            <v>94.7</v>
          </cell>
        </row>
        <row r="224">
          <cell r="A224" t="str">
            <v>СН Осигурителен Брокер АД Битола - корпоративна обврзница I емисија</v>
          </cell>
        </row>
        <row r="225">
          <cell r="A225" t="str">
            <v>ТТК банка АД Скопје - корпоративна обврзница I емисија</v>
          </cell>
          <cell r="B225">
            <v>100</v>
          </cell>
        </row>
        <row r="226">
          <cell r="A226" t="str">
            <v>ТТК банка АД Скопје - корпоративна обврзница II емисија</v>
          </cell>
        </row>
        <row r="227">
          <cell r="A227" t="str">
            <v>Берзанска котација - други хартии од вредност</v>
          </cell>
        </row>
        <row r="228">
          <cell r="A228" t="str">
            <v>Универзална Инвестициона Банка Скопје - перпетуални обврзници</v>
          </cell>
        </row>
        <row r="229">
          <cell r="A229" t="str">
            <v>Задолжителна котација - обични акции</v>
          </cell>
        </row>
        <row r="230">
          <cell r="A230" t="str">
            <v>Адинг Скопје</v>
          </cell>
          <cell r="B230">
            <v>805</v>
          </cell>
        </row>
        <row r="231">
          <cell r="A231" t="str">
            <v>Агромеханика Скопје</v>
          </cell>
          <cell r="B231">
            <v>300</v>
          </cell>
        </row>
        <row r="232">
          <cell r="A232" t="str">
            <v>Ангропромет-Тиквешанка Кавадарци</v>
          </cell>
          <cell r="B232">
            <v>750</v>
          </cell>
        </row>
        <row r="233">
          <cell r="A233" t="str">
            <v>Аутомакедонија Скопје</v>
          </cell>
          <cell r="B233">
            <v>2500</v>
          </cell>
        </row>
        <row r="234">
          <cell r="A234" t="str">
            <v>Рудници Бањани Скопје</v>
          </cell>
          <cell r="B234">
            <v>603</v>
          </cell>
        </row>
        <row r="235">
          <cell r="A235" t="str">
            <v>Кристал 1923 АД Велес</v>
          </cell>
          <cell r="B235">
            <v>152</v>
          </cell>
        </row>
        <row r="236">
          <cell r="A236" t="str">
            <v>БИМ Свети Николе</v>
          </cell>
          <cell r="B236">
            <v>15550</v>
          </cell>
        </row>
        <row r="237">
          <cell r="A237" t="str">
            <v>ФЗЦ 11 Октомври Куманово</v>
          </cell>
          <cell r="B237">
            <v>400</v>
          </cell>
        </row>
        <row r="238">
          <cell r="A238" t="str">
            <v>Централна кооперативна банка Скопје</v>
          </cell>
          <cell r="B238">
            <v>450</v>
          </cell>
        </row>
        <row r="239">
          <cell r="A239" t="str">
            <v>Дебарски бањи Дебар</v>
          </cell>
          <cell r="B239">
            <v>1550</v>
          </cell>
        </row>
        <row r="240">
          <cell r="A240" t="str">
            <v>Димко Митрев Велес</v>
          </cell>
          <cell r="B240">
            <v>185</v>
          </cell>
        </row>
        <row r="241">
          <cell r="A241" t="str">
            <v>Единство Струмица</v>
          </cell>
          <cell r="B241">
            <v>303</v>
          </cell>
        </row>
        <row r="242">
          <cell r="A242" t="str">
            <v>Европа Скопје</v>
          </cell>
          <cell r="B242">
            <v>2900</v>
          </cell>
        </row>
        <row r="243">
          <cell r="A243" t="str">
            <v>Факом Скопје</v>
          </cell>
          <cell r="B243">
            <v>7200</v>
          </cell>
        </row>
        <row r="244">
          <cell r="A244" t="str">
            <v>Фустеларко Борец Битола</v>
          </cell>
          <cell r="B244">
            <v>1801</v>
          </cell>
        </row>
        <row r="245">
          <cell r="A245" t="str">
            <v>Герас Цунев конфекција Струмица</v>
          </cell>
          <cell r="B245">
            <v>500</v>
          </cell>
        </row>
        <row r="246">
          <cell r="A246" t="str">
            <v>Герас Цунев трговија Струмица</v>
          </cell>
          <cell r="B246">
            <v>500</v>
          </cell>
        </row>
        <row r="247">
          <cell r="A247" t="str">
            <v>Грозд Струмица</v>
          </cell>
        </row>
        <row r="248">
          <cell r="A248" t="str">
            <v>Градски Трговски Центар Скопје</v>
          </cell>
          <cell r="B248">
            <v>1790</v>
          </cell>
        </row>
        <row r="249">
          <cell r="A249" t="str">
            <v>Интерпромет Тетово</v>
          </cell>
        </row>
        <row r="250">
          <cell r="A250" t="str">
            <v>Македонија осигурување АД Скопје - Виена Иншуренс Груп</v>
          </cell>
        </row>
        <row r="251">
          <cell r="A251" t="str">
            <v>Кланица со ладилник Струмица</v>
          </cell>
          <cell r="B251">
            <v>120</v>
          </cell>
        </row>
        <row r="252">
          <cell r="A252" t="str">
            <v>Фруктал МАК Скопје</v>
          </cell>
          <cell r="B252">
            <v>119</v>
          </cell>
        </row>
        <row r="253">
          <cell r="A253" t="str">
            <v>Карпош Скопје</v>
          </cell>
        </row>
        <row r="254">
          <cell r="A254" t="str">
            <v>Лотарија на Македонија Скопје</v>
          </cell>
          <cell r="B254">
            <v>200</v>
          </cell>
        </row>
        <row r="255">
          <cell r="A255" t="str">
            <v>Пелистерка АД Скопје</v>
          </cell>
          <cell r="B255">
            <v>2472</v>
          </cell>
        </row>
        <row r="256">
          <cell r="A256" t="str">
            <v>Макпромет Штип</v>
          </cell>
          <cell r="B256">
            <v>553</v>
          </cell>
        </row>
        <row r="257">
          <cell r="A257" t="str">
            <v>Мермерен комбинат Прилеп</v>
          </cell>
        </row>
        <row r="258">
          <cell r="A258" t="str">
            <v>Мода Свети Николе</v>
          </cell>
          <cell r="B258">
            <v>100</v>
          </cell>
        </row>
        <row r="259">
          <cell r="A259" t="str">
            <v>Вабтек МЗТ Скопје</v>
          </cell>
        </row>
        <row r="260">
          <cell r="A260" t="str">
            <v>МЗТ Пумпи Скопје</v>
          </cell>
          <cell r="B260">
            <v>607</v>
          </cell>
        </row>
        <row r="261">
          <cell r="A261" t="str">
            <v>Огражден Струмица</v>
          </cell>
          <cell r="B261">
            <v>1900</v>
          </cell>
        </row>
        <row r="262">
          <cell r="A262" t="str">
            <v>Нова стоковна куќа Струмица</v>
          </cell>
        </row>
        <row r="263">
          <cell r="A263" t="str">
            <v>Оилко КДА Скопје</v>
          </cell>
        </row>
        <row r="264">
          <cell r="A264" t="str">
            <v>ОКТА Скопје</v>
          </cell>
        </row>
        <row r="265">
          <cell r="A265" t="str">
            <v>Оранжерии Хамзали Струмица</v>
          </cell>
        </row>
        <row r="266">
          <cell r="A266" t="str">
            <v>Пекабеско Скопје</v>
          </cell>
        </row>
        <row r="267">
          <cell r="A267" t="str">
            <v>Попова Кула Демир Капија</v>
          </cell>
        </row>
        <row r="268">
          <cell r="A268" t="str">
            <v>Прилепска Пиварница Прилеп</v>
          </cell>
        </row>
        <row r="269">
          <cell r="A269" t="str">
            <v>Раде Кончар Скопје</v>
          </cell>
        </row>
        <row r="270">
          <cell r="A270" t="str">
            <v>РЖ Економика Скопје</v>
          </cell>
        </row>
        <row r="271">
          <cell r="A271" t="str">
            <v>Либерти АД Скопје</v>
          </cell>
        </row>
        <row r="272">
          <cell r="A272" t="str">
            <v>РЖ Техничка контрола Скопје</v>
          </cell>
        </row>
        <row r="273">
          <cell r="A273" t="str">
            <v>РЖ Уготур Скопје</v>
          </cell>
        </row>
        <row r="274">
          <cell r="A274" t="str">
            <v>Современ дом Прилеп</v>
          </cell>
        </row>
        <row r="275">
          <cell r="A275" t="str">
            <v>Силекс Кратово</v>
          </cell>
        </row>
        <row r="276">
          <cell r="A276" t="str">
            <v>Славеј Скопје</v>
          </cell>
        </row>
        <row r="277">
          <cell r="A277" t="str">
            <v>Струмичко поле с.Василево</v>
          </cell>
        </row>
        <row r="278">
          <cell r="A278" t="str">
            <v>Сигурносно стакло Прилеп</v>
          </cell>
        </row>
        <row r="279">
          <cell r="A279" t="str">
            <v>Стопанска банка Скопје</v>
          </cell>
        </row>
        <row r="280">
          <cell r="A280" t="str">
            <v>Стокопромет Скопје</v>
          </cell>
        </row>
        <row r="281">
          <cell r="A281" t="str">
            <v>Тајмиште Кичево</v>
          </cell>
        </row>
        <row r="282">
          <cell r="A282" t="str">
            <v>ТЕАЛ-Алумина Тетово</v>
          </cell>
        </row>
        <row r="283">
          <cell r="A283" t="str">
            <v>Технокомерц Скопје</v>
          </cell>
        </row>
        <row r="284">
          <cell r="A284" t="str">
            <v>Македонски Телеком Скопје</v>
          </cell>
        </row>
        <row r="285">
          <cell r="A285" t="str">
            <v>ГД-Тиквеш Кавадарци</v>
          </cell>
        </row>
        <row r="286">
          <cell r="A286" t="str">
            <v>НЛБ Банка АД Скопје</v>
          </cell>
        </row>
        <row r="287">
          <cell r="A287" t="str">
            <v>Транскоп-Патнички сооб. Битола</v>
          </cell>
        </row>
        <row r="288">
          <cell r="A288" t="str">
            <v>Трготекстил малопродажба Скопје</v>
          </cell>
        </row>
        <row r="289">
          <cell r="A289" t="str">
            <v>Универзална Инвестициона Банка Скопје</v>
          </cell>
        </row>
        <row r="290">
          <cell r="A290" t="str">
            <v>Цементарница УСЈЕ Скопје</v>
          </cell>
        </row>
        <row r="291">
          <cell r="A291" t="str">
            <v>Триглав осигурување Скопје</v>
          </cell>
        </row>
        <row r="292">
          <cell r="A292" t="str">
            <v>Ветекс Велес</v>
          </cell>
        </row>
        <row r="293">
          <cell r="A293" t="str">
            <v>ЖАС Скопје</v>
          </cell>
        </row>
        <row r="294">
          <cell r="A294" t="str">
            <v>Жито Караорман Кичево</v>
          </cell>
        </row>
        <row r="295">
          <cell r="A295" t="str">
            <v>Жито Полог Тетово</v>
          </cell>
        </row>
        <row r="296">
          <cell r="A296" t="str">
            <v>Задолжителна котација - приоритетни акции</v>
          </cell>
        </row>
        <row r="297">
          <cell r="A297" t="str">
            <v>Стопанска банка Скопје</v>
          </cell>
        </row>
        <row r="298">
          <cell r="A298" t="str">
            <v>Редовен пазар</v>
          </cell>
        </row>
        <row r="299">
          <cell r="A299" t="str">
            <v>Пазар на акционерски друштва со посебни обврски за известување - обични акции</v>
          </cell>
        </row>
        <row r="300">
          <cell r="A300" t="str">
            <v>Агросервис Скопје</v>
          </cell>
        </row>
        <row r="301">
          <cell r="A301" t="str">
            <v>Шпаркасе банка Македонија АД Скопје</v>
          </cell>
        </row>
        <row r="302">
          <cell r="A302" t="str">
            <v>Слободен пазар - обични акции</v>
          </cell>
        </row>
        <row r="303">
          <cell r="A303" t="str">
            <v>Караорман Скопје</v>
          </cell>
        </row>
        <row r="304">
          <cell r="A304" t="str">
            <v>Квасара Битола</v>
          </cell>
        </row>
        <row r="305">
          <cell r="A305" t="str">
            <v>АрцелорМиттал (ХРМ) АД Скопје - долгорочно суспендирано од котација</v>
          </cell>
        </row>
        <row r="306">
          <cell r="A306" t="str">
            <v>Живинокооп АД Скопје</v>
          </cell>
        </row>
        <row r="307">
          <cell r="A307" t="str">
            <v>ЗУМ АД Скопје</v>
          </cell>
        </row>
        <row r="308">
          <cell r="A308" t="str">
            <v>Вкупен промет на сите пазарни сегменти: 5.204.761,00</v>
          </cell>
        </row>
        <row r="309">
          <cell r="A309" t="str">
            <v>МБИ10</v>
          </cell>
        </row>
        <row r="310">
          <cell r="A310" t="str">
            <v>ОМБ</v>
          </cell>
        </row>
        <row r="311">
          <cell r="A311" t="str">
            <v>1 EUR = 61,6950 МКД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  <cell r="B6">
            <v>12608.26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  <cell r="B21">
            <v>51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  <cell r="B26">
            <v>250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DO2022/03-0337</v>
          </cell>
        </row>
        <row r="46">
          <cell r="A46" t="str">
            <v>Р. Македонија - државна обврзница DO2014/16-0724dk</v>
          </cell>
        </row>
        <row r="47">
          <cell r="A47" t="str">
            <v>Р. Македонија - државна обврзница DO2016/26-1131dk</v>
          </cell>
        </row>
        <row r="48">
          <cell r="A48" t="str">
            <v>Р. Македонија - државна обврзница DO2020/14-1223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DO2020/15-1235dk</v>
          </cell>
        </row>
        <row r="51">
          <cell r="A51" t="str">
            <v>Р. Македонија - државна обврзница DO2021/04-0336</v>
          </cell>
        </row>
        <row r="52">
          <cell r="A52" t="str">
            <v>Р. Македонија - државна обврзница DO2017/14-0532dk</v>
          </cell>
        </row>
        <row r="53">
          <cell r="A53" t="str">
            <v>Р. Македонија - државна обврзница DO2015/19-0630dk</v>
          </cell>
        </row>
        <row r="54">
          <cell r="A54" t="str">
            <v>Р. Македонија - државна обврзница DO2014/19-0924dk</v>
          </cell>
        </row>
        <row r="55">
          <cell r="A55" t="str">
            <v>Р. Македонија - државна обврзница DO2014/38-1224</v>
          </cell>
        </row>
        <row r="56">
          <cell r="A56" t="str">
            <v>Р. Македонија - државна обврзница DO2020/03-0325</v>
          </cell>
        </row>
        <row r="57">
          <cell r="A57" t="str">
            <v>Р. Македонија - државна обврзница DO2014/13-0624dk</v>
          </cell>
        </row>
        <row r="58">
          <cell r="A58" t="str">
            <v>Р. Македонија - дрзжвна обврзница ДО2021/13-0836</v>
          </cell>
        </row>
        <row r="59">
          <cell r="A59" t="str">
            <v>Р. Македонија - државна обврзница DO2017/30-1032dk</v>
          </cell>
        </row>
        <row r="60">
          <cell r="A60" t="str">
            <v>Р. Македонија - државна обврзница DO2020/11-1122</v>
          </cell>
        </row>
        <row r="61">
          <cell r="A61" t="str">
            <v>Р. Македонија - државна обврзница DO2020/12-1125</v>
          </cell>
        </row>
        <row r="62">
          <cell r="A62" t="str">
            <v>Р. Македонија - државна обврзница DO2019/16-1234dk</v>
          </cell>
        </row>
        <row r="63">
          <cell r="A63" t="str">
            <v>Р. Македонија - државна обврзница DO2017/12-0432dk</v>
          </cell>
        </row>
        <row r="64">
          <cell r="A64" t="str">
            <v>Р. Македонија - државна обврзница DO2017/19-0732dk</v>
          </cell>
        </row>
        <row r="65">
          <cell r="A65" t="str">
            <v>Р. Македонија - државна обврзница DO2015/30-0825dk</v>
          </cell>
        </row>
        <row r="66">
          <cell r="A66" t="str">
            <v>Р. Македонија - државна обврзница DO2015/31-0830dk</v>
          </cell>
        </row>
        <row r="67">
          <cell r="A67" t="str">
            <v>Р. Македонија - државна обврзница DO2020/07-0850dk</v>
          </cell>
        </row>
        <row r="68">
          <cell r="A68" t="str">
            <v>Р. Македонија - државна обврзница DO2019/05-0324</v>
          </cell>
        </row>
        <row r="69">
          <cell r="A69" t="str">
            <v>Р. Македонија - државна обврзница DO2016/11-0426dk</v>
          </cell>
        </row>
        <row r="70">
          <cell r="A70" t="str">
            <v>Р. Македонија - државна обврзница DO2015/17-0530dk</v>
          </cell>
        </row>
        <row r="71">
          <cell r="A71" t="str">
            <v>Р. Македонија - државна обврзница DO2018/12-0633</v>
          </cell>
        </row>
        <row r="72">
          <cell r="A72" t="str">
            <v>Р. Македонија - државна обврзница DO2017/26-0932dk</v>
          </cell>
        </row>
        <row r="73">
          <cell r="A73" t="str">
            <v>Р. Македонија - државна обврзница DO2019/15-1134</v>
          </cell>
        </row>
        <row r="74">
          <cell r="A74" t="str">
            <v>Р. Македонија - државна обврзница DO2017/38-1232dk</v>
          </cell>
        </row>
        <row r="75">
          <cell r="A75" t="str">
            <v>Р. Македонија - државна обврзница DO2018/10-0333dk</v>
          </cell>
        </row>
        <row r="76">
          <cell r="A76" t="str">
            <v>Р. Македонија - државна обврзница DO2017/16-0632dk</v>
          </cell>
        </row>
        <row r="77">
          <cell r="A77" t="str">
            <v>Р. Македонија - државна обврзница DO2016/15-0731dk</v>
          </cell>
        </row>
        <row r="78">
          <cell r="A78" t="str">
            <v>Р. Македонија - државна обврзница DO2019/11-0834dk</v>
          </cell>
        </row>
        <row r="79">
          <cell r="A79" t="str">
            <v>Р. Македонија - државна обврзница DO2015/40-1030dk</v>
          </cell>
        </row>
        <row r="80">
          <cell r="A80" t="str">
            <v>Р. Македонија - државна обврзница DO2017/08-0332dk</v>
          </cell>
        </row>
        <row r="81">
          <cell r="A81" t="str">
            <v>Р. Македонија - државна обврзница DO2016/13-0631dk</v>
          </cell>
        </row>
        <row r="82">
          <cell r="A82" t="str">
            <v>Р. Македонија - државна обврзница DO2015/23-0725</v>
          </cell>
        </row>
        <row r="83">
          <cell r="A83" t="str">
            <v>Р. Македонија - државна обврзница DO2015/24-0725dk</v>
          </cell>
        </row>
        <row r="84">
          <cell r="A84" t="str">
            <v>Р. Македонија - државна обврзница DO2015/25-0730dk</v>
          </cell>
        </row>
        <row r="85">
          <cell r="A85" t="str">
            <v>Р. Македонија - државна обврзница DO2018/17-0833dk</v>
          </cell>
        </row>
        <row r="86">
          <cell r="A86" t="str">
            <v>Р. Македонија - државна обврзница DO2017/21-0822dk</v>
          </cell>
        </row>
        <row r="87">
          <cell r="A87" t="str">
            <v>Р. Македонија - државна обврзница DO2017/22-0832dk</v>
          </cell>
        </row>
        <row r="88">
          <cell r="A88" t="str">
            <v>Р. Македонија - државна обврзница DO2018/02-0128</v>
          </cell>
        </row>
        <row r="89">
          <cell r="A89" t="str">
            <v>Р. Македонија - државна обврзница DO2018/03-0133dk</v>
          </cell>
        </row>
        <row r="90">
          <cell r="A90" t="str">
            <v>Р. Македонија - државна обврзница DO2016/05-0226</v>
          </cell>
        </row>
        <row r="91">
          <cell r="A91" t="str">
            <v>Р. Македонија - државна обврзница DO2016/06-0226dk</v>
          </cell>
        </row>
        <row r="92">
          <cell r="A92" t="str">
            <v>Р. Македонија - државна обврзница DO2016/07-0231dk</v>
          </cell>
        </row>
        <row r="93">
          <cell r="A93" t="str">
            <v>Р. Македонија - државна обврзница DO2017/02-0132dk</v>
          </cell>
        </row>
        <row r="94">
          <cell r="A94" t="str">
            <v>Р. Македонија - државна обврзница DO2015/05-0230dk</v>
          </cell>
        </row>
        <row r="95">
          <cell r="A95" t="str">
            <v>Р. Македонија - државна обврзница DO2015/09-0325</v>
          </cell>
        </row>
        <row r="96">
          <cell r="A96" t="str">
            <v>Р. Македонија - државна обврзница DO2015/10-0330dk</v>
          </cell>
        </row>
        <row r="97">
          <cell r="A97" t="str">
            <v>Р. Македонија - државна обврзница DO2022/01-0137</v>
          </cell>
        </row>
        <row r="98">
          <cell r="A98" t="str">
            <v>Р. Македонија - државна обврзница DO2020/02-0235</v>
          </cell>
        </row>
        <row r="99">
          <cell r="A99" t="str">
            <v>Р. Македонија - државна обврзница DO2016/01-0126dk</v>
          </cell>
        </row>
        <row r="100">
          <cell r="A100" t="str">
            <v>Р. Македонија - државна обврзница DO2016/02-0131dk</v>
          </cell>
        </row>
        <row r="101">
          <cell r="A101" t="str">
            <v>Р. Македонија - државна обврзница DO2021/01-0136</v>
          </cell>
        </row>
        <row r="102">
          <cell r="A102" t="str">
            <v>Р. Македонија - државна обврзница DO2019/03-0224dk</v>
          </cell>
        </row>
        <row r="103">
          <cell r="A103" t="str">
            <v>Р. Македонија - државна обврзница DO2016/12-0431dk</v>
          </cell>
        </row>
        <row r="104">
          <cell r="A104" t="str">
            <v>Р. Македонија - државна обврзница DO2020/05-0522</v>
          </cell>
        </row>
        <row r="105">
          <cell r="A105" t="str">
            <v>Р. Македонија - државна обврзница DO2021/09-0526</v>
          </cell>
        </row>
        <row r="106">
          <cell r="A106" t="str">
            <v>Р. Македонија - државна обврзница DO2016/23-1031dk</v>
          </cell>
        </row>
        <row r="107">
          <cell r="A107" t="str">
            <v>Р. Македонија - државна обврзница DO2021/15-1036</v>
          </cell>
        </row>
        <row r="108">
          <cell r="A108" t="str">
            <v>Р. Македонија - државна обврзница DO2018/07-0223</v>
          </cell>
        </row>
        <row r="109">
          <cell r="A109" t="str">
            <v>Р. Македонија - државна обврзница DO2018/08-0233dk</v>
          </cell>
        </row>
        <row r="110">
          <cell r="A110" t="str">
            <v>Р. Македонија - државна обврзница DO2021/07-0436</v>
          </cell>
        </row>
        <row r="111">
          <cell r="A111" t="str">
            <v>Р. Македонија - државна обврзница DO2021/08-0436dk</v>
          </cell>
        </row>
        <row r="112">
          <cell r="A112" t="str">
            <v>Р. Македонија - државна обврзница DO2020/08-1030</v>
          </cell>
        </row>
        <row r="113">
          <cell r="A113" t="str">
            <v>Р. Македонија - државна обврзница DO2020/09-1030dk</v>
          </cell>
        </row>
        <row r="114">
          <cell r="A114" t="str">
            <v>Р. Македонија - државна обврзница DO2017/06-0232dk</v>
          </cell>
        </row>
        <row r="115">
          <cell r="A115" t="str">
            <v>Р. Македонија - државна обврзница DO2015/15-0430dk</v>
          </cell>
        </row>
        <row r="116">
          <cell r="A116" t="str">
            <v>Р. Македонија - државна обврзница DO2019/08-0524</v>
          </cell>
        </row>
        <row r="117">
          <cell r="A117" t="str">
            <v>Р. Македонија - државна обврзница DO2019/09-0534</v>
          </cell>
        </row>
        <row r="118">
          <cell r="A118" t="str">
            <v>Р. Македонија - државна обврзница DO2021/14-0936</v>
          </cell>
        </row>
        <row r="119">
          <cell r="A119" t="str">
            <v>Р. Македонија - државна обврзница DO2014/27-1024</v>
          </cell>
        </row>
        <row r="120">
          <cell r="A120" t="str">
            <v>Р. Македонија - државна обврзница DO2014/28-1024dk</v>
          </cell>
        </row>
        <row r="121">
          <cell r="A121" t="str">
            <v>Р. Македонија - државна обврзница DO2021/17-1224</v>
          </cell>
        </row>
        <row r="122">
          <cell r="A122" t="str">
            <v>Р. Македонија - државна обврзница DO2016/08-0331dk</v>
          </cell>
        </row>
        <row r="123">
          <cell r="A123" t="str">
            <v>Р. Македонија - државна обврзница DO2021/10-0636</v>
          </cell>
        </row>
        <row r="124">
          <cell r="A124" t="str">
            <v>Р. Македонија - државна обврзница DO2021/11-0636dk</v>
          </cell>
        </row>
        <row r="125">
          <cell r="A125" t="str">
            <v>Р. Македонија - државна обврзница DO2017/23-0822dk</v>
          </cell>
        </row>
        <row r="126">
          <cell r="A126" t="str">
            <v>Р. Македонија - државна обврзница DO2017/24-0832dk</v>
          </cell>
        </row>
        <row r="127">
          <cell r="A127" t="str">
            <v>Р. Македонија - државна обврзница DO2015/37-0930dk</v>
          </cell>
        </row>
        <row r="128">
          <cell r="A128" t="str">
            <v>Р. Македонија - државна обврзница DO2019/13-1024</v>
          </cell>
        </row>
        <row r="129">
          <cell r="A129" t="str">
            <v>Р. Македонија - државна обврзница DO2020/16-1222dk</v>
          </cell>
        </row>
        <row r="130">
          <cell r="A130" t="str">
            <v>Р. Македонија - државна обврзница DO2015/45-1225dk</v>
          </cell>
        </row>
        <row r="131">
          <cell r="A131" t="str">
            <v>Р. Македонија - државна обврзница DO2021/03-0224</v>
          </cell>
        </row>
        <row r="132">
          <cell r="A132" t="str">
            <v>Р. Македонија - државна обврзница DO2019/06-0449dk</v>
          </cell>
        </row>
        <row r="133">
          <cell r="A133" t="str">
            <v>Р. Македонија - државна обврзница DO2020/06-0635</v>
          </cell>
        </row>
        <row r="134">
          <cell r="A134" t="str">
            <v>Р. Македонија - државна обврзница DO2019/10-0749dk</v>
          </cell>
        </row>
        <row r="135">
          <cell r="A135" t="str">
            <v>Р. Македонија - државна обврзница DO2016/17-0826</v>
          </cell>
        </row>
        <row r="136">
          <cell r="A136" t="str">
            <v>Р. Македонија - државна обврзница DO2016/18-0826dk</v>
          </cell>
        </row>
        <row r="137">
          <cell r="A137" t="str">
            <v>Р. Македонија - државна обврзница DO2016/19-0831dk</v>
          </cell>
        </row>
        <row r="138">
          <cell r="A138" t="str">
            <v>Р. Македонија - државна обврзница DO2018/23-1048dk</v>
          </cell>
        </row>
        <row r="139">
          <cell r="A139" t="str">
            <v>Р. Македонија - државна обврзница DO2021/16-1136dk</v>
          </cell>
        </row>
        <row r="140">
          <cell r="A140" t="str">
            <v>Р. Македонија - државна обврзница DO2018/14-0723</v>
          </cell>
        </row>
        <row r="141">
          <cell r="A141" t="str">
            <v>Р. Македонија - државна обврзница DO2018/15-0748dk</v>
          </cell>
        </row>
        <row r="142">
          <cell r="A142" t="str">
            <v>Р. Македонија - државна обврзница DO2019/12-0934</v>
          </cell>
        </row>
        <row r="143">
          <cell r="A143" t="str">
            <v>Р. Македонија - државна обврзница DO2017/32-1032dk</v>
          </cell>
        </row>
        <row r="144">
          <cell r="A144" t="str">
            <v>Р. Македонија - државна обврзница DO2020/13-1123dk</v>
          </cell>
        </row>
        <row r="145">
          <cell r="A145" t="str">
            <v>Р. Македонија - државна обврзница DO2015/42-1125dk</v>
          </cell>
        </row>
        <row r="146">
          <cell r="A146" t="str">
            <v>Р. Македонија - државна обврзница DO2015/43-1130dk</v>
          </cell>
        </row>
        <row r="147">
          <cell r="A147" t="str">
            <v>Р. Македонија - државна обврзница DO2017/20-0732dk</v>
          </cell>
        </row>
        <row r="148">
          <cell r="A148" t="str">
            <v>Р. Македонија - државна обврзница DO2015/32-0825</v>
          </cell>
        </row>
        <row r="149">
          <cell r="A149" t="str">
            <v>Р. Македонија - државна обврзница DO2015/33-0830dk</v>
          </cell>
        </row>
        <row r="150">
          <cell r="A150" t="str">
            <v>Р. Македонија - државна обврзница DO2018/19-0933</v>
          </cell>
        </row>
        <row r="151">
          <cell r="A151" t="str">
            <v>Р. Македонија - државна обврзница DO2018/20-0933dk</v>
          </cell>
        </row>
        <row r="152">
          <cell r="A152" t="str">
            <v>Р. Македонија - државна обврзница DO2015/18-0525dk</v>
          </cell>
        </row>
        <row r="153">
          <cell r="A153" t="str">
            <v>Р. Македонија - државна обврзница DO2018/13-0633dk</v>
          </cell>
        </row>
        <row r="154">
          <cell r="A154" t="str">
            <v>Р. Македонија - државна обврзница DO2014/18-0824dk</v>
          </cell>
        </row>
        <row r="155">
          <cell r="A155" t="str">
            <v>Р. Македонија - државна обврзница DO2017/27-0932dk</v>
          </cell>
        </row>
        <row r="156">
          <cell r="A156" t="str">
            <v>Р. Македонија - државна обврзница DO2016/03-0131dk</v>
          </cell>
        </row>
        <row r="157">
          <cell r="A157" t="str">
            <v>Р. Македонија - државна обврзница DO2017/17-0632dk</v>
          </cell>
        </row>
        <row r="158">
          <cell r="A158" t="str">
            <v>Р. Македонија - државна обврзница DO2016/21-0931dk</v>
          </cell>
        </row>
        <row r="159">
          <cell r="A159" t="str">
            <v>Р. Македонија - државна обврзница DO2018/27-1133dk</v>
          </cell>
          <cell r="B159">
            <v>106.8</v>
          </cell>
        </row>
        <row r="160">
          <cell r="A160" t="str">
            <v>Р. Македонија - државна обврзница DO2016/29-1231dk</v>
          </cell>
        </row>
        <row r="161">
          <cell r="A161" t="str">
            <v>Р. Македонија - државна обврзница DO2014/02-0124</v>
          </cell>
        </row>
        <row r="162">
          <cell r="A162" t="str">
            <v>Р. Македонија - државна обврзница DO2014/03-0124dk</v>
          </cell>
        </row>
        <row r="163">
          <cell r="A163" t="str">
            <v>Р. Македонија - државна обврзница DO2017/10-0332dk</v>
          </cell>
        </row>
        <row r="164">
          <cell r="A164" t="str">
            <v>Р. Македонија - државна обврзница DO2016/14-0631dk</v>
          </cell>
        </row>
        <row r="165">
          <cell r="A165" t="str">
            <v>Р. Македонија - државна обврзница DO2015/27-0725dk</v>
          </cell>
        </row>
        <row r="166">
          <cell r="A166" t="str">
            <v>Р. Македонија - државна обврзница DO2015/28-0730dk</v>
          </cell>
        </row>
        <row r="167">
          <cell r="A167" t="str">
            <v>Р. Македонија - државна обврзница DO2017/36-1132dk</v>
          </cell>
        </row>
        <row r="168">
          <cell r="A168" t="str">
            <v>Р. Македонија - државна обврзница DO2016/09-0326</v>
          </cell>
        </row>
        <row r="169">
          <cell r="A169" t="str">
            <v>Р. Македонија - државна обврзница DO2014/17-0724dk</v>
          </cell>
        </row>
        <row r="170">
          <cell r="A170" t="str">
            <v>Р. Македонија - државна обврзница DO2015/38-0925dk</v>
          </cell>
        </row>
        <row r="171">
          <cell r="A171" t="str">
            <v>Р. Македонија - државна обврзница DO2015/39-0930dk</v>
          </cell>
        </row>
        <row r="172">
          <cell r="A172" t="str">
            <v>Р. Македонија - државна обврзница DO2015/46-1225dk</v>
          </cell>
        </row>
        <row r="173">
          <cell r="A173" t="str">
            <v>Р. Македонија - државна обврзница DO2018/04-0133</v>
          </cell>
        </row>
        <row r="174">
          <cell r="A174" t="str">
            <v>Р. Македонија - државна обврзница DO2018/05-0133dk</v>
          </cell>
          <cell r="B174">
            <v>112.2</v>
          </cell>
        </row>
        <row r="175">
          <cell r="A175" t="str">
            <v>Р. Македонија - државна обврзница DO2015/20-0625</v>
          </cell>
        </row>
        <row r="176">
          <cell r="A176" t="str">
            <v>Р. Македонија - државна обврзница DO2015/21-0625dk</v>
          </cell>
        </row>
        <row r="177">
          <cell r="A177" t="str">
            <v>Р. Македонија - државна обврзница DO2015/22-0630dk</v>
          </cell>
        </row>
        <row r="178">
          <cell r="A178" t="str">
            <v>Р. Македонија - државна обврзница DO2017/05-0132dk</v>
          </cell>
        </row>
        <row r="179">
          <cell r="A179" t="str">
            <v>Р. Македонија - државна обврзница DO2015/08-0230dk</v>
          </cell>
        </row>
        <row r="180">
          <cell r="A180" t="str">
            <v>Р. Македонија - државна обврзница DO2015/12-0325</v>
          </cell>
        </row>
        <row r="181">
          <cell r="A181" t="str">
            <v>Р. Македонија - државна обврзница DO2015/13-0330dk</v>
          </cell>
        </row>
        <row r="182">
          <cell r="A182" t="str">
            <v>Р. Македонија - државна обврзница DO2018/11-0448dk</v>
          </cell>
        </row>
        <row r="183">
          <cell r="A183" t="str">
            <v>Р. Македонија - државна обврзница DO2022/02-0125</v>
          </cell>
        </row>
        <row r="184">
          <cell r="A184" t="str">
            <v>Р. Македонија - државна обврзница DO2015/34-0825</v>
          </cell>
        </row>
        <row r="185">
          <cell r="A185" t="str">
            <v>Р. Македонија - државна обврзница DO2015/35-0825dk</v>
          </cell>
        </row>
        <row r="186">
          <cell r="A186" t="str">
            <v>Р. Македонија - државна обврзница DO2015/36-0830dk</v>
          </cell>
        </row>
        <row r="187">
          <cell r="A187" t="str">
            <v>Р. Македонија - државна обврзница DO2021/02-0123</v>
          </cell>
        </row>
        <row r="188">
          <cell r="A188" t="str">
            <v>Р. Македонија - државна обврзница DO2016/04-0131dk</v>
          </cell>
        </row>
        <row r="189">
          <cell r="A189" t="str">
            <v>Р. Македонија - државна обврзница DO2019/04-0234</v>
          </cell>
          <cell r="B189">
            <v>107.1</v>
          </cell>
        </row>
        <row r="190">
          <cell r="A190" t="str">
            <v>Р. Македонија - државна обврзница DO2016/16-0731dk</v>
          </cell>
        </row>
        <row r="191">
          <cell r="A191" t="str">
            <v>Р. Македонија - државна обврзница DO2015/03-0125</v>
          </cell>
        </row>
        <row r="192">
          <cell r="A192" t="str">
            <v>Р. Македонија - државна обврзница DO2015/04-0125dk</v>
          </cell>
        </row>
        <row r="193">
          <cell r="A193" t="str">
            <v>Р. Македонија - државна обврзница DO2017/18-0632dk</v>
          </cell>
        </row>
        <row r="194">
          <cell r="A194" t="str">
            <v>Р. Македонија - држaвна обврзница DO2021/12-0724</v>
          </cell>
        </row>
        <row r="195">
          <cell r="A195" t="str">
            <v>Р. Македонија - државна обврзница DO2016/22-0931dk</v>
          </cell>
        </row>
        <row r="196">
          <cell r="A196" t="str">
            <v>Р. Македонија - државна обврзница DO2015/41-1030dk</v>
          </cell>
        </row>
        <row r="197">
          <cell r="A197" t="str">
            <v>Р. Македонија - државна обврзница DO2020/10-1035</v>
          </cell>
        </row>
        <row r="198">
          <cell r="A198" t="str">
            <v>Р. Македонија - државна обврзница DO2020/01-0150dk</v>
          </cell>
        </row>
        <row r="199">
          <cell r="A199" t="str">
            <v>Р. Македонија - државна обврзница DO2017/11-0332dk</v>
          </cell>
        </row>
        <row r="200">
          <cell r="A200" t="str">
            <v>Р. Македонија - државна обврзница DO2020/04-0450dk</v>
          </cell>
        </row>
        <row r="201">
          <cell r="A201" t="str">
            <v>Р. Македонија - државна обврзница DO2015/29-0730dk</v>
          </cell>
        </row>
        <row r="202">
          <cell r="A202" t="str">
            <v>Р. Македонија - државна обврзница DO2014/30-1024dk</v>
          </cell>
        </row>
        <row r="203">
          <cell r="A203" t="str">
            <v>Р. Македонија - државна обврзница DO2017/37-1132dk</v>
          </cell>
        </row>
        <row r="204">
          <cell r="A204" t="str">
            <v>Р. Македонија - државна обврзница DO2019/02-0149dk</v>
          </cell>
        </row>
        <row r="205">
          <cell r="A205" t="str">
            <v>Р. Македонија - државна обврзница DO2016/10-0331dk</v>
          </cell>
        </row>
        <row r="206">
          <cell r="A206" t="str">
            <v>Р. Македонија - државна обврзница DO2019/14-1049dk</v>
          </cell>
          <cell r="B206">
            <v>103.5</v>
          </cell>
        </row>
        <row r="207">
          <cell r="A207" t="str">
            <v>Р. Македонија - државна обврзница DO2020/17-1222</v>
          </cell>
        </row>
        <row r="208">
          <cell r="A208" t="str">
            <v>Р. Македонија - државна обврзница DO2020/18-1222dk</v>
          </cell>
        </row>
        <row r="209">
          <cell r="A209" t="str">
            <v>Р. Македонија - државна обврзница DO2020/19-1223</v>
          </cell>
        </row>
        <row r="210">
          <cell r="A210" t="str">
            <v>Р. Македонија - државна обврзница DO2020/20-1223dk</v>
          </cell>
        </row>
        <row r="211">
          <cell r="A211" t="str">
            <v>Р. Македонија - денационализација 11</v>
          </cell>
          <cell r="B211">
            <v>99.5</v>
          </cell>
        </row>
        <row r="212">
          <cell r="A212" t="str">
            <v>Р. Македонија - денационализација 12</v>
          </cell>
          <cell r="B212">
            <v>99.31</v>
          </cell>
        </row>
        <row r="213">
          <cell r="A213" t="str">
            <v>Р. Македонија - денационализација 13</v>
          </cell>
          <cell r="B213">
            <v>98</v>
          </cell>
        </row>
        <row r="214">
          <cell r="A214" t="str">
            <v>Р. Македонија - денационализација 14</v>
          </cell>
          <cell r="B214">
            <v>99</v>
          </cell>
        </row>
        <row r="215">
          <cell r="A215" t="str">
            <v>Р. Македонија - денационализација 15</v>
          </cell>
          <cell r="B215">
            <v>99</v>
          </cell>
        </row>
        <row r="216">
          <cell r="A216" t="str">
            <v>Р. Македонија - денационализација 16</v>
          </cell>
          <cell r="B216">
            <v>99</v>
          </cell>
        </row>
        <row r="217">
          <cell r="A217" t="str">
            <v>Р. Македонија - денационализација 17</v>
          </cell>
          <cell r="B217">
            <v>99.8</v>
          </cell>
        </row>
        <row r="218">
          <cell r="A218" t="str">
            <v>Р. Македонија - денационализација 18</v>
          </cell>
          <cell r="B218">
            <v>99.58</v>
          </cell>
        </row>
        <row r="219">
          <cell r="A219" t="str">
            <v>Р. Македонија - денационализација 19</v>
          </cell>
          <cell r="B219">
            <v>99</v>
          </cell>
        </row>
        <row r="220">
          <cell r="A220" t="str">
            <v>Р. Македонија - денационализација 20</v>
          </cell>
          <cell r="B220">
            <v>99.8</v>
          </cell>
        </row>
        <row r="221">
          <cell r="A221" t="str">
            <v>ТТК банка АД Скопје - корпоративна обврзница I емисија</v>
          </cell>
        </row>
        <row r="222">
          <cell r="A222" t="str">
            <v>ТТК банка АД Скопје - корпоративна обврзница II емисија</v>
          </cell>
        </row>
        <row r="223">
          <cell r="A223" t="str">
            <v>Берзанска котација - други хартии од вредност</v>
          </cell>
        </row>
        <row r="224">
          <cell r="A224" t="str">
            <v>Универзална Инвестициона Банка Скопје - перпетуални обврзници</v>
          </cell>
          <cell r="B224">
            <v>101.5</v>
          </cell>
        </row>
        <row r="225">
          <cell r="A225" t="str">
            <v>Задолжителна котација - обични акции</v>
          </cell>
        </row>
        <row r="226">
          <cell r="A226" t="str">
            <v>Адинг Скопје</v>
          </cell>
          <cell r="B226">
            <v>760</v>
          </cell>
        </row>
        <row r="227">
          <cell r="A227" t="str">
            <v>Агромеханика Скопје</v>
          </cell>
          <cell r="B227">
            <v>300</v>
          </cell>
        </row>
        <row r="228">
          <cell r="A228" t="str">
            <v>Ангропромет-Тиквешанка Кавадарци</v>
          </cell>
          <cell r="B228">
            <v>750</v>
          </cell>
        </row>
        <row r="229">
          <cell r="A229" t="str">
            <v>Аутомакедонија Скопје</v>
          </cell>
          <cell r="B229">
            <v>2700</v>
          </cell>
        </row>
        <row r="230">
          <cell r="A230" t="str">
            <v>Рудници Бањани Скопје</v>
          </cell>
          <cell r="B230">
            <v>603</v>
          </cell>
        </row>
        <row r="231">
          <cell r="A231" t="str">
            <v>Кристал 1923 АД Велес</v>
          </cell>
          <cell r="B231">
            <v>150</v>
          </cell>
        </row>
        <row r="232">
          <cell r="A232" t="str">
            <v>БИМ Свети Николе</v>
          </cell>
          <cell r="B232">
            <v>15550</v>
          </cell>
        </row>
        <row r="233">
          <cell r="A233" t="str">
            <v>ФЗЦ 11 Октомври Куманово</v>
          </cell>
          <cell r="B233">
            <v>400</v>
          </cell>
        </row>
        <row r="234">
          <cell r="A234" t="str">
            <v>Централна кооперативна банка Скопје</v>
          </cell>
          <cell r="B234">
            <v>600</v>
          </cell>
        </row>
        <row r="235">
          <cell r="A235" t="str">
            <v>Дебарски бањи Дебар</v>
          </cell>
          <cell r="B235">
            <v>1550</v>
          </cell>
        </row>
        <row r="236">
          <cell r="A236" t="str">
            <v>Димко Митрев Велес</v>
          </cell>
          <cell r="B236">
            <v>185</v>
          </cell>
        </row>
        <row r="237">
          <cell r="A237" t="str">
            <v>Единство Струмица</v>
          </cell>
          <cell r="B237">
            <v>303</v>
          </cell>
        </row>
        <row r="238">
          <cell r="A238" t="str">
            <v>Европа Скопје</v>
          </cell>
          <cell r="B238">
            <v>2900</v>
          </cell>
        </row>
        <row r="239">
          <cell r="A239" t="str">
            <v>Факом Скопје</v>
          </cell>
          <cell r="B239">
            <v>7200</v>
          </cell>
        </row>
        <row r="240">
          <cell r="A240" t="str">
            <v>Фустеларко Борец Битола</v>
          </cell>
        </row>
        <row r="241">
          <cell r="A241" t="str">
            <v>Герас Цунев конфекција Струмица</v>
          </cell>
          <cell r="B241">
            <v>500</v>
          </cell>
        </row>
        <row r="242">
          <cell r="A242" t="str">
            <v>Герас Цунев трговија Струмица</v>
          </cell>
        </row>
        <row r="243">
          <cell r="A243" t="str">
            <v>Грозд Струмица</v>
          </cell>
        </row>
        <row r="244">
          <cell r="A244" t="str">
            <v>Градски Трговски Центар Скопје</v>
          </cell>
          <cell r="B244">
            <v>1790</v>
          </cell>
        </row>
        <row r="245">
          <cell r="A245" t="str">
            <v>Интерпромет Тетово</v>
          </cell>
          <cell r="B245">
            <v>4500</v>
          </cell>
        </row>
        <row r="246">
          <cell r="A246" t="str">
            <v>Македонија осигурување АД Скопје - Виена Иншуренс Груп</v>
          </cell>
        </row>
        <row r="247">
          <cell r="A247" t="str">
            <v>Кланица со ладилник Струмица</v>
          </cell>
          <cell r="B247">
            <v>120</v>
          </cell>
        </row>
        <row r="248">
          <cell r="A248" t="str">
            <v>Фруктал МАК Скопје</v>
          </cell>
          <cell r="B248">
            <v>119</v>
          </cell>
        </row>
        <row r="249">
          <cell r="A249" t="str">
            <v>Карпош Скопје</v>
          </cell>
          <cell r="B249">
            <v>333</v>
          </cell>
        </row>
        <row r="250">
          <cell r="A250" t="str">
            <v>Лотарија на Македонија Скопје</v>
          </cell>
        </row>
        <row r="251">
          <cell r="A251" t="str">
            <v>Пелистерка АД Скопје</v>
          </cell>
        </row>
        <row r="252">
          <cell r="A252" t="str">
            <v>Макпромет Штип</v>
          </cell>
          <cell r="B252">
            <v>553</v>
          </cell>
        </row>
        <row r="253">
          <cell r="A253" t="str">
            <v>Мермерен комбинат Прилеп</v>
          </cell>
        </row>
        <row r="254">
          <cell r="A254" t="str">
            <v>Мода Свети Николе</v>
          </cell>
          <cell r="B254">
            <v>100</v>
          </cell>
        </row>
        <row r="255">
          <cell r="A255" t="str">
            <v>Вабтек МЗТ Скопје</v>
          </cell>
          <cell r="B255">
            <v>3133</v>
          </cell>
        </row>
        <row r="256">
          <cell r="A256" t="str">
            <v>МЗТ Пумпи Скопје</v>
          </cell>
        </row>
        <row r="257">
          <cell r="A257" t="str">
            <v>Огражден Струмица</v>
          </cell>
        </row>
        <row r="258">
          <cell r="A258" t="str">
            <v>Нова стоковна куќа Струмица</v>
          </cell>
        </row>
        <row r="259">
          <cell r="A259" t="str">
            <v>Оилко КДА Скопје</v>
          </cell>
        </row>
        <row r="260">
          <cell r="A260" t="str">
            <v>ОКТА Скопје</v>
          </cell>
        </row>
        <row r="261">
          <cell r="A261" t="str">
            <v>Оранжерии Хамзали Струмица</v>
          </cell>
        </row>
        <row r="262">
          <cell r="A262" t="str">
            <v>Пекабеско Скопје</v>
          </cell>
        </row>
        <row r="263">
          <cell r="A263" t="str">
            <v>Попова Кула Демир Капија</v>
          </cell>
        </row>
        <row r="264">
          <cell r="A264" t="str">
            <v>Прилепска Пиварница Прилеп</v>
          </cell>
        </row>
        <row r="265">
          <cell r="A265" t="str">
            <v>Раде Кончар Скопје</v>
          </cell>
        </row>
        <row r="266">
          <cell r="A266" t="str">
            <v>РЖ Економика Скопје</v>
          </cell>
        </row>
        <row r="267">
          <cell r="A267" t="str">
            <v>Либерти АД Скопје</v>
          </cell>
        </row>
        <row r="268">
          <cell r="A268" t="str">
            <v>РЖ Техничка контрола Скопје</v>
          </cell>
        </row>
        <row r="269">
          <cell r="A269" t="str">
            <v>РЖ Уготур Скопје</v>
          </cell>
        </row>
        <row r="270">
          <cell r="A270" t="str">
            <v>Современ дом Прилеп</v>
          </cell>
        </row>
        <row r="271">
          <cell r="A271" t="str">
            <v>Силекс Кратово</v>
          </cell>
        </row>
        <row r="272">
          <cell r="A272" t="str">
            <v>Славеј Скопје</v>
          </cell>
        </row>
        <row r="273">
          <cell r="A273" t="str">
            <v>Струмичко поле с.Василево</v>
          </cell>
        </row>
        <row r="274">
          <cell r="A274" t="str">
            <v>Сигурносно стакло Прилеп</v>
          </cell>
        </row>
        <row r="275">
          <cell r="A275" t="str">
            <v>Стопанска банка Скопје</v>
          </cell>
        </row>
        <row r="276">
          <cell r="A276" t="str">
            <v>Стокопромет Скопје</v>
          </cell>
        </row>
        <row r="277">
          <cell r="A277" t="str">
            <v>Тајмиште Кичево</v>
          </cell>
        </row>
        <row r="278">
          <cell r="A278" t="str">
            <v>ТЕАЛ-Алумина Тетово</v>
          </cell>
        </row>
        <row r="279">
          <cell r="A279" t="str">
            <v>Технокомерц Скопје</v>
          </cell>
        </row>
        <row r="280">
          <cell r="A280" t="str">
            <v>Македонски Телеком Скопје</v>
          </cell>
        </row>
        <row r="281">
          <cell r="A281" t="str">
            <v>ГД-Тиквеш Кавадарци</v>
          </cell>
        </row>
        <row r="282">
          <cell r="A282" t="str">
            <v>НЛБ Банка АД Скопје</v>
          </cell>
        </row>
        <row r="283">
          <cell r="A283" t="str">
            <v>Транскоп-Патнички сооб. Битола</v>
          </cell>
        </row>
        <row r="284">
          <cell r="A284" t="str">
            <v>Трготекстил малопродажба Скопје</v>
          </cell>
        </row>
        <row r="285">
          <cell r="A285" t="str">
            <v>Универзална Инвестициона Банка Скопје</v>
          </cell>
        </row>
        <row r="286">
          <cell r="A286" t="str">
            <v>Цементарница УСЈЕ Скопје</v>
          </cell>
        </row>
        <row r="287">
          <cell r="A287" t="str">
            <v>Триглав осигурување Скопје</v>
          </cell>
        </row>
        <row r="288">
          <cell r="A288" t="str">
            <v>Ветекс Велес</v>
          </cell>
        </row>
        <row r="289">
          <cell r="A289" t="str">
            <v>ЖАС Скопје</v>
          </cell>
        </row>
        <row r="290">
          <cell r="A290" t="str">
            <v>Жито Караорман Кичево</v>
          </cell>
        </row>
        <row r="291">
          <cell r="A291" t="str">
            <v>Жито Полог Тетово</v>
          </cell>
        </row>
        <row r="292">
          <cell r="A292" t="str">
            <v>Задолжителна котација - приоритетни акции</v>
          </cell>
        </row>
        <row r="293">
          <cell r="A293" t="str">
            <v>Стопанска банка Скопје</v>
          </cell>
        </row>
        <row r="294">
          <cell r="A294" t="str">
            <v>Редовен пазар</v>
          </cell>
        </row>
        <row r="295">
          <cell r="A295" t="str">
            <v>Пазар на акционерски друштва со посебни обврски за известување - обични акции</v>
          </cell>
        </row>
        <row r="296">
          <cell r="A296" t="str">
            <v>Агросервис Скопје</v>
          </cell>
        </row>
        <row r="297">
          <cell r="A297" t="str">
            <v>Шпаркасе банка Македонија АД Скопје</v>
          </cell>
        </row>
        <row r="298">
          <cell r="A298" t="str">
            <v>Слободен пазар - обични акции</v>
          </cell>
        </row>
        <row r="299">
          <cell r="A299" t="str">
            <v>Квасара Битола</v>
          </cell>
        </row>
        <row r="300">
          <cell r="A300" t="str">
            <v>АрцелорМиттал (ХРМ) АД Скопје - долгорочно суспендирано од котација</v>
          </cell>
        </row>
        <row r="301">
          <cell r="A301" t="str">
            <v>Солун 2001 Гевгелија</v>
          </cell>
        </row>
        <row r="302">
          <cell r="A302" t="str">
            <v>Јавни берзански аукции</v>
          </cell>
        </row>
        <row r="303">
          <cell r="A303" t="str">
            <v>Продажба по модел „се или ништо“</v>
          </cell>
        </row>
        <row r="304">
          <cell r="A304" t="str">
            <v>Реплек АД Скопје</v>
          </cell>
        </row>
        <row r="305">
          <cell r="A305" t="str">
            <v>Вкупен промет на сите пазарни сегменти: 20.915.431,00</v>
          </cell>
        </row>
        <row r="306">
          <cell r="A306" t="str">
            <v>МБИ10</v>
          </cell>
        </row>
        <row r="307">
          <cell r="A307" t="str">
            <v>ОМБ</v>
          </cell>
        </row>
        <row r="308">
          <cell r="A308" t="str">
            <v>1 EUR = 61,6950 МКД</v>
          </cell>
        </row>
      </sheetData>
      <sheetData sheetId="1"/>
      <sheetData sheetId="2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  <cell r="B6">
            <v>12148.85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  <cell r="B21">
            <v>51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  <cell r="B26">
            <v>250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DO2014/16-0724dk</v>
          </cell>
        </row>
        <row r="46">
          <cell r="A46" t="str">
            <v>Р. Македонија - државна обврзница DO2016/26-1131dk</v>
          </cell>
        </row>
        <row r="47">
          <cell r="A47" t="str">
            <v>Р. Македонија - државна обврзница DO2020/14-1223</v>
          </cell>
        </row>
        <row r="48">
          <cell r="A48" t="str">
            <v>Р. Македонија - државна обврзница DO2015/44-1230dk</v>
          </cell>
        </row>
        <row r="49">
          <cell r="A49" t="str">
            <v>Р. Македонија - државна обврзница DO2020/15-1235dk</v>
          </cell>
        </row>
        <row r="50">
          <cell r="A50" t="str">
            <v>Р. Македонија - државна обврзница DO2021/04-0336</v>
          </cell>
        </row>
        <row r="51">
          <cell r="A51" t="str">
            <v>Р. Македонија - државна обврзница DO2017/14-0532dk</v>
          </cell>
        </row>
        <row r="52">
          <cell r="A52" t="str">
            <v>Р. Македонија - државна обврзница DO2015/19-0630dk</v>
          </cell>
        </row>
        <row r="53">
          <cell r="A53" t="str">
            <v>Р. Македонија - државна обврзница DO2014/19-0924dk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DO2020/03-0325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дрзжвна обврзница ДО2021/13-0836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DO2020/11-1122</v>
          </cell>
        </row>
        <row r="60">
          <cell r="A60" t="str">
            <v>Р. Македонија - државна обврзница DO2020/12-1125</v>
          </cell>
        </row>
        <row r="61">
          <cell r="A61" t="str">
            <v>Р. Македонија - државна обврзница DO2019/16-1234dk</v>
          </cell>
        </row>
        <row r="62">
          <cell r="A62" t="str">
            <v>Р. Македонија - државна обврзница DO2017/12-0432dk</v>
          </cell>
        </row>
        <row r="63">
          <cell r="A63" t="str">
            <v>Р. Македонија - државна обврзница DO2017/19-0732dk</v>
          </cell>
        </row>
        <row r="64">
          <cell r="A64" t="str">
            <v>Р. Македонија - државна обврзница DO2015/30-0825dk</v>
          </cell>
        </row>
        <row r="65">
          <cell r="A65" t="str">
            <v>Р. Македонија - државна обврзница DO2015/31-0830dk</v>
          </cell>
        </row>
        <row r="66">
          <cell r="A66" t="str">
            <v>Р. Македонија - државна обврзница DO2020/07-0850dk</v>
          </cell>
        </row>
        <row r="67">
          <cell r="A67" t="str">
            <v>Р. Македонија - државна обврзница DO2019/05-0324</v>
          </cell>
        </row>
        <row r="68">
          <cell r="A68" t="str">
            <v>Р. Македонија - државна обврзница DO2016/11-0426dk</v>
          </cell>
        </row>
        <row r="69">
          <cell r="A69" t="str">
            <v>Р. Македонија - државна обврзница DO2015/17-0530dk</v>
          </cell>
        </row>
        <row r="70">
          <cell r="A70" t="str">
            <v>Р. Македонија - државна обврзница DO2018/12-0633</v>
          </cell>
        </row>
        <row r="71">
          <cell r="A71" t="str">
            <v>Р. Македонија - државна обврзница DO2017/26-0932dk</v>
          </cell>
        </row>
        <row r="72">
          <cell r="A72" t="str">
            <v>Р. Македонија - државна обврзница DO2019/15-1134</v>
          </cell>
        </row>
        <row r="73">
          <cell r="A73" t="str">
            <v>Р. Македонија - државна обврзница DO2017/38-1232dk</v>
          </cell>
        </row>
        <row r="74">
          <cell r="A74" t="str">
            <v>Р. Македонија - државна обврзница DO2018/10-0333dk</v>
          </cell>
        </row>
        <row r="75">
          <cell r="A75" t="str">
            <v>Р. Македонија - државна обврзница DO2017/16-0632dk</v>
          </cell>
        </row>
        <row r="76">
          <cell r="A76" t="str">
            <v>Р. Македонија - државна обврзница DO2016/15-0731dk</v>
          </cell>
        </row>
        <row r="77">
          <cell r="A77" t="str">
            <v>Р. Македонија - државна обврзница DO2019/11-0834dk</v>
          </cell>
        </row>
        <row r="78">
          <cell r="A78" t="str">
            <v>Р. Македонија - државна обврзница DO2015/40-1030dk</v>
          </cell>
        </row>
        <row r="79">
          <cell r="A79" t="str">
            <v>Р. Македонија - државна обврзница DO2017/08-0332dk</v>
          </cell>
        </row>
        <row r="80">
          <cell r="A80" t="str">
            <v>Р. Македонија - државна обврзница DO2016/13-0631dk</v>
          </cell>
        </row>
        <row r="81">
          <cell r="A81" t="str">
            <v>Р. Македонија - државна обврзница DO2015/23-0725</v>
          </cell>
        </row>
        <row r="82">
          <cell r="A82" t="str">
            <v>Р. Македонија - државна обврзница DO2015/24-0725dk</v>
          </cell>
        </row>
        <row r="83">
          <cell r="A83" t="str">
            <v>Р. Македонија - државна обврзница DO2015/25-0730dk</v>
          </cell>
        </row>
        <row r="84">
          <cell r="A84" t="str">
            <v>Р. Македонија - државна обврзница DO2018/17-0833dk</v>
          </cell>
        </row>
        <row r="85">
          <cell r="A85" t="str">
            <v>Р. Македонија - државна обврзница DO2017/21-0822dk</v>
          </cell>
        </row>
        <row r="86">
          <cell r="A86" t="str">
            <v>Р. Македонија - државна обврзница DO2017/22-0832dk</v>
          </cell>
        </row>
        <row r="87">
          <cell r="A87" t="str">
            <v>Р. Македонија - државна обврзница DO2018/02-0128</v>
          </cell>
        </row>
        <row r="88">
          <cell r="A88" t="str">
            <v>Р. Македонија - државна обврзница DO2018/03-0133dk</v>
          </cell>
        </row>
        <row r="89">
          <cell r="A89" t="str">
            <v>Р. Македонија - државна обврзница DO2016/05-0226</v>
          </cell>
        </row>
        <row r="90">
          <cell r="A90" t="str">
            <v>Р. Македонија - државна обврзница DO2016/06-0226dk</v>
          </cell>
        </row>
        <row r="91">
          <cell r="A91" t="str">
            <v>Р. Македонија - државна обврзница DO2016/07-0231dk</v>
          </cell>
        </row>
        <row r="92">
          <cell r="A92" t="str">
            <v>Р. Македонија - државна обврзница DO2017/02-0132dk</v>
          </cell>
        </row>
        <row r="93">
          <cell r="A93" t="str">
            <v>Р. Македонија - државна обврзница DO2015/05-0230dk</v>
          </cell>
        </row>
        <row r="94">
          <cell r="A94" t="str">
            <v>Р. Македонија - државна обврзница DO2015/09-0325</v>
          </cell>
        </row>
        <row r="95">
          <cell r="A95" t="str">
            <v>Р. Македонија - државна обврзница DO2015/10-0330dk</v>
          </cell>
        </row>
        <row r="96">
          <cell r="A96" t="str">
            <v>Р. Македонија - државна обврзница DO2022/01-0137</v>
          </cell>
        </row>
        <row r="97">
          <cell r="A97" t="str">
            <v>Р. Македонија - државна обврзница DO2020/02-0235</v>
          </cell>
        </row>
        <row r="98">
          <cell r="A98" t="str">
            <v>Р. Македонија - државна обврзница DO2016/01-0126dk</v>
          </cell>
        </row>
        <row r="99">
          <cell r="A99" t="str">
            <v>Р. Македонија - државна обврзница DO2016/02-0131dk</v>
          </cell>
        </row>
        <row r="100">
          <cell r="A100" t="str">
            <v>Р. Македонија - државна обврзница DO2021/01-0136</v>
          </cell>
        </row>
        <row r="101">
          <cell r="A101" t="str">
            <v>Р. Македонија - државна обврзница DO2019/03-0224dk</v>
          </cell>
        </row>
        <row r="102">
          <cell r="A102" t="str">
            <v>Р. Македонија - државна обврзница DO2016/12-0431dk</v>
          </cell>
        </row>
        <row r="103">
          <cell r="A103" t="str">
            <v>Р. Македонија - државна обврзница DO2020/05-0522</v>
          </cell>
        </row>
        <row r="104">
          <cell r="A104" t="str">
            <v>Р. Македонија - државна обврзница DO2021/09-0526</v>
          </cell>
        </row>
        <row r="105">
          <cell r="A105" t="str">
            <v>Р. Македонија - државна обврзница DO2016/23-1031dk</v>
          </cell>
        </row>
        <row r="106">
          <cell r="A106" t="str">
            <v>Р. Македонија - државна обврзница DO2021/15-1036</v>
          </cell>
        </row>
        <row r="107">
          <cell r="A107" t="str">
            <v>Р. Македонија - државна обврзница DO2018/07-0223</v>
          </cell>
        </row>
        <row r="108">
          <cell r="A108" t="str">
            <v>Р. Македонија - државна обврзница DO2018/08-0233dk</v>
          </cell>
        </row>
        <row r="109">
          <cell r="A109" t="str">
            <v>Р. Македонија - државна обврзница DO2021/07-0436</v>
          </cell>
        </row>
        <row r="110">
          <cell r="A110" t="str">
            <v>Р. Македонија - државна обврзница DO2021/08-0436dk</v>
          </cell>
        </row>
        <row r="111">
          <cell r="A111" t="str">
            <v>Р. Македонија - државна обврзница DO2020/08-1030</v>
          </cell>
        </row>
        <row r="112">
          <cell r="A112" t="str">
            <v>Р. Македонија - државна обврзница DO2020/09-1030dk</v>
          </cell>
        </row>
        <row r="113">
          <cell r="A113" t="str">
            <v>Р. Македонија - државна обврзница DO2017/06-0232dk</v>
          </cell>
        </row>
        <row r="114">
          <cell r="A114" t="str">
            <v>Р. Македонија - државна обврзница DO2015/15-0430dk</v>
          </cell>
        </row>
        <row r="115">
          <cell r="A115" t="str">
            <v>Р. Македонија - државна обврзница DO2019/08-0524</v>
          </cell>
        </row>
        <row r="116">
          <cell r="A116" t="str">
            <v>Р. Македонија - државна обврзница DO2019/09-0534</v>
          </cell>
        </row>
        <row r="117">
          <cell r="A117" t="str">
            <v>Р. Македонија - државна обврзница DO2021/14-0936</v>
          </cell>
        </row>
        <row r="118">
          <cell r="A118" t="str">
            <v>Р. Македонија - државна обврзница DO2014/27-1024</v>
          </cell>
        </row>
        <row r="119">
          <cell r="A119" t="str">
            <v>Р. Македонија - државна обврзница DO2014/28-1024dk</v>
          </cell>
        </row>
        <row r="120">
          <cell r="A120" t="str">
            <v>Р. Македонија - државна обврзница DO2021/17-1224</v>
          </cell>
        </row>
        <row r="121">
          <cell r="A121" t="str">
            <v>Р. Македонија - државна обврзница DO2016/08-0331dk</v>
          </cell>
        </row>
        <row r="122">
          <cell r="A122" t="str">
            <v>Р. Македонија - државна обврзница DO2021/10-0636</v>
          </cell>
        </row>
        <row r="123">
          <cell r="A123" t="str">
            <v>Р. Македонија - државна обврзница DO2021/11-0636dk</v>
          </cell>
        </row>
        <row r="124">
          <cell r="A124" t="str">
            <v>Р. Македонија - државна обврзница DO2017/23-0822dk</v>
          </cell>
        </row>
        <row r="125">
          <cell r="A125" t="str">
            <v>Р. Македонија - државна обврзница DO2017/24-0832dk</v>
          </cell>
        </row>
        <row r="126">
          <cell r="A126" t="str">
            <v>Р. Македонија - државна обврзница DO2015/37-0930dk</v>
          </cell>
        </row>
        <row r="127">
          <cell r="A127" t="str">
            <v>Р. Македонија - државна обврзница DO2019/13-1024</v>
          </cell>
        </row>
        <row r="128">
          <cell r="A128" t="str">
            <v>Р. Македонија - државна обврзница DO2020/16-1222dk</v>
          </cell>
        </row>
        <row r="129">
          <cell r="A129" t="str">
            <v>Р. Македонија - државна обврзница DO2015/45-1225dk</v>
          </cell>
        </row>
        <row r="130">
          <cell r="A130" t="str">
            <v>Р. Македонија - државна обврзница DO2021/03-0224</v>
          </cell>
        </row>
        <row r="131">
          <cell r="A131" t="str">
            <v>Р. Македонија - државна обврзница DO2019/06-0449dk</v>
          </cell>
        </row>
        <row r="132">
          <cell r="A132" t="str">
            <v>Р. Македонија - државна обврзница DO2020/06-0635</v>
          </cell>
        </row>
        <row r="133">
          <cell r="A133" t="str">
            <v>Р. Македонија - државна обврзница DO2019/10-0749dk</v>
          </cell>
        </row>
        <row r="134">
          <cell r="A134" t="str">
            <v>Р. Македонија - државна обврзница DO2016/17-0826</v>
          </cell>
        </row>
        <row r="135">
          <cell r="A135" t="str">
            <v>Р. Македонија - државна обврзница DO2016/18-0826dk</v>
          </cell>
        </row>
        <row r="136">
          <cell r="A136" t="str">
            <v>Р. Македонија - државна обврзница DO2016/19-0831dk</v>
          </cell>
        </row>
        <row r="137">
          <cell r="A137" t="str">
            <v>Р. Македонија - државна обврзница DO2018/23-1048dk</v>
          </cell>
        </row>
        <row r="138">
          <cell r="A138" t="str">
            <v>Р. Македонија - државна обврзница DO2021/16-1136dk</v>
          </cell>
        </row>
        <row r="139">
          <cell r="A139" t="str">
            <v>Р. Македонија - државна обврзница DO2018/14-0723</v>
          </cell>
        </row>
        <row r="140">
          <cell r="A140" t="str">
            <v>Р. Македонија - државна обврзница DO2018/15-0748dk</v>
          </cell>
        </row>
        <row r="141">
          <cell r="A141" t="str">
            <v>Р. Македонија - државна обврзница DO2019/12-0934</v>
          </cell>
        </row>
        <row r="142">
          <cell r="A142" t="str">
            <v>Р. Македонија - државна обврзница DO2017/32-1032dk</v>
          </cell>
        </row>
        <row r="143">
          <cell r="A143" t="str">
            <v>Р. Македонија - државна обврзница DO2020/13-1123dk</v>
          </cell>
        </row>
        <row r="144">
          <cell r="A144" t="str">
            <v>Р. Македонија - државна обврзница DO2015/42-1125dk</v>
          </cell>
        </row>
        <row r="145">
          <cell r="A145" t="str">
            <v>Р. Македонија - државна обврзница DO2015/43-1130dk</v>
          </cell>
        </row>
        <row r="146">
          <cell r="A146" t="str">
            <v>Р. Македонија - државна обврзница DO2017/20-0732dk</v>
          </cell>
        </row>
        <row r="147">
          <cell r="A147" t="str">
            <v>Р. Македонија - државна обврзница DO2015/32-0825</v>
          </cell>
        </row>
        <row r="148">
          <cell r="A148" t="str">
            <v>Р. Македонија - државна обврзница DO2015/33-0830dk</v>
          </cell>
        </row>
        <row r="149">
          <cell r="A149" t="str">
            <v>Р. Македонија - државна обврзница DO2018/19-0933</v>
          </cell>
        </row>
        <row r="150">
          <cell r="A150" t="str">
            <v>Р. Македонија - државна обврзница DO2018/20-0933dk</v>
          </cell>
        </row>
        <row r="151">
          <cell r="A151" t="str">
            <v>Р. Македонија - државна обврзница DO2015/18-0525dk</v>
          </cell>
        </row>
        <row r="152">
          <cell r="A152" t="str">
            <v>Р. Македонија - државна обврзница DO2018/13-0633dk</v>
          </cell>
        </row>
        <row r="153">
          <cell r="A153" t="str">
            <v>Р. Македонија - државна обврзница DO2014/18-0824dk</v>
          </cell>
        </row>
        <row r="154">
          <cell r="A154" t="str">
            <v>Р. Македонија - државна обврзница DO2017/27-0932dk</v>
          </cell>
        </row>
        <row r="155">
          <cell r="A155" t="str">
            <v>Р. Македонија - државна обврзница DO2016/03-0131dk</v>
          </cell>
        </row>
        <row r="156">
          <cell r="A156" t="str">
            <v>Р. Македонија - државна обврзница DO2017/17-0632dk</v>
          </cell>
        </row>
        <row r="157">
          <cell r="A157" t="str">
            <v>Р. Македонија - државна обврзница DO2016/21-0931dk</v>
          </cell>
        </row>
        <row r="158">
          <cell r="A158" t="str">
            <v>Р. Македонија - државна обврзница DO2018/27-1133dk</v>
          </cell>
        </row>
        <row r="159">
          <cell r="A159" t="str">
            <v>Р. Македонија - државна обврзница DO2016/29-1231dk</v>
          </cell>
        </row>
        <row r="160">
          <cell r="A160" t="str">
            <v>Р. Македонија - државна обврзница DO2014/02-0124</v>
          </cell>
        </row>
        <row r="161">
          <cell r="A161" t="str">
            <v>Р. Македонија - државна обврзница DO2014/03-0124dk</v>
          </cell>
        </row>
        <row r="162">
          <cell r="A162" t="str">
            <v>Р. Македонија - државна обврзница DO2017/10-0332dk</v>
          </cell>
        </row>
        <row r="163">
          <cell r="A163" t="str">
            <v>Р. Македонија - државна обврзница DO2016/14-0631dk</v>
          </cell>
        </row>
        <row r="164">
          <cell r="A164" t="str">
            <v>Р. Македонија - државна обврзница DO2015/27-0725dk</v>
          </cell>
        </row>
        <row r="165">
          <cell r="A165" t="str">
            <v>Р. Македонија - државна обврзница DO2015/28-0730dk</v>
          </cell>
        </row>
        <row r="166">
          <cell r="A166" t="str">
            <v>Р. Македонија - државна обврзница DO2017/36-1132dk</v>
          </cell>
        </row>
        <row r="167">
          <cell r="A167" t="str">
            <v>Р. Македонија - државна обврзница DO2016/09-0326</v>
          </cell>
        </row>
        <row r="168">
          <cell r="A168" t="str">
            <v>Р. Македонија - државна обврзница DO2014/17-0724dk</v>
          </cell>
        </row>
        <row r="169">
          <cell r="A169" t="str">
            <v>Р. Македонија - државна обврзница DO2015/38-0925dk</v>
          </cell>
        </row>
        <row r="170">
          <cell r="A170" t="str">
            <v>Р. Македонија - државна обврзница DO2015/39-0930dk</v>
          </cell>
        </row>
        <row r="171">
          <cell r="A171" t="str">
            <v>Р. Македонија - државна обврзница DO2015/46-1225dk</v>
          </cell>
        </row>
        <row r="172">
          <cell r="A172" t="str">
            <v>Р. Македонија - државна обврзница DO2018/04-0133</v>
          </cell>
        </row>
        <row r="173">
          <cell r="A173" t="str">
            <v>Р. Македонија - државна обврзница DO2018/05-0133dk</v>
          </cell>
        </row>
        <row r="174">
          <cell r="A174" t="str">
            <v>Р. Македонија - државна обврзница DO2015/20-0625</v>
          </cell>
        </row>
        <row r="175">
          <cell r="A175" t="str">
            <v>Р. Македонија - државна обврзница DO2015/21-0625dk</v>
          </cell>
        </row>
        <row r="176">
          <cell r="A176" t="str">
            <v>Р. Македонија - државна обврзница DO2015/22-0630dk</v>
          </cell>
        </row>
        <row r="177">
          <cell r="A177" t="str">
            <v>Р. Македонија - државна обврзница DO2017/05-0132dk</v>
          </cell>
        </row>
        <row r="178">
          <cell r="A178" t="str">
            <v>Р. Македонија - државна обврзница DO2015/08-0230dk</v>
          </cell>
        </row>
        <row r="179">
          <cell r="A179" t="str">
            <v>Р. Македонија - државна обврзница DO2015/12-0325</v>
          </cell>
        </row>
        <row r="180">
          <cell r="A180" t="str">
            <v>Р. Македонија - државна обврзница DO2015/13-0330dk</v>
          </cell>
        </row>
        <row r="181">
          <cell r="A181" t="str">
            <v>Р. Македонија - државна обврзница DO2018/11-0448dk</v>
          </cell>
        </row>
        <row r="182">
          <cell r="A182" t="str">
            <v>Р. Македонија - државна обврзница DO2022/02-0125</v>
          </cell>
        </row>
        <row r="183">
          <cell r="A183" t="str">
            <v>Р. Македонија - државна обврзница DO2015/34-0825</v>
          </cell>
        </row>
        <row r="184">
          <cell r="A184" t="str">
            <v>Р. Македонија - државна обврзница DO2015/35-0825dk</v>
          </cell>
        </row>
        <row r="185">
          <cell r="A185" t="str">
            <v>Р. Македонија - државна обврзница DO2015/36-0830dk</v>
          </cell>
        </row>
        <row r="186">
          <cell r="A186" t="str">
            <v>Р. Македонија - државна обврзница DO2021/02-0123</v>
          </cell>
        </row>
        <row r="187">
          <cell r="A187" t="str">
            <v>Р. Македонија - државна обврзница DO2016/04-0131dk</v>
          </cell>
        </row>
        <row r="188">
          <cell r="A188" t="str">
            <v>Р. Македонија - државна обврзница DO2019/04-0234</v>
          </cell>
          <cell r="B188">
            <v>107.1</v>
          </cell>
        </row>
        <row r="189">
          <cell r="A189" t="str">
            <v>Р. Македонија - државна обврзница DO2016/16-0731dk</v>
          </cell>
        </row>
        <row r="190">
          <cell r="A190" t="str">
            <v>Р. Македонија - државна обврзница DO2015/03-0125</v>
          </cell>
        </row>
        <row r="191">
          <cell r="A191" t="str">
            <v>Р. Македонија - државна обврзница DO2015/04-0125dk</v>
          </cell>
        </row>
        <row r="192">
          <cell r="A192" t="str">
            <v>Р. Македонија - државна обврзница DO2017/18-0632dk</v>
          </cell>
        </row>
        <row r="193">
          <cell r="A193" t="str">
            <v>Р. Македонија - држaвна обврзница DO2021/12-0724</v>
          </cell>
        </row>
        <row r="194">
          <cell r="A194" t="str">
            <v>Р. Македонија - државна обврзница DO2016/22-0931dk</v>
          </cell>
        </row>
        <row r="195">
          <cell r="A195" t="str">
            <v>Р. Македонија - државна обврзница DO2015/41-1030dk</v>
          </cell>
        </row>
        <row r="196">
          <cell r="A196" t="str">
            <v>Р. Македонија - државна обврзница DO2020/10-1035</v>
          </cell>
        </row>
        <row r="197">
          <cell r="A197" t="str">
            <v>Р. Македонија - државна обврзница DO2020/01-0150dk</v>
          </cell>
        </row>
        <row r="198">
          <cell r="A198" t="str">
            <v>Р. Македонија - државна обврзница DO2017/11-0332dk</v>
          </cell>
        </row>
        <row r="199">
          <cell r="A199" t="str">
            <v>Р. Македонија - државна обврзница DO2020/04-0450dk</v>
          </cell>
        </row>
        <row r="200">
          <cell r="A200" t="str">
            <v>Р. Македонија - државна обврзница DO2015/29-0730dk</v>
          </cell>
        </row>
        <row r="201">
          <cell r="A201" t="str">
            <v>Р. Македонија - државна обврзница DO2014/30-1024dk</v>
          </cell>
        </row>
        <row r="202">
          <cell r="A202" t="str">
            <v>Р. Македонија - државна обврзница DO2017/37-1132dk</v>
          </cell>
        </row>
        <row r="203">
          <cell r="A203" t="str">
            <v>Р. Македонија - државна обврзница DO2019/02-0149dk</v>
          </cell>
        </row>
        <row r="204">
          <cell r="A204" t="str">
            <v>Р. Македонија - државна обврзница DO2016/10-0331dk</v>
          </cell>
        </row>
        <row r="205">
          <cell r="A205" t="str">
            <v>Р. Македонија - државна обврзница DO2019/14-1049dk</v>
          </cell>
          <cell r="B205">
            <v>103.5</v>
          </cell>
        </row>
        <row r="206">
          <cell r="A206" t="str">
            <v>Р. Македонија - државна обврзница DO2020/17-1222</v>
          </cell>
        </row>
        <row r="207">
          <cell r="A207" t="str">
            <v>Р. Македонија - државна обврзница DO2020/18-1222dk</v>
          </cell>
        </row>
        <row r="208">
          <cell r="A208" t="str">
            <v>Р. Македонија - државна обврзница DO2020/19-1223</v>
          </cell>
        </row>
        <row r="209">
          <cell r="A209" t="str">
            <v>Р. Македонија - државна обврзница DO2020/20-1223dk</v>
          </cell>
        </row>
        <row r="210">
          <cell r="A210" t="str">
            <v>Р. Македонија - денационализација 11</v>
          </cell>
          <cell r="B210">
            <v>99.5</v>
          </cell>
        </row>
        <row r="211">
          <cell r="A211" t="str">
            <v>Р. Македонија - денационализација 12</v>
          </cell>
          <cell r="B211">
            <v>99.31</v>
          </cell>
        </row>
        <row r="212">
          <cell r="A212" t="str">
            <v>Р. Македонија - денационализација 13</v>
          </cell>
          <cell r="B212">
            <v>99</v>
          </cell>
        </row>
        <row r="213">
          <cell r="A213" t="str">
            <v>Р. Македонија - денационализација 14</v>
          </cell>
          <cell r="B213">
            <v>99</v>
          </cell>
        </row>
        <row r="214">
          <cell r="A214" t="str">
            <v>Р. Македонија - денационализација 15</v>
          </cell>
          <cell r="B214">
            <v>99</v>
          </cell>
        </row>
        <row r="215">
          <cell r="A215" t="str">
            <v>Р. Македонија - денационализација 16</v>
          </cell>
          <cell r="B215">
            <v>99</v>
          </cell>
        </row>
        <row r="216">
          <cell r="A216" t="str">
            <v>Р. Македонија - денационализација 17</v>
          </cell>
          <cell r="B216">
            <v>99.8</v>
          </cell>
        </row>
        <row r="217">
          <cell r="A217" t="str">
            <v>Р. Македонија - денационализација 18</v>
          </cell>
          <cell r="B217">
            <v>99.58</v>
          </cell>
        </row>
        <row r="218">
          <cell r="A218" t="str">
            <v>Р. Македонија - денационализација 19</v>
          </cell>
          <cell r="B218">
            <v>99.65</v>
          </cell>
        </row>
        <row r="219">
          <cell r="A219" t="str">
            <v>Р. Македонија - денационализација 20</v>
          </cell>
          <cell r="B219">
            <v>99.9</v>
          </cell>
        </row>
        <row r="220">
          <cell r="A220" t="str">
            <v>ТТК банка АД Скопје - корпоративна обврзница I емисија</v>
          </cell>
          <cell r="B220">
            <v>100</v>
          </cell>
        </row>
        <row r="221">
          <cell r="A221" t="str">
            <v>ТТК банка АД Скопје - корпоративна обврзница II емисија</v>
          </cell>
        </row>
        <row r="222">
          <cell r="A222" t="str">
            <v>Берзанска котација - други хартии од вредност</v>
          </cell>
        </row>
        <row r="223">
          <cell r="A223" t="str">
            <v>Универзална Инвестициона Банка Скопје - перпетуални обврзници</v>
          </cell>
          <cell r="B223">
            <v>101.5</v>
          </cell>
        </row>
        <row r="224">
          <cell r="A224" t="str">
            <v>Задолжителна котација - обични акции</v>
          </cell>
        </row>
        <row r="225">
          <cell r="A225" t="str">
            <v>Адинг Скопје</v>
          </cell>
          <cell r="B225">
            <v>750</v>
          </cell>
        </row>
        <row r="226">
          <cell r="A226" t="str">
            <v>Агромеханика Скопје</v>
          </cell>
          <cell r="B226">
            <v>300</v>
          </cell>
        </row>
        <row r="227">
          <cell r="A227" t="str">
            <v>Ангропромет-Тиквешанка Кавадарци</v>
          </cell>
          <cell r="B227">
            <v>750</v>
          </cell>
        </row>
        <row r="228">
          <cell r="A228" t="str">
            <v>Аутомакедонија Скопје</v>
          </cell>
          <cell r="B228">
            <v>2700</v>
          </cell>
        </row>
        <row r="229">
          <cell r="A229" t="str">
            <v>Рудници Бањани Скопје</v>
          </cell>
          <cell r="B229">
            <v>603</v>
          </cell>
        </row>
        <row r="230">
          <cell r="A230" t="str">
            <v>Кристал 1923 АД Велес</v>
          </cell>
          <cell r="B230">
            <v>150</v>
          </cell>
        </row>
        <row r="231">
          <cell r="A231" t="str">
            <v>БИМ Свети Николе</v>
          </cell>
          <cell r="B231">
            <v>15550</v>
          </cell>
        </row>
        <row r="232">
          <cell r="A232" t="str">
            <v>ФЗЦ 11 Октомври Куманово</v>
          </cell>
          <cell r="B232">
            <v>400</v>
          </cell>
        </row>
        <row r="233">
          <cell r="A233" t="str">
            <v>Централна кооперативна банка Скопје</v>
          </cell>
          <cell r="B233">
            <v>600</v>
          </cell>
        </row>
        <row r="234">
          <cell r="A234" t="str">
            <v>Дебарски бањи Дебар</v>
          </cell>
          <cell r="B234">
            <v>1550</v>
          </cell>
        </row>
        <row r="235">
          <cell r="A235" t="str">
            <v>Димко Митрев Велес</v>
          </cell>
          <cell r="B235">
            <v>185</v>
          </cell>
        </row>
        <row r="236">
          <cell r="A236" t="str">
            <v>Единство Струмица</v>
          </cell>
          <cell r="B236">
            <v>303</v>
          </cell>
        </row>
        <row r="237">
          <cell r="A237" t="str">
            <v>Европа Скопје</v>
          </cell>
          <cell r="B237">
            <v>2900</v>
          </cell>
        </row>
        <row r="238">
          <cell r="A238" t="str">
            <v>Факом Скопје</v>
          </cell>
          <cell r="B238">
            <v>7200</v>
          </cell>
        </row>
        <row r="239">
          <cell r="A239" t="str">
            <v>Фустеларко Борец Битола</v>
          </cell>
          <cell r="B239">
            <v>1568</v>
          </cell>
        </row>
        <row r="240">
          <cell r="A240" t="str">
            <v>Герас Цунев конфекција Струмица</v>
          </cell>
          <cell r="B240">
            <v>500</v>
          </cell>
        </row>
        <row r="241">
          <cell r="A241" t="str">
            <v>Герас Цунев трговија Струмица</v>
          </cell>
        </row>
        <row r="242">
          <cell r="A242" t="str">
            <v>Грозд Струмица</v>
          </cell>
          <cell r="B242">
            <v>2250</v>
          </cell>
        </row>
        <row r="243">
          <cell r="A243" t="str">
            <v>Градски Трговски Центар Скопје</v>
          </cell>
        </row>
        <row r="244">
          <cell r="A244" t="str">
            <v>Интерпромет Тетово</v>
          </cell>
        </row>
        <row r="245">
          <cell r="A245" t="str">
            <v>Македонија осигурување АД Скопје - Виена Иншуренс Груп</v>
          </cell>
          <cell r="B245">
            <v>1131</v>
          </cell>
        </row>
        <row r="246">
          <cell r="A246" t="str">
            <v>Кланица со ладилник Струмица</v>
          </cell>
          <cell r="B246">
            <v>120</v>
          </cell>
        </row>
        <row r="247">
          <cell r="A247" t="str">
            <v>Фруктал МАК Скопје</v>
          </cell>
        </row>
        <row r="248">
          <cell r="A248" t="str">
            <v>Карпош Скопје</v>
          </cell>
          <cell r="B248">
            <v>333</v>
          </cell>
        </row>
        <row r="249">
          <cell r="A249" t="str">
            <v>Лотарија на Македонија Скопје</v>
          </cell>
          <cell r="B249">
            <v>206</v>
          </cell>
        </row>
        <row r="250">
          <cell r="A250" t="str">
            <v>Пелистерка АД Скопје</v>
          </cell>
          <cell r="B250">
            <v>2400</v>
          </cell>
        </row>
        <row r="251">
          <cell r="A251" t="str">
            <v>Макпромет Штип</v>
          </cell>
          <cell r="B251">
            <v>553</v>
          </cell>
        </row>
        <row r="252">
          <cell r="A252" t="str">
            <v>Мермерен комбинат Прилеп</v>
          </cell>
        </row>
        <row r="253">
          <cell r="A253" t="str">
            <v>Мода Свети Николе</v>
          </cell>
        </row>
        <row r="254">
          <cell r="A254" t="str">
            <v>Вабтек МЗТ Скопје</v>
          </cell>
          <cell r="B254">
            <v>3133</v>
          </cell>
        </row>
        <row r="255">
          <cell r="A255" t="str">
            <v>МЗТ Пумпи Скопје</v>
          </cell>
        </row>
        <row r="256">
          <cell r="A256" t="str">
            <v>Огражден Струмица</v>
          </cell>
          <cell r="B256">
            <v>1900</v>
          </cell>
        </row>
        <row r="257">
          <cell r="A257" t="str">
            <v>Нова стоковна куќа Струмица</v>
          </cell>
          <cell r="B257">
            <v>61500</v>
          </cell>
        </row>
        <row r="258">
          <cell r="A258" t="str">
            <v>Оилко КДА Скопје</v>
          </cell>
        </row>
        <row r="259">
          <cell r="A259" t="str">
            <v>ОКТА Скопје</v>
          </cell>
        </row>
        <row r="260">
          <cell r="A260" t="str">
            <v>Оранжерии Хамзали Струмица</v>
          </cell>
        </row>
        <row r="261">
          <cell r="A261" t="str">
            <v>Пекабеско Скопје</v>
          </cell>
        </row>
        <row r="262">
          <cell r="A262" t="str">
            <v>Попова Кула Демир Капија</v>
          </cell>
        </row>
        <row r="263">
          <cell r="A263" t="str">
            <v>Прилепска Пиварница Прилеп</v>
          </cell>
        </row>
        <row r="264">
          <cell r="A264" t="str">
            <v>Раде Кончар Скопје</v>
          </cell>
        </row>
        <row r="265">
          <cell r="A265" t="str">
            <v>РЖ Економика Скопје</v>
          </cell>
        </row>
        <row r="266">
          <cell r="A266" t="str">
            <v>Либерти АД Скопје</v>
          </cell>
        </row>
        <row r="267">
          <cell r="A267" t="str">
            <v>РЖ Техничка контрола Скопје</v>
          </cell>
        </row>
        <row r="268">
          <cell r="A268" t="str">
            <v>РЖ Уготур Скопје</v>
          </cell>
        </row>
        <row r="269">
          <cell r="A269" t="str">
            <v>Современ дом Прилеп</v>
          </cell>
        </row>
        <row r="270">
          <cell r="A270" t="str">
            <v>Силекс Кратово</v>
          </cell>
        </row>
        <row r="271">
          <cell r="A271" t="str">
            <v>Сковин Скопје</v>
          </cell>
        </row>
        <row r="272">
          <cell r="A272" t="str">
            <v>Славеј Скопје</v>
          </cell>
        </row>
        <row r="273">
          <cell r="A273" t="str">
            <v>Струмичко поле с.Василево</v>
          </cell>
        </row>
        <row r="274">
          <cell r="A274" t="str">
            <v>Сигурносно стакло Прилеп</v>
          </cell>
        </row>
        <row r="275">
          <cell r="A275" t="str">
            <v>Стопанска банка Скопје</v>
          </cell>
        </row>
        <row r="276">
          <cell r="A276" t="str">
            <v>Стокопромет Скопје</v>
          </cell>
        </row>
        <row r="277">
          <cell r="A277" t="str">
            <v>Тајмиште Кичево</v>
          </cell>
        </row>
        <row r="278">
          <cell r="A278" t="str">
            <v>ТЕАЛ-Алумина Тетово</v>
          </cell>
        </row>
        <row r="279">
          <cell r="A279" t="str">
            <v>Технокомерц Скопје</v>
          </cell>
        </row>
        <row r="280">
          <cell r="A280" t="str">
            <v>Македонски Телеком Скопје</v>
          </cell>
        </row>
        <row r="281">
          <cell r="A281" t="str">
            <v>ГД-Тиквеш Кавадарци</v>
          </cell>
        </row>
        <row r="282">
          <cell r="A282" t="str">
            <v>НЛБ Банка АД Скопје</v>
          </cell>
        </row>
        <row r="283">
          <cell r="A283" t="str">
            <v>Транскоп-Патнички сооб. Битола</v>
          </cell>
        </row>
        <row r="284">
          <cell r="A284" t="str">
            <v>Трготекстил малопродажба Скопје</v>
          </cell>
        </row>
        <row r="285">
          <cell r="A285" t="str">
            <v>Универзална Инвестициона Банка Скопје</v>
          </cell>
        </row>
        <row r="286">
          <cell r="A286" t="str">
            <v>Цементарница УСЈЕ Скопје</v>
          </cell>
        </row>
        <row r="287">
          <cell r="A287" t="str">
            <v>Триглав осигурување Скопје</v>
          </cell>
        </row>
        <row r="288">
          <cell r="A288" t="str">
            <v>Ветекс Велес</v>
          </cell>
        </row>
        <row r="289">
          <cell r="A289" t="str">
            <v>ЖАС Скопје</v>
          </cell>
        </row>
        <row r="290">
          <cell r="A290" t="str">
            <v>Жито Караорман Кичево</v>
          </cell>
        </row>
        <row r="291">
          <cell r="A291" t="str">
            <v>Жито Полог Тетово</v>
          </cell>
        </row>
        <row r="292">
          <cell r="A292" t="str">
            <v>Задолжителна котација - приоритетни акции</v>
          </cell>
        </row>
        <row r="293">
          <cell r="A293" t="str">
            <v>Стопанска банка Скопје</v>
          </cell>
        </row>
        <row r="294">
          <cell r="A294" t="str">
            <v>Редовен пазар</v>
          </cell>
        </row>
        <row r="295">
          <cell r="A295" t="str">
            <v>Пазар на акционерски друштва со посебни обврски за известување - обични акции</v>
          </cell>
        </row>
        <row r="296">
          <cell r="A296" t="str">
            <v>Агросервис Скопје</v>
          </cell>
        </row>
        <row r="297">
          <cell r="A297" t="str">
            <v>Шпаркасе банка Македонија АД Скопје</v>
          </cell>
        </row>
        <row r="298">
          <cell r="A298" t="str">
            <v>Слободен пазар - обични акции</v>
          </cell>
        </row>
        <row r="299">
          <cell r="A299" t="str">
            <v>Квасара Битола</v>
          </cell>
        </row>
        <row r="300">
          <cell r="A300" t="str">
            <v>АрцелорМиттал (ХРМ) АД Скопје - долгорочно суспендирано од котација</v>
          </cell>
        </row>
        <row r="301">
          <cell r="A301" t="str">
            <v>Таска АД Кавадарци</v>
          </cell>
        </row>
        <row r="302">
          <cell r="A302" t="str">
            <v>Ветеринарно сточарски центар Куманово</v>
          </cell>
        </row>
        <row r="303">
          <cell r="A303" t="str">
            <v>Јавна понуда на хв</v>
          </cell>
        </row>
        <row r="304">
          <cell r="A304" t="str">
            <v>Јавна понуда на обврзници</v>
          </cell>
        </row>
        <row r="305">
          <cell r="A305" t="str">
            <v>СН Осигурителен Брокер АД Битола - јавна понуда за запишување на корпоративни обврзници</v>
          </cell>
        </row>
        <row r="306">
          <cell r="A306" t="str">
            <v>Вкупен промет на сите пазарни сегменти: 75.083.361,00</v>
          </cell>
        </row>
        <row r="307">
          <cell r="A307" t="str">
            <v>МБИ10</v>
          </cell>
        </row>
        <row r="308">
          <cell r="A308" t="str">
            <v>ОМБ</v>
          </cell>
        </row>
        <row r="309">
          <cell r="A309" t="str">
            <v>1 EUR = 61,6950 МКД</v>
          </cell>
        </row>
      </sheetData>
      <sheetData sheetId="1"/>
      <sheetData sheetId="2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</row>
        <row r="22">
          <cell r="A22" t="str">
            <v>Стопанска банка Битола</v>
          </cell>
          <cell r="B22">
            <v>3006.73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</row>
        <row r="27">
          <cell r="A27" t="str">
            <v>ВВ Тиквеш АД Кавадарци</v>
          </cell>
          <cell r="B27">
            <v>5500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DO2014/16-0724dk</v>
          </cell>
        </row>
        <row r="46">
          <cell r="A46" t="str">
            <v>Р. Македонија - државна обврзница DO2016/26-1131dk</v>
          </cell>
        </row>
        <row r="47">
          <cell r="A47" t="str">
            <v>Р. Македонија - државна обврзница DO2020/14-1223</v>
          </cell>
        </row>
        <row r="48">
          <cell r="A48" t="str">
            <v>Р. Македонија - државна обврзница DO2015/44-1230dk</v>
          </cell>
        </row>
        <row r="49">
          <cell r="A49" t="str">
            <v>Р. Македонија - државна обврзница DO2020/15-1235dk</v>
          </cell>
        </row>
        <row r="50">
          <cell r="A50" t="str">
            <v>Р. Македонија - државна обврзница DO2021/04-0336</v>
          </cell>
        </row>
        <row r="51">
          <cell r="A51" t="str">
            <v>Р. Македонија - државна обврзница DO2017/14-0532dk</v>
          </cell>
        </row>
        <row r="52">
          <cell r="A52" t="str">
            <v>Р. Македонија - државна обврзница DO2015/19-0630dk</v>
          </cell>
        </row>
        <row r="53">
          <cell r="A53" t="str">
            <v>Р. Македонија - државна обврзница DO2014/19-0924dk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DO2020/03-0325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дрзжвна обврзница ДО2021/13-0836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DO2020/11-1122</v>
          </cell>
        </row>
        <row r="60">
          <cell r="A60" t="str">
            <v>Р. Македонија - државна обврзница DO2020/12-1125</v>
          </cell>
        </row>
        <row r="61">
          <cell r="A61" t="str">
            <v>Р. Македонија - државна обврзница DO2019/16-1234dk</v>
          </cell>
        </row>
        <row r="62">
          <cell r="A62" t="str">
            <v>Р. Македонија - државна обврзница DO2017/12-0432dk</v>
          </cell>
        </row>
        <row r="63">
          <cell r="A63" t="str">
            <v>Р. Македонија - државна обврзница DO2017/19-0732dk</v>
          </cell>
        </row>
        <row r="64">
          <cell r="A64" t="str">
            <v>Р. Македонија - државна обврзница DO2015/30-0825dk</v>
          </cell>
        </row>
        <row r="65">
          <cell r="A65" t="str">
            <v>Р. Македонија - државна обврзница DO2015/31-0830dk</v>
          </cell>
        </row>
        <row r="66">
          <cell r="A66" t="str">
            <v>Р. Македонија - државна обврзница DO2020/07-0850dk</v>
          </cell>
        </row>
        <row r="67">
          <cell r="A67" t="str">
            <v>Р. Македонија - државна обврзница DO2019/05-0324</v>
          </cell>
        </row>
        <row r="68">
          <cell r="A68" t="str">
            <v>Р. Македонија - државна обврзница DO2016/11-0426dk</v>
          </cell>
        </row>
        <row r="69">
          <cell r="A69" t="str">
            <v>Р. Македонија - државна обврзница DO2015/17-0530dk</v>
          </cell>
        </row>
        <row r="70">
          <cell r="A70" t="str">
            <v>Р. Македонија - државна обврзница DO2018/12-0633</v>
          </cell>
        </row>
        <row r="71">
          <cell r="A71" t="str">
            <v>Р. Македонија - државна обврзница DO2017/26-0932dk</v>
          </cell>
        </row>
        <row r="72">
          <cell r="A72" t="str">
            <v>Р. Македонија - државна обврзница DO2019/15-1134</v>
          </cell>
        </row>
        <row r="73">
          <cell r="A73" t="str">
            <v>Р. Македонија - државна обврзница DO2017/38-1232dk</v>
          </cell>
        </row>
        <row r="74">
          <cell r="A74" t="str">
            <v>Р. Македонија - државна обврзница DO2018/10-0333dk</v>
          </cell>
        </row>
        <row r="75">
          <cell r="A75" t="str">
            <v>Р. Македонија - државна обврзница DO2017/16-0632dk</v>
          </cell>
        </row>
        <row r="76">
          <cell r="A76" t="str">
            <v>Р. Македонија - државна обврзница DO2016/15-0731dk</v>
          </cell>
        </row>
        <row r="77">
          <cell r="A77" t="str">
            <v>Р. Македонија - државна обврзница DO2019/11-0834dk</v>
          </cell>
        </row>
        <row r="78">
          <cell r="A78" t="str">
            <v>Р. Македонија - државна обврзница DO2015/40-1030dk</v>
          </cell>
        </row>
        <row r="79">
          <cell r="A79" t="str">
            <v>Р. Македонија - државна обврзница DO2017/08-0332dk</v>
          </cell>
        </row>
        <row r="80">
          <cell r="A80" t="str">
            <v>Р. Македонија - државна обврзница DO2016/13-0631dk</v>
          </cell>
        </row>
        <row r="81">
          <cell r="A81" t="str">
            <v>Р. Македонија - државна обврзница DO2015/23-0725</v>
          </cell>
        </row>
        <row r="82">
          <cell r="A82" t="str">
            <v>Р. Македонија - државна обврзница DO2015/24-0725dk</v>
          </cell>
        </row>
        <row r="83">
          <cell r="A83" t="str">
            <v>Р. Македонија - државна обврзница DO2015/25-0730dk</v>
          </cell>
        </row>
        <row r="84">
          <cell r="A84" t="str">
            <v>Р. Македонија - државна обврзница DO2018/17-0833dk</v>
          </cell>
        </row>
        <row r="85">
          <cell r="A85" t="str">
            <v>Р. Македонија - државна обврзница DO2017/21-0822dk</v>
          </cell>
        </row>
        <row r="86">
          <cell r="A86" t="str">
            <v>Р. Македонија - државна обврзница DO2017/22-0832dk</v>
          </cell>
        </row>
        <row r="87">
          <cell r="A87" t="str">
            <v>Р. Македонија - државна обврзница DO2018/02-0128</v>
          </cell>
        </row>
        <row r="88">
          <cell r="A88" t="str">
            <v>Р. Македонија - државна обврзница DO2018/03-0133dk</v>
          </cell>
        </row>
        <row r="89">
          <cell r="A89" t="str">
            <v>Р. Македонија - државна обврзница DO2016/05-0226</v>
          </cell>
        </row>
        <row r="90">
          <cell r="A90" t="str">
            <v>Р. Македонија - државна обврзница DO2016/06-0226dk</v>
          </cell>
        </row>
        <row r="91">
          <cell r="A91" t="str">
            <v>Р. Македонија - државна обврзница DO2016/07-0231dk</v>
          </cell>
        </row>
        <row r="92">
          <cell r="A92" t="str">
            <v>Р. Македонија - државна обврзница DO2017/02-0132dk</v>
          </cell>
        </row>
        <row r="93">
          <cell r="A93" t="str">
            <v>Р. Македонија - државна обврзница DO2015/05-0230dk</v>
          </cell>
        </row>
        <row r="94">
          <cell r="A94" t="str">
            <v>Р. Македонија - државна обврзница DO2015/09-0325</v>
          </cell>
        </row>
        <row r="95">
          <cell r="A95" t="str">
            <v>Р. Македонија - државна обврзница DO2015/10-0330dk</v>
          </cell>
        </row>
        <row r="96">
          <cell r="A96" t="str">
            <v>Р. Македонија - државна обврзница DO2022/01-0137</v>
          </cell>
        </row>
        <row r="97">
          <cell r="A97" t="str">
            <v>Р. Македонија - државна обврзница DO2020/02-0235</v>
          </cell>
        </row>
        <row r="98">
          <cell r="A98" t="str">
            <v>Р. Македонија - државна обврзница DO2016/01-0126dk</v>
          </cell>
        </row>
        <row r="99">
          <cell r="A99" t="str">
            <v>Р. Македонија - државна обврзница DO2016/02-0131dk</v>
          </cell>
        </row>
        <row r="100">
          <cell r="A100" t="str">
            <v>Р. Македонија - државна обврзница DO2021/01-0136</v>
          </cell>
        </row>
        <row r="101">
          <cell r="A101" t="str">
            <v>Р. Македонија - државна обврзница DO2019/03-0224dk</v>
          </cell>
        </row>
        <row r="102">
          <cell r="A102" t="str">
            <v>Р. Македонија - државна обврзница DO2016/12-0431dk</v>
          </cell>
        </row>
        <row r="103">
          <cell r="A103" t="str">
            <v>Р. Македонија - државна обврзница DO2020/05-0522</v>
          </cell>
        </row>
        <row r="104">
          <cell r="A104" t="str">
            <v>Р. Македонија - државна обврзница DO2021/09-0526</v>
          </cell>
        </row>
        <row r="105">
          <cell r="A105" t="str">
            <v>Р. Македонија - државна обврзница DO2016/23-1031dk</v>
          </cell>
        </row>
        <row r="106">
          <cell r="A106" t="str">
            <v>Р. Македонија - државна обврзница DO2021/15-1036</v>
          </cell>
        </row>
        <row r="107">
          <cell r="A107" t="str">
            <v>Р. Македонија - државна обврзница DO2018/07-0223</v>
          </cell>
        </row>
        <row r="108">
          <cell r="A108" t="str">
            <v>Р. Македонија - државна обврзница DO2018/08-0233dk</v>
          </cell>
        </row>
        <row r="109">
          <cell r="A109" t="str">
            <v>Р. Македонија - државна обврзница DO2021/07-0436</v>
          </cell>
        </row>
        <row r="110">
          <cell r="A110" t="str">
            <v>Р. Македонија - државна обврзница DO2021/08-0436dk</v>
          </cell>
        </row>
        <row r="111">
          <cell r="A111" t="str">
            <v>Р. Македонија - државна обврзница DO2020/08-1030</v>
          </cell>
        </row>
        <row r="112">
          <cell r="A112" t="str">
            <v>Р. Македонија - државна обврзница DO2020/09-1030dk</v>
          </cell>
        </row>
        <row r="113">
          <cell r="A113" t="str">
            <v>Р. Македонија - државна обврзница DO2017/06-0232dk</v>
          </cell>
        </row>
        <row r="114">
          <cell r="A114" t="str">
            <v>Р. Македонија - државна обврзница DO2015/15-0430dk</v>
          </cell>
        </row>
        <row r="115">
          <cell r="A115" t="str">
            <v>Р. Македонија - државна обврзница DO2019/08-0524</v>
          </cell>
        </row>
        <row r="116">
          <cell r="A116" t="str">
            <v>Р. Македонија - државна обврзница DO2019/09-0534</v>
          </cell>
        </row>
        <row r="117">
          <cell r="A117" t="str">
            <v>Р. Македонија - државна обврзница DO2021/14-0936</v>
          </cell>
        </row>
        <row r="118">
          <cell r="A118" t="str">
            <v>Р. Македонија - државна обврзница DO2014/27-1024</v>
          </cell>
        </row>
        <row r="119">
          <cell r="A119" t="str">
            <v>Р. Македонија - државна обврзница DO2014/28-1024dk</v>
          </cell>
        </row>
        <row r="120">
          <cell r="A120" t="str">
            <v>Р. Македонија - државна обврзница DO2021/17-1224</v>
          </cell>
        </row>
        <row r="121">
          <cell r="A121" t="str">
            <v>Р. Македонија - државна обврзница DO2016/08-0331dk</v>
          </cell>
        </row>
        <row r="122">
          <cell r="A122" t="str">
            <v>Р. Македонија - државна обврзница DO2021/10-0636</v>
          </cell>
        </row>
        <row r="123">
          <cell r="A123" t="str">
            <v>Р. Македонија - државна обврзница DO2021/11-0636dk</v>
          </cell>
        </row>
        <row r="124">
          <cell r="A124" t="str">
            <v>Р. Македонија - државна обврзница DO2017/23-0822dk</v>
          </cell>
        </row>
        <row r="125">
          <cell r="A125" t="str">
            <v>Р. Македонија - државна обврзница DO2017/24-0832dk</v>
          </cell>
        </row>
        <row r="126">
          <cell r="A126" t="str">
            <v>Р. Македонија - државна обврзница DO2015/37-0930dk</v>
          </cell>
        </row>
        <row r="127">
          <cell r="A127" t="str">
            <v>Р. Македонија - државна обврзница DO2019/13-1024</v>
          </cell>
        </row>
        <row r="128">
          <cell r="A128" t="str">
            <v>Р. Македонија - државна обврзница DO2020/16-1222dk</v>
          </cell>
        </row>
        <row r="129">
          <cell r="A129" t="str">
            <v>Р. Македонија - државна обврзница DO2015/45-1225dk</v>
          </cell>
        </row>
        <row r="130">
          <cell r="A130" t="str">
            <v>Р. Македонија - државна обврзница DO2021/03-0224</v>
          </cell>
        </row>
        <row r="131">
          <cell r="A131" t="str">
            <v>Р. Македонија - државна обврзница DO2019/06-0449dk</v>
          </cell>
        </row>
        <row r="132">
          <cell r="A132" t="str">
            <v>Р. Македонија - државна обврзница DO2020/06-0635</v>
          </cell>
        </row>
        <row r="133">
          <cell r="A133" t="str">
            <v>Р. Македонија - државна обврзница DO2019/10-0749dk</v>
          </cell>
        </row>
        <row r="134">
          <cell r="A134" t="str">
            <v>Р. Македонија - државна обврзница DO2016/17-0826</v>
          </cell>
        </row>
        <row r="135">
          <cell r="A135" t="str">
            <v>Р. Македонија - државна обврзница DO2016/18-0826dk</v>
          </cell>
        </row>
        <row r="136">
          <cell r="A136" t="str">
            <v>Р. Македонија - државна обврзница DO2016/19-0831dk</v>
          </cell>
        </row>
        <row r="137">
          <cell r="A137" t="str">
            <v>Р. Македонија - државна обврзница DO2018/23-1048dk</v>
          </cell>
        </row>
        <row r="138">
          <cell r="A138" t="str">
            <v>Р. Македонија - државна обврзница DO2021/16-1136dk</v>
          </cell>
        </row>
        <row r="139">
          <cell r="A139" t="str">
            <v>Р. Македонија - државна обврзница DO2018/14-0723</v>
          </cell>
        </row>
        <row r="140">
          <cell r="A140" t="str">
            <v>Р. Македонија - државна обврзница DO2018/15-0748dk</v>
          </cell>
        </row>
        <row r="141">
          <cell r="A141" t="str">
            <v>Р. Македонија - државна обврзница DO2019/12-0934</v>
          </cell>
        </row>
        <row r="142">
          <cell r="A142" t="str">
            <v>Р. Македонија - државна обврзница DO2017/32-1032dk</v>
          </cell>
        </row>
        <row r="143">
          <cell r="A143" t="str">
            <v>Р. Македонија - државна обврзница DO2020/13-1123dk</v>
          </cell>
        </row>
        <row r="144">
          <cell r="A144" t="str">
            <v>Р. Македонија - државна обврзница DO2015/42-1125dk</v>
          </cell>
        </row>
        <row r="145">
          <cell r="A145" t="str">
            <v>Р. Македонија - државна обврзница DO2015/43-1130dk</v>
          </cell>
        </row>
        <row r="146">
          <cell r="A146" t="str">
            <v>Р. Македонија - државна обврзница DO2017/20-0732dk</v>
          </cell>
        </row>
        <row r="147">
          <cell r="A147" t="str">
            <v>Р. Македонија - државна обврзница DO2015/32-0825</v>
          </cell>
        </row>
        <row r="148">
          <cell r="A148" t="str">
            <v>Р. Македонија - државна обврзница DO2015/33-0830dk</v>
          </cell>
        </row>
        <row r="149">
          <cell r="A149" t="str">
            <v>Р. Македонија - државна обврзница DO2018/19-0933</v>
          </cell>
        </row>
        <row r="150">
          <cell r="A150" t="str">
            <v>Р. Македонија - државна обврзница DO2018/20-0933dk</v>
          </cell>
        </row>
        <row r="151">
          <cell r="A151" t="str">
            <v>Р. Македонија - државна обврзница DO2015/18-0525dk</v>
          </cell>
        </row>
        <row r="152">
          <cell r="A152" t="str">
            <v>Р. Македонија - државна обврзница DO2018/13-0633dk</v>
          </cell>
        </row>
        <row r="153">
          <cell r="A153" t="str">
            <v>Р. Македонија - државна обврзница DO2014/18-0824dk</v>
          </cell>
        </row>
        <row r="154">
          <cell r="A154" t="str">
            <v>Р. Македонија - државна обврзница DO2017/27-0932dk</v>
          </cell>
        </row>
        <row r="155">
          <cell r="A155" t="str">
            <v>Р. Македонија - државна обврзница DO2016/03-0131dk</v>
          </cell>
        </row>
        <row r="156">
          <cell r="A156" t="str">
            <v>Р. Македонија - државна обврзница DO2017/17-0632dk</v>
          </cell>
        </row>
        <row r="157">
          <cell r="A157" t="str">
            <v>Р. Македонија - државна обврзница DO2016/21-0931dk</v>
          </cell>
        </row>
        <row r="158">
          <cell r="A158" t="str">
            <v>Р. Македонија - државна обврзница DO2018/27-1133dk</v>
          </cell>
        </row>
        <row r="159">
          <cell r="A159" t="str">
            <v>Р. Македонија - државна обврзница DO2016/29-1231dk</v>
          </cell>
        </row>
        <row r="160">
          <cell r="A160" t="str">
            <v>Р. Македонија - државна обврзница DO2014/02-0124</v>
          </cell>
        </row>
        <row r="161">
          <cell r="A161" t="str">
            <v>Р. Македонија - државна обврзница DO2014/03-0124dk</v>
          </cell>
        </row>
        <row r="162">
          <cell r="A162" t="str">
            <v>Р. Македонија - државна обврзница DO2017/10-0332dk</v>
          </cell>
        </row>
        <row r="163">
          <cell r="A163" t="str">
            <v>Р. Македонија - државна обврзница DO2016/14-0631dk</v>
          </cell>
        </row>
        <row r="164">
          <cell r="A164" t="str">
            <v>Р. Македонија - државна обврзница DO2015/27-0725dk</v>
          </cell>
        </row>
        <row r="165">
          <cell r="A165" t="str">
            <v>Р. Македонија - државна обврзница DO2015/28-0730dk</v>
          </cell>
        </row>
        <row r="166">
          <cell r="A166" t="str">
            <v>Р. Македонија - државна обврзница DO2017/36-1132dk</v>
          </cell>
        </row>
        <row r="167">
          <cell r="A167" t="str">
            <v>Р. Македонија - државна обврзница DO2016/09-0326</v>
          </cell>
        </row>
        <row r="168">
          <cell r="A168" t="str">
            <v>Р. Македонија - државна обврзница DO2014/17-0724dk</v>
          </cell>
        </row>
        <row r="169">
          <cell r="A169" t="str">
            <v>Р. Македонија - државна обврзница DO2015/38-0925dk</v>
          </cell>
        </row>
        <row r="170">
          <cell r="A170" t="str">
            <v>Р. Македонија - државна обврзница DO2015/39-0930dk</v>
          </cell>
        </row>
        <row r="171">
          <cell r="A171" t="str">
            <v>Р. Македонија - државна обврзница DO2015/46-1225dk</v>
          </cell>
        </row>
        <row r="172">
          <cell r="A172" t="str">
            <v>Р. Македонија - државна обврзница DO2018/04-0133</v>
          </cell>
        </row>
        <row r="173">
          <cell r="A173" t="str">
            <v>Р. Македонија - државна обврзница DO2018/05-0133dk</v>
          </cell>
          <cell r="B173">
            <v>112.2</v>
          </cell>
        </row>
        <row r="174">
          <cell r="A174" t="str">
            <v>Р. Македонија - државна обврзница DO2015/20-0625</v>
          </cell>
        </row>
        <row r="175">
          <cell r="A175" t="str">
            <v>Р. Македонија - државна обврзница DO2015/21-0625dk</v>
          </cell>
        </row>
        <row r="176">
          <cell r="A176" t="str">
            <v>Р. Македонија - државна обврзница DO2015/22-0630dk</v>
          </cell>
        </row>
        <row r="177">
          <cell r="A177" t="str">
            <v>Р. Македонија - државна обврзница DO2017/05-0132dk</v>
          </cell>
        </row>
        <row r="178">
          <cell r="A178" t="str">
            <v>Р. Македонија - државна обврзница DO2015/08-0230dk</v>
          </cell>
        </row>
        <row r="179">
          <cell r="A179" t="str">
            <v>Р. Македонија - државна обврзница DO2015/12-0325</v>
          </cell>
        </row>
        <row r="180">
          <cell r="A180" t="str">
            <v>Р. Македонија - државна обврзница DO2015/13-0330dk</v>
          </cell>
        </row>
        <row r="181">
          <cell r="A181" t="str">
            <v>Р. Македонија - државна обврзница DO2018/11-0448dk</v>
          </cell>
        </row>
        <row r="182">
          <cell r="A182" t="str">
            <v>Р. Македонија - државна обврзница DO2022/02-0125</v>
          </cell>
        </row>
        <row r="183">
          <cell r="A183" t="str">
            <v>Р. Македонија - државна обврзница DO2015/34-0825</v>
          </cell>
        </row>
        <row r="184">
          <cell r="A184" t="str">
            <v>Р. Македонија - државна обврзница DO2015/35-0825dk</v>
          </cell>
        </row>
        <row r="185">
          <cell r="A185" t="str">
            <v>Р. Македонија - државна обврзница DO2015/36-0830dk</v>
          </cell>
        </row>
        <row r="186">
          <cell r="A186" t="str">
            <v>Р. Македонија - државна обврзница DO2021/02-0123</v>
          </cell>
        </row>
        <row r="187">
          <cell r="A187" t="str">
            <v>Р. Македонија - државна обврзница DO2016/04-0131dk</v>
          </cell>
        </row>
        <row r="188">
          <cell r="A188" t="str">
            <v>Р. Македонија - државна обврзница DO2019/04-0234</v>
          </cell>
          <cell r="B188">
            <v>107.1</v>
          </cell>
        </row>
        <row r="189">
          <cell r="A189" t="str">
            <v>Р. Македонија - државна обврзница DO2016/16-0731dk</v>
          </cell>
        </row>
        <row r="190">
          <cell r="A190" t="str">
            <v>Р. Македонија - државна обврзница DO2015/03-0125</v>
          </cell>
        </row>
        <row r="191">
          <cell r="A191" t="str">
            <v>Р. Македонија - државна обврзница DO2015/04-0125dk</v>
          </cell>
        </row>
        <row r="192">
          <cell r="A192" t="str">
            <v>Р. Македонија - државна обврзница DO2017/18-0632dk</v>
          </cell>
        </row>
        <row r="193">
          <cell r="A193" t="str">
            <v>Р. Македонија - држaвна обврзница DO2021/12-0724</v>
          </cell>
        </row>
        <row r="194">
          <cell r="A194" t="str">
            <v>Р. Македонија - државна обврзница DO2016/22-0931dk</v>
          </cell>
        </row>
        <row r="195">
          <cell r="A195" t="str">
            <v>Р. Македонија - државна обврзница DO2015/41-1030dk</v>
          </cell>
        </row>
        <row r="196">
          <cell r="A196" t="str">
            <v>Р. Македонија - државна обврзница DO2020/10-1035</v>
          </cell>
        </row>
        <row r="197">
          <cell r="A197" t="str">
            <v>Р. Македонија - државна обврзница DO2020/01-0150dk</v>
          </cell>
        </row>
        <row r="198">
          <cell r="A198" t="str">
            <v>Р. Македонија - државна обврзница DO2017/11-0332dk</v>
          </cell>
        </row>
        <row r="199">
          <cell r="A199" t="str">
            <v>Р. Македонија - државна обврзница DO2020/04-0450dk</v>
          </cell>
        </row>
        <row r="200">
          <cell r="A200" t="str">
            <v>Р. Македонија - државна обврзница DO2015/29-0730dk</v>
          </cell>
        </row>
        <row r="201">
          <cell r="A201" t="str">
            <v>Р. Македонија - државна обврзница DO2014/30-1024dk</v>
          </cell>
        </row>
        <row r="202">
          <cell r="A202" t="str">
            <v>Р. Македонија - државна обврзница DO2017/37-1132dk</v>
          </cell>
        </row>
        <row r="203">
          <cell r="A203" t="str">
            <v>Р. Македонија - државна обврзница DO2019/02-0149dk</v>
          </cell>
        </row>
        <row r="204">
          <cell r="A204" t="str">
            <v>Р. Македонија - државна обврзница DO2016/10-0331dk</v>
          </cell>
        </row>
        <row r="205">
          <cell r="A205" t="str">
            <v>Р. Македонија - државна обврзница DO2019/14-1049dk</v>
          </cell>
          <cell r="B205">
            <v>103.5</v>
          </cell>
        </row>
        <row r="206">
          <cell r="A206" t="str">
            <v>Р. Македонија - државна обврзница DO2020/17-1222</v>
          </cell>
        </row>
        <row r="207">
          <cell r="A207" t="str">
            <v>Р. Македонија - државна обврзница DO2020/18-1222dk</v>
          </cell>
        </row>
        <row r="208">
          <cell r="A208" t="str">
            <v>Р. Македонија - државна обврзница DO2020/19-1223</v>
          </cell>
        </row>
        <row r="209">
          <cell r="A209" t="str">
            <v>Р. Македонија - државна обврзница DO2020/20-1223dk</v>
          </cell>
        </row>
        <row r="210">
          <cell r="A210" t="str">
            <v>Р. Македонија - денационализација 11</v>
          </cell>
          <cell r="B210">
            <v>99.5</v>
          </cell>
        </row>
        <row r="211">
          <cell r="A211" t="str">
            <v>Р. Македонија - денационализација 12</v>
          </cell>
          <cell r="B211">
            <v>99.31</v>
          </cell>
        </row>
        <row r="212">
          <cell r="A212" t="str">
            <v>Р. Македонија - денационализација 13</v>
          </cell>
          <cell r="B212">
            <v>99</v>
          </cell>
        </row>
        <row r="213">
          <cell r="A213" t="str">
            <v>Р. Македонија - денационализација 14</v>
          </cell>
          <cell r="B213">
            <v>99</v>
          </cell>
        </row>
        <row r="214">
          <cell r="A214" t="str">
            <v>Р. Македонија - денационализација 15</v>
          </cell>
          <cell r="B214">
            <v>99</v>
          </cell>
        </row>
        <row r="215">
          <cell r="A215" t="str">
            <v>Р. Македонија - денационализација 16</v>
          </cell>
          <cell r="B215">
            <v>99</v>
          </cell>
        </row>
        <row r="216">
          <cell r="A216" t="str">
            <v>Р. Македонија - денационализација 17</v>
          </cell>
          <cell r="B216">
            <v>99.8</v>
          </cell>
        </row>
        <row r="217">
          <cell r="A217" t="str">
            <v>Р. Македонија - денационализација 18</v>
          </cell>
          <cell r="B217">
            <v>99.58</v>
          </cell>
        </row>
        <row r="218">
          <cell r="A218" t="str">
            <v>Р. Македонија - денационализација 19</v>
          </cell>
          <cell r="B218">
            <v>99.65</v>
          </cell>
        </row>
        <row r="219">
          <cell r="A219" t="str">
            <v>Р. Македонија - денационализација 20</v>
          </cell>
          <cell r="B219">
            <v>99.9</v>
          </cell>
        </row>
        <row r="220">
          <cell r="A220" t="str">
            <v>ТТК банка АД Скопје - корпоративна обврзница I емисија</v>
          </cell>
          <cell r="B220">
            <v>100</v>
          </cell>
        </row>
        <row r="221">
          <cell r="A221" t="str">
            <v>ТТК банка АД Скопје - корпоративна обврзница II емисија</v>
          </cell>
        </row>
        <row r="222">
          <cell r="A222" t="str">
            <v>Берзанска котација - други хартии од вредност</v>
          </cell>
        </row>
        <row r="223">
          <cell r="A223" t="str">
            <v>Универзална Инвестициона Банка Скопје - перпетуални обврзници</v>
          </cell>
        </row>
        <row r="224">
          <cell r="A224" t="str">
            <v>Задолжителна котација - обични акции</v>
          </cell>
        </row>
        <row r="225">
          <cell r="A225" t="str">
            <v>Адинг Скопје</v>
          </cell>
          <cell r="B225">
            <v>750</v>
          </cell>
        </row>
        <row r="226">
          <cell r="A226" t="str">
            <v>Агромеханика Скопје</v>
          </cell>
          <cell r="B226">
            <v>300</v>
          </cell>
        </row>
        <row r="227">
          <cell r="A227" t="str">
            <v>Ангропромет-Тиквешанка Кавадарци</v>
          </cell>
          <cell r="B227">
            <v>750</v>
          </cell>
        </row>
        <row r="228">
          <cell r="A228" t="str">
            <v>Аутомакедонија Скопје</v>
          </cell>
          <cell r="B228">
            <v>2700</v>
          </cell>
        </row>
        <row r="229">
          <cell r="A229" t="str">
            <v>Рудници Бањани Скопје</v>
          </cell>
          <cell r="B229">
            <v>603</v>
          </cell>
        </row>
        <row r="230">
          <cell r="A230" t="str">
            <v>Кристал 1923 АД Велес</v>
          </cell>
          <cell r="B230">
            <v>150</v>
          </cell>
        </row>
        <row r="231">
          <cell r="A231" t="str">
            <v>БИМ Свети Николе</v>
          </cell>
          <cell r="B231">
            <v>15550</v>
          </cell>
        </row>
        <row r="232">
          <cell r="A232" t="str">
            <v>ФЗЦ 11 Октомври Куманово</v>
          </cell>
          <cell r="B232">
            <v>400</v>
          </cell>
        </row>
        <row r="233">
          <cell r="A233" t="str">
            <v>Централна кооперативна банка Скопје</v>
          </cell>
          <cell r="B233">
            <v>600</v>
          </cell>
        </row>
        <row r="234">
          <cell r="A234" t="str">
            <v>Дебарски бањи Дебар</v>
          </cell>
          <cell r="B234">
            <v>1550</v>
          </cell>
        </row>
        <row r="235">
          <cell r="A235" t="str">
            <v>Димко Митрев Велес</v>
          </cell>
          <cell r="B235">
            <v>185</v>
          </cell>
        </row>
        <row r="236">
          <cell r="A236" t="str">
            <v>Единство Струмица</v>
          </cell>
          <cell r="B236">
            <v>303</v>
          </cell>
        </row>
        <row r="237">
          <cell r="A237" t="str">
            <v>Европа Скопје</v>
          </cell>
          <cell r="B237">
            <v>2900</v>
          </cell>
        </row>
        <row r="238">
          <cell r="A238" t="str">
            <v>Факом Скопје</v>
          </cell>
          <cell r="B238">
            <v>7200</v>
          </cell>
        </row>
        <row r="239">
          <cell r="A239" t="str">
            <v>Фустеларко Борец Битола</v>
          </cell>
          <cell r="B239">
            <v>1568</v>
          </cell>
        </row>
        <row r="240">
          <cell r="A240" t="str">
            <v>Герас Цунев конфекција Струмица</v>
          </cell>
          <cell r="B240">
            <v>500</v>
          </cell>
        </row>
        <row r="241">
          <cell r="A241" t="str">
            <v>Герас Цунев трговија Струмица</v>
          </cell>
          <cell r="B241">
            <v>500</v>
          </cell>
        </row>
        <row r="242">
          <cell r="A242" t="str">
            <v>Грозд Струмица</v>
          </cell>
        </row>
        <row r="243">
          <cell r="A243" t="str">
            <v>Градски Трговски Центар Скопје</v>
          </cell>
          <cell r="B243">
            <v>1790</v>
          </cell>
        </row>
        <row r="244">
          <cell r="A244" t="str">
            <v>Интерпромет Тетово</v>
          </cell>
        </row>
        <row r="245">
          <cell r="A245" t="str">
            <v>Македонија осигурување АД Скопје - Виена Иншуренс Груп</v>
          </cell>
        </row>
        <row r="246">
          <cell r="A246" t="str">
            <v>Кланица со ладилник Струмица</v>
          </cell>
          <cell r="B246">
            <v>120</v>
          </cell>
        </row>
        <row r="247">
          <cell r="A247" t="str">
            <v>Фруктал МАК Скопје</v>
          </cell>
          <cell r="B247">
            <v>119</v>
          </cell>
        </row>
        <row r="248">
          <cell r="A248" t="str">
            <v>Карпош Скопје</v>
          </cell>
        </row>
        <row r="249">
          <cell r="A249" t="str">
            <v>Лотарија на Македонија Скопје</v>
          </cell>
          <cell r="B249">
            <v>206</v>
          </cell>
        </row>
        <row r="250">
          <cell r="A250" t="str">
            <v>Пелистерка АД Скопје</v>
          </cell>
          <cell r="B250">
            <v>2400</v>
          </cell>
        </row>
        <row r="251">
          <cell r="A251" t="str">
            <v>Макпромет Штип</v>
          </cell>
          <cell r="B251">
            <v>553</v>
          </cell>
        </row>
        <row r="252">
          <cell r="A252" t="str">
            <v>Мермерен комбинат Прилеп</v>
          </cell>
          <cell r="B252">
            <v>2500</v>
          </cell>
        </row>
        <row r="253">
          <cell r="A253" t="str">
            <v>Мода Свети Николе</v>
          </cell>
          <cell r="B253">
            <v>100</v>
          </cell>
        </row>
        <row r="254">
          <cell r="A254" t="str">
            <v>Вабтек МЗТ Скопје</v>
          </cell>
        </row>
        <row r="255">
          <cell r="A255" t="str">
            <v>МЗТ Пумпи Скопје</v>
          </cell>
        </row>
        <row r="256">
          <cell r="A256" t="str">
            <v>Огражден Струмица</v>
          </cell>
          <cell r="B256">
            <v>1900</v>
          </cell>
        </row>
        <row r="257">
          <cell r="A257" t="str">
            <v>Нова стоковна куќа Струмица</v>
          </cell>
        </row>
        <row r="258">
          <cell r="A258" t="str">
            <v>Оилко КДА Скопје</v>
          </cell>
          <cell r="B258">
            <v>6000</v>
          </cell>
        </row>
        <row r="259">
          <cell r="A259" t="str">
            <v>ОКТА Скопје</v>
          </cell>
          <cell r="B259">
            <v>3651</v>
          </cell>
        </row>
        <row r="260">
          <cell r="A260" t="str">
            <v>Оранжерии Хамзали Струмица</v>
          </cell>
        </row>
        <row r="261">
          <cell r="A261" t="str">
            <v>Пекабеско Скопје</v>
          </cell>
        </row>
        <row r="262">
          <cell r="A262" t="str">
            <v>Попова Кула Демир Капија</v>
          </cell>
        </row>
        <row r="263">
          <cell r="A263" t="str">
            <v>Прилепска Пиварница Прилеп</v>
          </cell>
        </row>
        <row r="264">
          <cell r="A264" t="str">
            <v>Раде Кончар Скопје</v>
          </cell>
        </row>
        <row r="265">
          <cell r="A265" t="str">
            <v>РЖ Економика Скопје</v>
          </cell>
        </row>
        <row r="266">
          <cell r="A266" t="str">
            <v>Либерти АД Скопје</v>
          </cell>
        </row>
        <row r="267">
          <cell r="A267" t="str">
            <v>РЖ Техничка контрола Скопје</v>
          </cell>
        </row>
        <row r="268">
          <cell r="A268" t="str">
            <v>РЖ Уготур Скопје</v>
          </cell>
        </row>
        <row r="269">
          <cell r="A269" t="str">
            <v>Современ дом Прилеп</v>
          </cell>
        </row>
        <row r="270">
          <cell r="A270" t="str">
            <v>Силекс Кратово</v>
          </cell>
        </row>
        <row r="271">
          <cell r="A271" t="str">
            <v>Сковин Скопје</v>
          </cell>
        </row>
        <row r="272">
          <cell r="A272" t="str">
            <v>Славеј Скопје</v>
          </cell>
        </row>
        <row r="273">
          <cell r="A273" t="str">
            <v>Струмичко поле с.Василево</v>
          </cell>
        </row>
        <row r="274">
          <cell r="A274" t="str">
            <v>Сигурносно стакло Прилеп</v>
          </cell>
        </row>
        <row r="275">
          <cell r="A275" t="str">
            <v>Стопанска банка Скопје</v>
          </cell>
        </row>
        <row r="276">
          <cell r="A276" t="str">
            <v>Стокопромет Скопје</v>
          </cell>
        </row>
        <row r="277">
          <cell r="A277" t="str">
            <v>Тајмиште Кичево</v>
          </cell>
        </row>
        <row r="278">
          <cell r="A278" t="str">
            <v>ТЕАЛ-Алумина Тетово</v>
          </cell>
        </row>
        <row r="279">
          <cell r="A279" t="str">
            <v>Технокомерц Скопје</v>
          </cell>
        </row>
        <row r="280">
          <cell r="A280" t="str">
            <v>Македонски Телеком Скопје</v>
          </cell>
        </row>
        <row r="281">
          <cell r="A281" t="str">
            <v>ГД-Тиквеш Кавадарци</v>
          </cell>
        </row>
        <row r="282">
          <cell r="A282" t="str">
            <v>НЛБ Банка АД Скопје</v>
          </cell>
        </row>
        <row r="283">
          <cell r="A283" t="str">
            <v>Транскоп-Патнички сооб. Битола</v>
          </cell>
        </row>
        <row r="284">
          <cell r="A284" t="str">
            <v>Трготекстил малопродажба Скопје</v>
          </cell>
        </row>
        <row r="285">
          <cell r="A285" t="str">
            <v>Универзална Инвестициона Банка Скопје</v>
          </cell>
        </row>
        <row r="286">
          <cell r="A286" t="str">
            <v>Цементарница УСЈЕ Скопје</v>
          </cell>
        </row>
        <row r="287">
          <cell r="A287" t="str">
            <v>Триглав осигурување Скопје</v>
          </cell>
        </row>
        <row r="288">
          <cell r="A288" t="str">
            <v>Ветекс Велес</v>
          </cell>
        </row>
        <row r="289">
          <cell r="A289" t="str">
            <v>ЖАС Скопје</v>
          </cell>
        </row>
        <row r="290">
          <cell r="A290" t="str">
            <v>Жито Караорман Кичево</v>
          </cell>
        </row>
        <row r="291">
          <cell r="A291" t="str">
            <v>Жито Полог Тетово</v>
          </cell>
        </row>
        <row r="292">
          <cell r="A292" t="str">
            <v>Задолжителна котација - приоритетни акции</v>
          </cell>
        </row>
        <row r="293">
          <cell r="A293" t="str">
            <v>Стопанска банка Скопје</v>
          </cell>
        </row>
        <row r="294">
          <cell r="A294" t="str">
            <v>Редовен пазар</v>
          </cell>
        </row>
        <row r="295">
          <cell r="A295" t="str">
            <v>Пазар на акционерски друштва со посебни обврски за известување - обични акции</v>
          </cell>
        </row>
        <row r="296">
          <cell r="A296" t="str">
            <v>Агросервис Скопје</v>
          </cell>
        </row>
        <row r="297">
          <cell r="A297" t="str">
            <v>Шпаркасе банка Македонија АД Скопје</v>
          </cell>
        </row>
        <row r="298">
          <cell r="A298" t="str">
            <v>Слободен пазар - обични акции</v>
          </cell>
        </row>
        <row r="299">
          <cell r="A299" t="str">
            <v>Квасара Битола</v>
          </cell>
        </row>
        <row r="300">
          <cell r="A300" t="str">
            <v>АрцелорМиттал (ХРМ) АД Скопје - долгорочно суспендирано од котација</v>
          </cell>
        </row>
        <row r="301">
          <cell r="A301" t="str">
            <v>СТЕЛ-ЕР АД Штип</v>
          </cell>
        </row>
        <row r="302">
          <cell r="A302" t="str">
            <v>Таска АД Кавадарци</v>
          </cell>
        </row>
        <row r="303">
          <cell r="A303" t="str">
            <v>Ветеринарно сточарски центар Куманово</v>
          </cell>
        </row>
        <row r="304">
          <cell r="A304" t="str">
            <v>Јавна понуда на хв</v>
          </cell>
        </row>
        <row r="305">
          <cell r="A305" t="str">
            <v>Јавна понуда на обврзници</v>
          </cell>
        </row>
        <row r="306">
          <cell r="A306" t="str">
            <v>СН Осигурителен Брокер АД Битола - јавна понуда за запишување на корпоративни обврзници</v>
          </cell>
        </row>
        <row r="307">
          <cell r="A307" t="str">
            <v>Вкупен промет на сите пазарни сегменти: 113.144.706,00</v>
          </cell>
        </row>
        <row r="308">
          <cell r="A308" t="str">
            <v>МБИ10</v>
          </cell>
        </row>
        <row r="309">
          <cell r="A309" t="str">
            <v>ОМБ</v>
          </cell>
        </row>
        <row r="310">
          <cell r="A310" t="str">
            <v>1 EUR = 61,6948 МКД</v>
          </cell>
        </row>
      </sheetData>
      <sheetData sheetId="1"/>
      <sheetData sheetId="2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  <cell r="B6">
            <v>12423.76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  <cell r="B21">
            <v>51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  <cell r="B26">
            <v>250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DO2014/16-0724dk</v>
          </cell>
        </row>
        <row r="46">
          <cell r="A46" t="str">
            <v>Р. Македонија - државна обврзница DO2016/26-1131dk</v>
          </cell>
        </row>
        <row r="47">
          <cell r="A47" t="str">
            <v>Р. Македонија - државна обврзница DO2020/14-1223</v>
          </cell>
        </row>
        <row r="48">
          <cell r="A48" t="str">
            <v>Р. Македонија - државна обврзница DO2015/44-1230dk</v>
          </cell>
        </row>
        <row r="49">
          <cell r="A49" t="str">
            <v>Р. Македонија - државна обврзница DO2020/15-1235dk</v>
          </cell>
        </row>
        <row r="50">
          <cell r="A50" t="str">
            <v>Р. Македонија - државна обврзница DO2021/04-0336</v>
          </cell>
        </row>
        <row r="51">
          <cell r="A51" t="str">
            <v>Р. Македонија - државна обврзница DO2017/14-0532dk</v>
          </cell>
        </row>
        <row r="52">
          <cell r="A52" t="str">
            <v>Р. Македонија - државна обврзница DO2015/19-0630dk</v>
          </cell>
        </row>
        <row r="53">
          <cell r="A53" t="str">
            <v>Р. Македонија - државна обврзница DO2014/19-0924dk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DO2020/03-0325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дрзжвна обврзница ДО2021/13-0836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DO2020/11-1122</v>
          </cell>
        </row>
        <row r="60">
          <cell r="A60" t="str">
            <v>Р. Македонија - државна обврзница DO2020/12-1125</v>
          </cell>
        </row>
        <row r="61">
          <cell r="A61" t="str">
            <v>Р. Македонија - државна обврзница DO2019/16-1234dk</v>
          </cell>
        </row>
        <row r="62">
          <cell r="A62" t="str">
            <v>Р. Македонија - државна обврзница DO2017/12-0432dk</v>
          </cell>
        </row>
        <row r="63">
          <cell r="A63" t="str">
            <v>Р. Македонија - државна обврзница DO2017/19-0732dk</v>
          </cell>
        </row>
        <row r="64">
          <cell r="A64" t="str">
            <v>Р. Македонија - државна обврзница DO2015/30-0825dk</v>
          </cell>
        </row>
        <row r="65">
          <cell r="A65" t="str">
            <v>Р. Македонија - државна обврзница DO2015/31-0830dk</v>
          </cell>
        </row>
        <row r="66">
          <cell r="A66" t="str">
            <v>Р. Македонија - државна обврзница DO2020/07-0850dk</v>
          </cell>
        </row>
        <row r="67">
          <cell r="A67" t="str">
            <v>Р. Македонија - државна обврзница DO2019/05-0324</v>
          </cell>
        </row>
        <row r="68">
          <cell r="A68" t="str">
            <v>Р. Македонија - државна обврзница DO2016/11-0426dk</v>
          </cell>
        </row>
        <row r="69">
          <cell r="A69" t="str">
            <v>Р. Македонија - државна обврзница DO2015/17-0530dk</v>
          </cell>
        </row>
        <row r="70">
          <cell r="A70" t="str">
            <v>Р. Македонија - државна обврзница DO2018/12-0633</v>
          </cell>
        </row>
        <row r="71">
          <cell r="A71" t="str">
            <v>Р. Македонија - државна обврзница DO2017/26-0932dk</v>
          </cell>
        </row>
        <row r="72">
          <cell r="A72" t="str">
            <v>Р. Македонија - државна обврзница DO2019/15-1134</v>
          </cell>
        </row>
        <row r="73">
          <cell r="A73" t="str">
            <v>Р. Македонија - државна обврзница DO2017/38-1232dk</v>
          </cell>
        </row>
        <row r="74">
          <cell r="A74" t="str">
            <v>Р. Македонија - државна обврзница DO2018/10-0333dk</v>
          </cell>
        </row>
        <row r="75">
          <cell r="A75" t="str">
            <v>Р. Македонија - државна обврзница DO2017/16-0632dk</v>
          </cell>
        </row>
        <row r="76">
          <cell r="A76" t="str">
            <v>Р. Македонија - државна обврзница DO2016/15-0731dk</v>
          </cell>
        </row>
        <row r="77">
          <cell r="A77" t="str">
            <v>Р. Македонија - државна обврзница DO2019/11-0834dk</v>
          </cell>
        </row>
        <row r="78">
          <cell r="A78" t="str">
            <v>Р. Македонија - државна обврзница DO2015/40-1030dk</v>
          </cell>
        </row>
        <row r="79">
          <cell r="A79" t="str">
            <v>Р. Македонија - државна обврзница DO2017/08-0332dk</v>
          </cell>
        </row>
        <row r="80">
          <cell r="A80" t="str">
            <v>Р. Македонија - државна обврзница DO2016/13-0631dk</v>
          </cell>
        </row>
        <row r="81">
          <cell r="A81" t="str">
            <v>Р. Македонија - државна обврзница DO2015/23-0725</v>
          </cell>
        </row>
        <row r="82">
          <cell r="A82" t="str">
            <v>Р. Македонија - државна обврзница DO2015/24-0725dk</v>
          </cell>
        </row>
        <row r="83">
          <cell r="A83" t="str">
            <v>Р. Македонија - државна обврзница DO2015/25-0730dk</v>
          </cell>
        </row>
        <row r="84">
          <cell r="A84" t="str">
            <v>Р. Македонија - државна обврзница DO2018/17-0833dk</v>
          </cell>
        </row>
        <row r="85">
          <cell r="A85" t="str">
            <v>Р. Македонија - државна обврзница DO2017/21-0822dk</v>
          </cell>
        </row>
        <row r="86">
          <cell r="A86" t="str">
            <v>Р. Македонија - државна обврзница DO2017/22-0832dk</v>
          </cell>
        </row>
        <row r="87">
          <cell r="A87" t="str">
            <v>Р. Македонија - државна обврзница DO2018/02-0128</v>
          </cell>
        </row>
        <row r="88">
          <cell r="A88" t="str">
            <v>Р. Македонија - државна обврзница DO2018/03-0133dk</v>
          </cell>
        </row>
        <row r="89">
          <cell r="A89" t="str">
            <v>Р. Македонија - државна обврзница DO2016/05-0226</v>
          </cell>
        </row>
        <row r="90">
          <cell r="A90" t="str">
            <v>Р. Македонија - државна обврзница DO2016/06-0226dk</v>
          </cell>
        </row>
        <row r="91">
          <cell r="A91" t="str">
            <v>Р. Македонија - државна обврзница DO2016/07-0231dk</v>
          </cell>
        </row>
        <row r="92">
          <cell r="A92" t="str">
            <v>Р. Македонија - државна обврзница DO2017/02-0132dk</v>
          </cell>
        </row>
        <row r="93">
          <cell r="A93" t="str">
            <v>Р. Македонија - државна обврзница DO2015/05-0230dk</v>
          </cell>
        </row>
        <row r="94">
          <cell r="A94" t="str">
            <v>Р. Македонија - државна обврзница DO2015/09-0325</v>
          </cell>
        </row>
        <row r="95">
          <cell r="A95" t="str">
            <v>Р. Македонија - државна обврзница DO2015/10-0330dk</v>
          </cell>
        </row>
        <row r="96">
          <cell r="A96" t="str">
            <v>Р. Македонија - државна обврзница DO2022/01-0137</v>
          </cell>
        </row>
        <row r="97">
          <cell r="A97" t="str">
            <v>Р. Македонија - државна обврзница DO2020/02-0235</v>
          </cell>
        </row>
        <row r="98">
          <cell r="A98" t="str">
            <v>Р. Македонија - државна обврзница DO2016/01-0126dk</v>
          </cell>
        </row>
        <row r="99">
          <cell r="A99" t="str">
            <v>Р. Македонија - државна обврзница DO2016/02-0131dk</v>
          </cell>
        </row>
        <row r="100">
          <cell r="A100" t="str">
            <v>Р. Македонија - државна обврзница DO2021/01-0136</v>
          </cell>
        </row>
        <row r="101">
          <cell r="A101" t="str">
            <v>Р. Македонија - државна обврзница DO2019/03-0224dk</v>
          </cell>
        </row>
        <row r="102">
          <cell r="A102" t="str">
            <v>Р. Македонија - државна обврзница DO2016/12-0431dk</v>
          </cell>
        </row>
        <row r="103">
          <cell r="A103" t="str">
            <v>Р. Македонија - државна обврзница DO2020/05-0522</v>
          </cell>
        </row>
        <row r="104">
          <cell r="A104" t="str">
            <v>Р. Македонија - државна обврзница DO2021/09-0526</v>
          </cell>
        </row>
        <row r="105">
          <cell r="A105" t="str">
            <v>Р. Македонија - државна обврзница DO2016/23-1031dk</v>
          </cell>
        </row>
        <row r="106">
          <cell r="A106" t="str">
            <v>Р. Македонија - државна обврзница DO2021/15-1036</v>
          </cell>
        </row>
        <row r="107">
          <cell r="A107" t="str">
            <v>Р. Македонија - државна обврзница DO2018/07-0223</v>
          </cell>
        </row>
        <row r="108">
          <cell r="A108" t="str">
            <v>Р. Македонија - државна обврзница DO2018/08-0233dk</v>
          </cell>
        </row>
        <row r="109">
          <cell r="A109" t="str">
            <v>Р. Македонија - државна обврзница DO2021/07-0436</v>
          </cell>
        </row>
        <row r="110">
          <cell r="A110" t="str">
            <v>Р. Македонија - државна обврзница DO2021/08-0436dk</v>
          </cell>
        </row>
        <row r="111">
          <cell r="A111" t="str">
            <v>Р. Македонија - државна обврзница DO2020/08-1030</v>
          </cell>
        </row>
        <row r="112">
          <cell r="A112" t="str">
            <v>Р. Македонија - државна обврзница DO2020/09-1030dk</v>
          </cell>
        </row>
        <row r="113">
          <cell r="A113" t="str">
            <v>Р. Македонија - државна обврзница DO2017/06-0232dk</v>
          </cell>
        </row>
        <row r="114">
          <cell r="A114" t="str">
            <v>Р. Македонија - државна обврзница DO2015/15-0430dk</v>
          </cell>
        </row>
        <row r="115">
          <cell r="A115" t="str">
            <v>Р. Македонија - државна обврзница DO2019/08-0524</v>
          </cell>
        </row>
        <row r="116">
          <cell r="A116" t="str">
            <v>Р. Македонија - државна обврзница DO2019/09-0534</v>
          </cell>
        </row>
        <row r="117">
          <cell r="A117" t="str">
            <v>Р. Македонија - државна обврзница DO2021/14-0936</v>
          </cell>
        </row>
        <row r="118">
          <cell r="A118" t="str">
            <v>Р. Македонија - државна обврзница DO2014/27-1024</v>
          </cell>
        </row>
        <row r="119">
          <cell r="A119" t="str">
            <v>Р. Македонија - државна обврзница DO2014/28-1024dk</v>
          </cell>
        </row>
        <row r="120">
          <cell r="A120" t="str">
            <v>Р. Македонија - државна обврзница DO2021/17-1224</v>
          </cell>
        </row>
        <row r="121">
          <cell r="A121" t="str">
            <v>Р. Македонија - државна обврзница DO2016/08-0331dk</v>
          </cell>
        </row>
        <row r="122">
          <cell r="A122" t="str">
            <v>Р. Македонија - државна обврзница DO2021/10-0636</v>
          </cell>
        </row>
        <row r="123">
          <cell r="A123" t="str">
            <v>Р. Македонија - државна обврзница DO2021/11-0636dk</v>
          </cell>
        </row>
        <row r="124">
          <cell r="A124" t="str">
            <v>Р. Македонија - државна обврзница DO2017/23-0822dk</v>
          </cell>
        </row>
        <row r="125">
          <cell r="A125" t="str">
            <v>Р. Македонија - државна обврзница DO2017/24-0832dk</v>
          </cell>
        </row>
        <row r="126">
          <cell r="A126" t="str">
            <v>Р. Македонија - државна обврзница DO2015/37-0930dk</v>
          </cell>
        </row>
        <row r="127">
          <cell r="A127" t="str">
            <v>Р. Македонија - државна обврзница DO2019/13-1024</v>
          </cell>
        </row>
        <row r="128">
          <cell r="A128" t="str">
            <v>Р. Македонија - државна обврзница DO2020/16-1222dk</v>
          </cell>
        </row>
        <row r="129">
          <cell r="A129" t="str">
            <v>Р. Македонија - државна обврзница DO2015/45-1225dk</v>
          </cell>
        </row>
        <row r="130">
          <cell r="A130" t="str">
            <v>Р. Македонија - државна обврзница DO2021/03-0224</v>
          </cell>
        </row>
        <row r="131">
          <cell r="A131" t="str">
            <v>Р. Македонија - државна обврзница DO2019/06-0449dk</v>
          </cell>
        </row>
        <row r="132">
          <cell r="A132" t="str">
            <v>Р. Македонија - државна обврзница DO2020/06-0635</v>
          </cell>
        </row>
        <row r="133">
          <cell r="A133" t="str">
            <v>Р. Македонија - државна обврзница DO2019/10-0749dk</v>
          </cell>
        </row>
        <row r="134">
          <cell r="A134" t="str">
            <v>Р. Македонија - државна обврзница DO2016/17-0826</v>
          </cell>
        </row>
        <row r="135">
          <cell r="A135" t="str">
            <v>Р. Македонија - државна обврзница DO2016/18-0826dk</v>
          </cell>
        </row>
        <row r="136">
          <cell r="A136" t="str">
            <v>Р. Македонија - државна обврзница DO2016/19-0831dk</v>
          </cell>
        </row>
        <row r="137">
          <cell r="A137" t="str">
            <v>Р. Македонија - државна обврзница DO2018/23-1048dk</v>
          </cell>
        </row>
        <row r="138">
          <cell r="A138" t="str">
            <v>Р. Македонија - државна обврзница DO2021/16-1136dk</v>
          </cell>
        </row>
        <row r="139">
          <cell r="A139" t="str">
            <v>Р. Македонија - државна обврзница DO2018/14-0723</v>
          </cell>
        </row>
        <row r="140">
          <cell r="A140" t="str">
            <v>Р. Македонија - државна обврзница DO2018/15-0748dk</v>
          </cell>
        </row>
        <row r="141">
          <cell r="A141" t="str">
            <v>Р. Македонија - државна обврзница DO2019/12-0934</v>
          </cell>
        </row>
        <row r="142">
          <cell r="A142" t="str">
            <v>Р. Македонија - државна обврзница DO2017/32-1032dk</v>
          </cell>
        </row>
        <row r="143">
          <cell r="A143" t="str">
            <v>Р. Македонија - државна обврзница DO2020/13-1123dk</v>
          </cell>
        </row>
        <row r="144">
          <cell r="A144" t="str">
            <v>Р. Македонија - државна обврзница DO2015/42-1125dk</v>
          </cell>
        </row>
        <row r="145">
          <cell r="A145" t="str">
            <v>Р. Македонија - државна обврзница DO2015/43-1130dk</v>
          </cell>
        </row>
        <row r="146">
          <cell r="A146" t="str">
            <v>Р. Македонија - државна обврзница DO2017/20-0732dk</v>
          </cell>
        </row>
        <row r="147">
          <cell r="A147" t="str">
            <v>Р. Македонија - државна обврзница DO2015/32-0825</v>
          </cell>
        </row>
        <row r="148">
          <cell r="A148" t="str">
            <v>Р. Македонија - државна обврзница DO2015/33-0830dk</v>
          </cell>
        </row>
        <row r="149">
          <cell r="A149" t="str">
            <v>Р. Македонија - државна обврзница DO2018/19-0933</v>
          </cell>
        </row>
        <row r="150">
          <cell r="A150" t="str">
            <v>Р. Македонија - државна обврзница DO2018/20-0933dk</v>
          </cell>
        </row>
        <row r="151">
          <cell r="A151" t="str">
            <v>Р. Македонија - државна обврзница DO2015/18-0525dk</v>
          </cell>
        </row>
        <row r="152">
          <cell r="A152" t="str">
            <v>Р. Македонија - државна обврзница DO2018/13-0633dk</v>
          </cell>
        </row>
        <row r="153">
          <cell r="A153" t="str">
            <v>Р. Македонија - државна обврзница DO2014/18-0824dk</v>
          </cell>
        </row>
        <row r="154">
          <cell r="A154" t="str">
            <v>Р. Македонија - државна обврзница DO2017/27-0932dk</v>
          </cell>
        </row>
        <row r="155">
          <cell r="A155" t="str">
            <v>Р. Македонија - државна обврзница DO2016/03-0131dk</v>
          </cell>
        </row>
        <row r="156">
          <cell r="A156" t="str">
            <v>Р. Македонија - државна обврзница DO2017/17-0632dk</v>
          </cell>
        </row>
        <row r="157">
          <cell r="A157" t="str">
            <v>Р. Македонија - државна обврзница DO2016/21-0931dk</v>
          </cell>
        </row>
        <row r="158">
          <cell r="A158" t="str">
            <v>Р. Македонија - државна обврзница DO2018/27-1133dk</v>
          </cell>
        </row>
        <row r="159">
          <cell r="A159" t="str">
            <v>Р. Македонија - државна обврзница DO2016/29-1231dk</v>
          </cell>
        </row>
        <row r="160">
          <cell r="A160" t="str">
            <v>Р. Македонија - државна обврзница DO2014/02-0124</v>
          </cell>
        </row>
        <row r="161">
          <cell r="A161" t="str">
            <v>Р. Македонија - државна обврзница DO2014/03-0124dk</v>
          </cell>
        </row>
        <row r="162">
          <cell r="A162" t="str">
            <v>Р. Македонија - државна обврзница DO2017/10-0332dk</v>
          </cell>
        </row>
        <row r="163">
          <cell r="A163" t="str">
            <v>Р. Македонија - државна обврзница DO2016/14-0631dk</v>
          </cell>
        </row>
        <row r="164">
          <cell r="A164" t="str">
            <v>Р. Македонија - државна обврзница DO2015/27-0725dk</v>
          </cell>
        </row>
        <row r="165">
          <cell r="A165" t="str">
            <v>Р. Македонија - државна обврзница DO2015/28-0730dk</v>
          </cell>
        </row>
        <row r="166">
          <cell r="A166" t="str">
            <v>Р. Македонија - државна обврзница DO2017/36-1132dk</v>
          </cell>
        </row>
        <row r="167">
          <cell r="A167" t="str">
            <v>Р. Македонија - државна обврзница DO2016/09-0326</v>
          </cell>
        </row>
        <row r="168">
          <cell r="A168" t="str">
            <v>Р. Македонија - државна обврзница DO2014/17-0724dk</v>
          </cell>
        </row>
        <row r="169">
          <cell r="A169" t="str">
            <v>Р. Македонија - државна обврзница DO2015/38-0925dk</v>
          </cell>
        </row>
        <row r="170">
          <cell r="A170" t="str">
            <v>Р. Македонија - државна обврзница DO2015/39-0930dk</v>
          </cell>
        </row>
        <row r="171">
          <cell r="A171" t="str">
            <v>Р. Македонија - државна обврзница DO2015/46-1225dk</v>
          </cell>
        </row>
        <row r="172">
          <cell r="A172" t="str">
            <v>Р. Македонија - државна обврзница DO2018/04-0133</v>
          </cell>
        </row>
        <row r="173">
          <cell r="A173" t="str">
            <v>Р. Македонија - државна обврзница DO2018/05-0133dk</v>
          </cell>
        </row>
        <row r="174">
          <cell r="A174" t="str">
            <v>Р. Македонија - државна обврзница DO2015/20-0625</v>
          </cell>
        </row>
        <row r="175">
          <cell r="A175" t="str">
            <v>Р. Македонија - државна обврзница DO2015/21-0625dk</v>
          </cell>
        </row>
        <row r="176">
          <cell r="A176" t="str">
            <v>Р. Македонија - државна обврзница DO2015/22-0630dk</v>
          </cell>
        </row>
        <row r="177">
          <cell r="A177" t="str">
            <v>Р. Македонија - државна обврзница DO2017/05-0132dk</v>
          </cell>
        </row>
        <row r="178">
          <cell r="A178" t="str">
            <v>Р. Македонија - државна обврзница DO2015/08-0230dk</v>
          </cell>
        </row>
        <row r="179">
          <cell r="A179" t="str">
            <v>Р. Македонија - државна обврзница DO2015/12-0325</v>
          </cell>
        </row>
        <row r="180">
          <cell r="A180" t="str">
            <v>Р. Македонија - државна обврзница DO2015/13-0330dk</v>
          </cell>
        </row>
        <row r="181">
          <cell r="A181" t="str">
            <v>Р. Македонија - државна обврзница DO2018/11-0448dk</v>
          </cell>
        </row>
        <row r="182">
          <cell r="A182" t="str">
            <v>Р. Македонија - државна обврзница DO2022/02-0125</v>
          </cell>
        </row>
        <row r="183">
          <cell r="A183" t="str">
            <v>Р. Македонија - државна обврзница DO2015/34-0825</v>
          </cell>
        </row>
        <row r="184">
          <cell r="A184" t="str">
            <v>Р. Македонија - државна обврзница DO2015/35-0825dk</v>
          </cell>
        </row>
        <row r="185">
          <cell r="A185" t="str">
            <v>Р. Македонија - државна обврзница DO2015/36-0830dk</v>
          </cell>
        </row>
        <row r="186">
          <cell r="A186" t="str">
            <v>Р. Македонија - државна обврзница DO2021/02-0123</v>
          </cell>
        </row>
        <row r="187">
          <cell r="A187" t="str">
            <v>Р. Македонија - државна обврзница DO2016/04-0131dk</v>
          </cell>
        </row>
        <row r="188">
          <cell r="A188" t="str">
            <v>Р. Македонија - државна обврзница DO2019/04-0234</v>
          </cell>
          <cell r="B188">
            <v>107.1</v>
          </cell>
        </row>
        <row r="189">
          <cell r="A189" t="str">
            <v>Р. Македонија - државна обврзница DO2016/16-0731dk</v>
          </cell>
        </row>
        <row r="190">
          <cell r="A190" t="str">
            <v>Р. Македонија - државна обврзница DO2015/03-0125</v>
          </cell>
        </row>
        <row r="191">
          <cell r="A191" t="str">
            <v>Р. Македонија - државна обврзница DO2015/04-0125dk</v>
          </cell>
        </row>
        <row r="192">
          <cell r="A192" t="str">
            <v>Р. Македонија - државна обврзница DO2017/18-0632dk</v>
          </cell>
        </row>
        <row r="193">
          <cell r="A193" t="str">
            <v>Р. Македонија - држaвна обврзница DO2021/12-0724</v>
          </cell>
        </row>
        <row r="194">
          <cell r="A194" t="str">
            <v>Р. Македонија - државна обврзница DO2016/22-0931dk</v>
          </cell>
        </row>
        <row r="195">
          <cell r="A195" t="str">
            <v>Р. Македонија - државна обврзница DO2015/41-1030dk</v>
          </cell>
        </row>
        <row r="196">
          <cell r="A196" t="str">
            <v>Р. Македонија - државна обврзница DO2020/10-1035</v>
          </cell>
        </row>
        <row r="197">
          <cell r="A197" t="str">
            <v>Р. Македонија - државна обврзница DO2020/01-0150dk</v>
          </cell>
        </row>
        <row r="198">
          <cell r="A198" t="str">
            <v>Р. Македонија - државна обврзница DO2017/11-0332dk</v>
          </cell>
        </row>
        <row r="199">
          <cell r="A199" t="str">
            <v>Р. Македонија - државна обврзница DO2020/04-0450dk</v>
          </cell>
        </row>
        <row r="200">
          <cell r="A200" t="str">
            <v>Р. Македонија - државна обврзница DO2015/29-0730dk</v>
          </cell>
        </row>
        <row r="201">
          <cell r="A201" t="str">
            <v>Р. Македонија - државна обврзница DO2014/30-1024dk</v>
          </cell>
        </row>
        <row r="202">
          <cell r="A202" t="str">
            <v>Р. Македонија - државна обврзница DO2017/37-1132dk</v>
          </cell>
        </row>
        <row r="203">
          <cell r="A203" t="str">
            <v>Р. Македонија - државна обврзница DO2019/02-0149dk</v>
          </cell>
        </row>
        <row r="204">
          <cell r="A204" t="str">
            <v>Р. Македонија - државна обврзница DO2016/10-0331dk</v>
          </cell>
        </row>
        <row r="205">
          <cell r="A205" t="str">
            <v>Р. Македонија - државна обврзница DO2019/14-1049dk</v>
          </cell>
          <cell r="B205">
            <v>103.5</v>
          </cell>
        </row>
        <row r="206">
          <cell r="A206" t="str">
            <v>Р. Македонија - државна обврзница DO2020/17-1222</v>
          </cell>
        </row>
        <row r="207">
          <cell r="A207" t="str">
            <v>Р. Македонија - државна обврзница DO2020/18-1222dk</v>
          </cell>
        </row>
        <row r="208">
          <cell r="A208" t="str">
            <v>Р. Македонија - државна обврзница DO2020/19-1223</v>
          </cell>
        </row>
        <row r="209">
          <cell r="A209" t="str">
            <v>Р. Македонија - државна обврзница DO2020/20-1223dk</v>
          </cell>
        </row>
        <row r="210">
          <cell r="A210" t="str">
            <v>Р. Македонија - денационализација 11</v>
          </cell>
          <cell r="B210">
            <v>99.5</v>
          </cell>
        </row>
        <row r="211">
          <cell r="A211" t="str">
            <v>Р. Македонија - денационализација 12</v>
          </cell>
          <cell r="B211">
            <v>99.31</v>
          </cell>
        </row>
        <row r="212">
          <cell r="A212" t="str">
            <v>Р. Македонија - денационализација 13</v>
          </cell>
          <cell r="B212">
            <v>99</v>
          </cell>
        </row>
        <row r="213">
          <cell r="A213" t="str">
            <v>Р. Македонија - денационализација 14</v>
          </cell>
          <cell r="B213">
            <v>99</v>
          </cell>
        </row>
        <row r="214">
          <cell r="A214" t="str">
            <v>Р. Македонија - денационализација 15</v>
          </cell>
          <cell r="B214">
            <v>99</v>
          </cell>
        </row>
        <row r="215">
          <cell r="A215" t="str">
            <v>Р. Македонија - денационализација 16</v>
          </cell>
          <cell r="B215">
            <v>99</v>
          </cell>
        </row>
        <row r="216">
          <cell r="A216" t="str">
            <v>Р. Македонија - денационализација 17</v>
          </cell>
          <cell r="B216">
            <v>99.8</v>
          </cell>
        </row>
        <row r="217">
          <cell r="A217" t="str">
            <v>Р. Македонија - денационализација 18</v>
          </cell>
          <cell r="B217">
            <v>99.58</v>
          </cell>
        </row>
        <row r="218">
          <cell r="A218" t="str">
            <v>Р. Македонија - денационализација 19</v>
          </cell>
          <cell r="B218">
            <v>99.65</v>
          </cell>
        </row>
        <row r="219">
          <cell r="A219" t="str">
            <v>Р. Македонија - денационализација 20</v>
          </cell>
          <cell r="B219">
            <v>99.9</v>
          </cell>
        </row>
        <row r="220">
          <cell r="A220" t="str">
            <v>ТТК банка АД Скопје - корпоративна обврзница I емисија</v>
          </cell>
          <cell r="B220">
            <v>100</v>
          </cell>
        </row>
        <row r="221">
          <cell r="A221" t="str">
            <v>ТТК банка АД Скопје - корпоративна обврзница II емисија</v>
          </cell>
        </row>
        <row r="222">
          <cell r="A222" t="str">
            <v>Берзанска котација - други хартии од вредност</v>
          </cell>
        </row>
        <row r="223">
          <cell r="A223" t="str">
            <v>Универзална Инвестициона Банка Скопје - перпетуални обврзници</v>
          </cell>
          <cell r="B223">
            <v>101.5</v>
          </cell>
        </row>
        <row r="224">
          <cell r="A224" t="str">
            <v>Задолжителна котација - обични акции</v>
          </cell>
        </row>
        <row r="225">
          <cell r="A225" t="str">
            <v>Адинг Скопје</v>
          </cell>
          <cell r="B225">
            <v>732</v>
          </cell>
        </row>
        <row r="226">
          <cell r="A226" t="str">
            <v>Агромеханика Скопје</v>
          </cell>
          <cell r="B226">
            <v>300</v>
          </cell>
        </row>
        <row r="227">
          <cell r="A227" t="str">
            <v>Ангропромет-Тиквешанка Кавадарци</v>
          </cell>
          <cell r="B227">
            <v>750</v>
          </cell>
        </row>
        <row r="228">
          <cell r="A228" t="str">
            <v>Аутомакедонија Скопје</v>
          </cell>
          <cell r="B228">
            <v>2700</v>
          </cell>
        </row>
        <row r="229">
          <cell r="A229" t="str">
            <v>Рудници Бањани Скопје</v>
          </cell>
          <cell r="B229">
            <v>603</v>
          </cell>
        </row>
        <row r="230">
          <cell r="A230" t="str">
            <v>Кристал 1923 АД Велес</v>
          </cell>
          <cell r="B230">
            <v>150</v>
          </cell>
        </row>
        <row r="231">
          <cell r="A231" t="str">
            <v>БИМ Свети Николе</v>
          </cell>
          <cell r="B231">
            <v>15550</v>
          </cell>
        </row>
        <row r="232">
          <cell r="A232" t="str">
            <v>ФЗЦ 11 Октомври Куманово</v>
          </cell>
          <cell r="B232">
            <v>400</v>
          </cell>
        </row>
        <row r="233">
          <cell r="A233" t="str">
            <v>Централна кооперативна банка Скопје</v>
          </cell>
          <cell r="B233">
            <v>600</v>
          </cell>
        </row>
        <row r="234">
          <cell r="A234" t="str">
            <v>Дебарски бањи Дебар</v>
          </cell>
          <cell r="B234">
            <v>1550</v>
          </cell>
        </row>
        <row r="235">
          <cell r="A235" t="str">
            <v>Димко Митрев Велес</v>
          </cell>
          <cell r="B235">
            <v>185</v>
          </cell>
        </row>
        <row r="236">
          <cell r="A236" t="str">
            <v>Единство Струмица</v>
          </cell>
          <cell r="B236">
            <v>303</v>
          </cell>
        </row>
        <row r="237">
          <cell r="A237" t="str">
            <v>Европа Скопје</v>
          </cell>
          <cell r="B237">
            <v>2900</v>
          </cell>
        </row>
        <row r="238">
          <cell r="A238" t="str">
            <v>Факом Скопје</v>
          </cell>
          <cell r="B238">
            <v>7200</v>
          </cell>
        </row>
        <row r="239">
          <cell r="A239" t="str">
            <v>Фустеларко Борец Битола</v>
          </cell>
          <cell r="B239">
            <v>1568</v>
          </cell>
        </row>
        <row r="240">
          <cell r="A240" t="str">
            <v>Герас Цунев конфекција Струмица</v>
          </cell>
          <cell r="B240">
            <v>500</v>
          </cell>
        </row>
        <row r="241">
          <cell r="A241" t="str">
            <v>Герас Цунев трговија Струмица</v>
          </cell>
        </row>
        <row r="242">
          <cell r="A242" t="str">
            <v>Грозд Струмица</v>
          </cell>
          <cell r="B242">
            <v>2250</v>
          </cell>
        </row>
        <row r="243">
          <cell r="A243" t="str">
            <v>Градски Трговски Центар Скопје</v>
          </cell>
        </row>
        <row r="244">
          <cell r="A244" t="str">
            <v>Интерпромет Тетово</v>
          </cell>
        </row>
        <row r="245">
          <cell r="A245" t="str">
            <v>Македонија осигурување АД Скопје - Виена Иншуренс Груп</v>
          </cell>
          <cell r="B245">
            <v>1131</v>
          </cell>
        </row>
        <row r="246">
          <cell r="A246" t="str">
            <v>Кланица со ладилник Струмица</v>
          </cell>
          <cell r="B246">
            <v>120</v>
          </cell>
        </row>
        <row r="247">
          <cell r="A247" t="str">
            <v>Фруктал МАК Скопје</v>
          </cell>
        </row>
        <row r="248">
          <cell r="A248" t="str">
            <v>Карпош Скопје</v>
          </cell>
          <cell r="B248">
            <v>333</v>
          </cell>
        </row>
        <row r="249">
          <cell r="A249" t="str">
            <v>Лотарија на Македонија Скопје</v>
          </cell>
          <cell r="B249">
            <v>206</v>
          </cell>
        </row>
        <row r="250">
          <cell r="A250" t="str">
            <v>Пелистерка АД Скопје</v>
          </cell>
          <cell r="B250">
            <v>2400</v>
          </cell>
        </row>
        <row r="251">
          <cell r="A251" t="str">
            <v>Макпромет Штип</v>
          </cell>
          <cell r="B251">
            <v>553</v>
          </cell>
        </row>
        <row r="252">
          <cell r="A252" t="str">
            <v>Мермерен комбинат Прилеп</v>
          </cell>
        </row>
        <row r="253">
          <cell r="A253" t="str">
            <v>Мода Свети Николе</v>
          </cell>
        </row>
        <row r="254">
          <cell r="A254" t="str">
            <v>Вабтек МЗТ Скопје</v>
          </cell>
          <cell r="B254">
            <v>3133</v>
          </cell>
        </row>
        <row r="255">
          <cell r="A255" t="str">
            <v>МЗТ Пумпи Скопје</v>
          </cell>
        </row>
        <row r="256">
          <cell r="A256" t="str">
            <v>Огражден Струмица</v>
          </cell>
          <cell r="B256">
            <v>1900</v>
          </cell>
        </row>
        <row r="257">
          <cell r="A257" t="str">
            <v>Нова стоковна куќа Струмица</v>
          </cell>
          <cell r="B257">
            <v>61500</v>
          </cell>
        </row>
        <row r="258">
          <cell r="A258" t="str">
            <v>Оилко КДА Скопје</v>
          </cell>
        </row>
        <row r="259">
          <cell r="A259" t="str">
            <v>ОКТА Скопје</v>
          </cell>
        </row>
        <row r="260">
          <cell r="A260" t="str">
            <v>Оранжерии Хамзали Струмица</v>
          </cell>
        </row>
        <row r="261">
          <cell r="A261" t="str">
            <v>Пекабеско Скопје</v>
          </cell>
        </row>
        <row r="262">
          <cell r="A262" t="str">
            <v>Попова Кула Демир Капија</v>
          </cell>
        </row>
        <row r="263">
          <cell r="A263" t="str">
            <v>Прилепска Пиварница Прилеп</v>
          </cell>
        </row>
        <row r="264">
          <cell r="A264" t="str">
            <v>Раде Кончар Скопје</v>
          </cell>
        </row>
        <row r="265">
          <cell r="A265" t="str">
            <v>РЖ Економика Скопје</v>
          </cell>
        </row>
        <row r="266">
          <cell r="A266" t="str">
            <v>Либерти АД Скопје</v>
          </cell>
        </row>
        <row r="267">
          <cell r="A267" t="str">
            <v>РЖ Техничка контрола Скопје</v>
          </cell>
        </row>
        <row r="268">
          <cell r="A268" t="str">
            <v>РЖ Уготур Скопје</v>
          </cell>
        </row>
        <row r="269">
          <cell r="A269" t="str">
            <v>Современ дом Прилеп</v>
          </cell>
        </row>
        <row r="270">
          <cell r="A270" t="str">
            <v>Силекс Кратово</v>
          </cell>
        </row>
        <row r="271">
          <cell r="A271" t="str">
            <v>Сковин Скопје</v>
          </cell>
        </row>
        <row r="272">
          <cell r="A272" t="str">
            <v>Славеј Скопје</v>
          </cell>
        </row>
        <row r="273">
          <cell r="A273" t="str">
            <v>Струмичко поле с.Василево</v>
          </cell>
        </row>
        <row r="274">
          <cell r="A274" t="str">
            <v>Сигурносно стакло Прилеп</v>
          </cell>
        </row>
        <row r="275">
          <cell r="A275" t="str">
            <v>Стопанска банка Скопје</v>
          </cell>
        </row>
        <row r="276">
          <cell r="A276" t="str">
            <v>Стокопромет Скопје</v>
          </cell>
        </row>
        <row r="277">
          <cell r="A277" t="str">
            <v>Тајмиште Кичево</v>
          </cell>
        </row>
        <row r="278">
          <cell r="A278" t="str">
            <v>ТЕАЛ-Алумина Тетово</v>
          </cell>
        </row>
        <row r="279">
          <cell r="A279" t="str">
            <v>Технокомерц Скопје</v>
          </cell>
        </row>
        <row r="280">
          <cell r="A280" t="str">
            <v>Македонски Телеком Скопје</v>
          </cell>
        </row>
        <row r="281">
          <cell r="A281" t="str">
            <v>ГД-Тиквеш Кавадарци</v>
          </cell>
        </row>
        <row r="282">
          <cell r="A282" t="str">
            <v>НЛБ Банка АД Скопје</v>
          </cell>
        </row>
        <row r="283">
          <cell r="A283" t="str">
            <v>Транскоп-Патнички сооб. Битола</v>
          </cell>
        </row>
        <row r="284">
          <cell r="A284" t="str">
            <v>Трготекстил малопродажба Скопје</v>
          </cell>
        </row>
        <row r="285">
          <cell r="A285" t="str">
            <v>Универзална Инвестициона Банка Скопје</v>
          </cell>
        </row>
        <row r="286">
          <cell r="A286" t="str">
            <v>Цементарница УСЈЕ Скопје</v>
          </cell>
        </row>
        <row r="287">
          <cell r="A287" t="str">
            <v>Триглав осигурување Скопје</v>
          </cell>
        </row>
        <row r="288">
          <cell r="A288" t="str">
            <v>Ветекс Велес</v>
          </cell>
        </row>
        <row r="289">
          <cell r="A289" t="str">
            <v>ЖАС Скопје</v>
          </cell>
        </row>
        <row r="290">
          <cell r="A290" t="str">
            <v>Жито Караорман Кичево</v>
          </cell>
        </row>
        <row r="291">
          <cell r="A291" t="str">
            <v>Жито Полог Тетово</v>
          </cell>
        </row>
        <row r="292">
          <cell r="A292" t="str">
            <v>Задолжителна котација - приоритетни акции</v>
          </cell>
        </row>
        <row r="293">
          <cell r="A293" t="str">
            <v>Стопанска банка Скопје</v>
          </cell>
        </row>
        <row r="294">
          <cell r="A294" t="str">
            <v>Редовен пазар</v>
          </cell>
        </row>
        <row r="295">
          <cell r="A295" t="str">
            <v>Пазар на акционерски друштва со посебни обврски за известување - обични акции</v>
          </cell>
        </row>
        <row r="296">
          <cell r="A296" t="str">
            <v>Агросервис Скопје</v>
          </cell>
        </row>
        <row r="297">
          <cell r="A297" t="str">
            <v>Шпаркасе банка Македонија АД Скопје</v>
          </cell>
        </row>
        <row r="298">
          <cell r="A298" t="str">
            <v>Слободен пазар - обични акции</v>
          </cell>
        </row>
        <row r="299">
          <cell r="A299" t="str">
            <v>Квасара Битола</v>
          </cell>
        </row>
        <row r="300">
          <cell r="A300" t="str">
            <v>АрцелорМиттал (ХРМ) АД Скопје - долгорочно суспендирано од котација</v>
          </cell>
        </row>
        <row r="301">
          <cell r="A301" t="str">
            <v>Таска АД Кавадарци</v>
          </cell>
        </row>
        <row r="302">
          <cell r="A302" t="str">
            <v>Ветеринарно сточарски центар Куманово</v>
          </cell>
        </row>
        <row r="303">
          <cell r="A303" t="str">
            <v>Јавна понуда на хв</v>
          </cell>
        </row>
        <row r="304">
          <cell r="A304" t="str">
            <v>Јавна понуда на обврзници</v>
          </cell>
        </row>
        <row r="305">
          <cell r="A305" t="str">
            <v>СН Осигурителен Брокер АД Битола - јавна понуда за запишување на корпоративни обврзници</v>
          </cell>
        </row>
        <row r="306">
          <cell r="A306" t="str">
            <v>Вкупен промет на сите пазарни сегменти: 17.154.878,00</v>
          </cell>
        </row>
        <row r="307">
          <cell r="A307" t="str">
            <v>МБИ10</v>
          </cell>
        </row>
        <row r="308">
          <cell r="A308" t="str">
            <v>ОМБ</v>
          </cell>
        </row>
        <row r="309">
          <cell r="A309" t="str">
            <v>1 EUR = 61,6950 МКД</v>
          </cell>
        </row>
      </sheetData>
      <sheetData sheetId="1"/>
      <sheetData sheetId="2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  <cell r="B14">
            <v>20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  <cell r="B20">
            <v>20</v>
          </cell>
        </row>
        <row r="21">
          <cell r="A21" t="str">
            <v>РЖ Услуги Скопје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</row>
        <row r="25">
          <cell r="A25" t="str">
            <v>Тетекс Тетово</v>
          </cell>
          <cell r="B25">
            <v>2350</v>
          </cell>
        </row>
        <row r="26">
          <cell r="A26" t="str">
            <v>Тутунски комбинат Прилеп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  <cell r="B34">
            <v>560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DO2014/16-0724dk</v>
          </cell>
        </row>
        <row r="46">
          <cell r="A46" t="str">
            <v>Р. Македонија - државна обврзница DO2016/26-1131dk</v>
          </cell>
        </row>
        <row r="47">
          <cell r="A47" t="str">
            <v>Р. Македонија - државна обврзница DO2020/14-1223</v>
          </cell>
        </row>
        <row r="48">
          <cell r="A48" t="str">
            <v>Р. Македонија - државна обврзница DO2015/44-1230dk</v>
          </cell>
        </row>
        <row r="49">
          <cell r="A49" t="str">
            <v>Р. Македонија - државна обврзница DO2020/15-1235dk</v>
          </cell>
        </row>
        <row r="50">
          <cell r="A50" t="str">
            <v>Р. Македонија - државна обврзница DO2021/04-0336</v>
          </cell>
        </row>
        <row r="51">
          <cell r="A51" t="str">
            <v>Р. Македонија - државна обврзница DO2017/14-0532dk</v>
          </cell>
        </row>
        <row r="52">
          <cell r="A52" t="str">
            <v>Р. Македонија - државна обврзница DO2015/19-0630dk</v>
          </cell>
        </row>
        <row r="53">
          <cell r="A53" t="str">
            <v>Р. Македонија - државна обврзница DO2014/19-0924dk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DO2020/03-0325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дрзжвна обврзница ДО2021/13-0836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DO2020/11-1122</v>
          </cell>
        </row>
        <row r="60">
          <cell r="A60" t="str">
            <v>Р. Македонија - државна обврзница DO2020/12-1125</v>
          </cell>
        </row>
        <row r="61">
          <cell r="A61" t="str">
            <v>Р. Македонија - државна обврзница DO2019/16-1234dk</v>
          </cell>
        </row>
        <row r="62">
          <cell r="A62" t="str">
            <v>Р. Македонија - државна обврзница DO2017/12-0432dk</v>
          </cell>
        </row>
        <row r="63">
          <cell r="A63" t="str">
            <v>Р. Македонија - државна обврзница DO2017/19-0732dk</v>
          </cell>
        </row>
        <row r="64">
          <cell r="A64" t="str">
            <v>Р. Македонија - државна обврзница DO2015/30-0825dk</v>
          </cell>
        </row>
        <row r="65">
          <cell r="A65" t="str">
            <v>Р. Македонија - државна обврзница DO2015/31-0830dk</v>
          </cell>
        </row>
        <row r="66">
          <cell r="A66" t="str">
            <v>Р. Македонија - државна обврзница DO2020/07-0850dk</v>
          </cell>
        </row>
        <row r="67">
          <cell r="A67" t="str">
            <v>Р. Македонија - државна обврзница DO2019/05-0324</v>
          </cell>
        </row>
        <row r="68">
          <cell r="A68" t="str">
            <v>Р. Македонија - државна обврзница DO2016/11-0426dk</v>
          </cell>
        </row>
        <row r="69">
          <cell r="A69" t="str">
            <v>Р. Македонија - државна обврзница DO2015/17-0530dk</v>
          </cell>
        </row>
        <row r="70">
          <cell r="A70" t="str">
            <v>Р. Македонија - државна обврзница DO2018/12-0633</v>
          </cell>
        </row>
        <row r="71">
          <cell r="A71" t="str">
            <v>Р. Македонија - државна обврзница DO2017/26-0932dk</v>
          </cell>
        </row>
        <row r="72">
          <cell r="A72" t="str">
            <v>Р. Македонија - државна обврзница DO2019/15-1134</v>
          </cell>
        </row>
        <row r="73">
          <cell r="A73" t="str">
            <v>Р. Македонија - државна обврзница DO2017/38-1232dk</v>
          </cell>
        </row>
        <row r="74">
          <cell r="A74" t="str">
            <v>Р. Македонија - државна обврзница DO2018/10-0333dk</v>
          </cell>
        </row>
        <row r="75">
          <cell r="A75" t="str">
            <v>Р. Македонија - државна обврзница DO2017/16-0632dk</v>
          </cell>
        </row>
        <row r="76">
          <cell r="A76" t="str">
            <v>Р. Македонија - државна обврзница DO2016/15-0731dk</v>
          </cell>
        </row>
        <row r="77">
          <cell r="A77" t="str">
            <v>Р. Македонија - државна обврзница DO2019/11-0834dk</v>
          </cell>
        </row>
        <row r="78">
          <cell r="A78" t="str">
            <v>Р. Македонија - државна обврзница DO2015/40-1030dk</v>
          </cell>
        </row>
        <row r="79">
          <cell r="A79" t="str">
            <v>Р. Македонија - државна обврзница DO2017/08-0332dk</v>
          </cell>
        </row>
        <row r="80">
          <cell r="A80" t="str">
            <v>Р. Македонија - државна обврзница DO2016/13-0631dk</v>
          </cell>
        </row>
        <row r="81">
          <cell r="A81" t="str">
            <v>Р. Македонија - државна обврзница DO2015/23-0725</v>
          </cell>
        </row>
        <row r="82">
          <cell r="A82" t="str">
            <v>Р. Македонија - државна обврзница DO2015/24-0725dk</v>
          </cell>
        </row>
        <row r="83">
          <cell r="A83" t="str">
            <v>Р. Македонија - државна обврзница DO2015/25-0730dk</v>
          </cell>
        </row>
        <row r="84">
          <cell r="A84" t="str">
            <v>Р. Македонија - државна обврзница DO2018/17-0833dk</v>
          </cell>
        </row>
        <row r="85">
          <cell r="A85" t="str">
            <v>Р. Македонија - државна обврзница DO2017/21-0822dk</v>
          </cell>
        </row>
        <row r="86">
          <cell r="A86" t="str">
            <v>Р. Македонија - државна обврзница DO2017/22-0832dk</v>
          </cell>
        </row>
        <row r="87">
          <cell r="A87" t="str">
            <v>Р. Македонија - државна обврзница DO2018/02-0128</v>
          </cell>
        </row>
        <row r="88">
          <cell r="A88" t="str">
            <v>Р. Македонија - државна обврзница DO2018/03-0133dk</v>
          </cell>
        </row>
        <row r="89">
          <cell r="A89" t="str">
            <v>Р. Македонија - државна обврзница DO2016/05-0226</v>
          </cell>
        </row>
        <row r="90">
          <cell r="A90" t="str">
            <v>Р. Македонија - државна обврзница DO2016/06-0226dk</v>
          </cell>
        </row>
        <row r="91">
          <cell r="A91" t="str">
            <v>Р. Македонија - државна обврзница DO2016/07-0231dk</v>
          </cell>
        </row>
        <row r="92">
          <cell r="A92" t="str">
            <v>Р. Македонија - државна обврзница DO2017/02-0132dk</v>
          </cell>
        </row>
        <row r="93">
          <cell r="A93" t="str">
            <v>Р. Македонија - државна обврзница DO2015/05-0230dk</v>
          </cell>
        </row>
        <row r="94">
          <cell r="A94" t="str">
            <v>Р. Македонија - државна обврзница DO2015/09-0325</v>
          </cell>
        </row>
        <row r="95">
          <cell r="A95" t="str">
            <v>Р. Македонија - државна обврзница DO2015/10-0330dk</v>
          </cell>
        </row>
        <row r="96">
          <cell r="A96" t="str">
            <v>Р. Македонија - државна обврзница DO2020/02-0235</v>
          </cell>
        </row>
        <row r="97">
          <cell r="A97" t="str">
            <v>Р. Македонија - државна обврзница DO2016/01-0126dk</v>
          </cell>
        </row>
        <row r="98">
          <cell r="A98" t="str">
            <v>Р. Македонија - државна обврзница DO2016/02-0131dk</v>
          </cell>
        </row>
        <row r="99">
          <cell r="A99" t="str">
            <v>Р. Македонија - државна обврзница DO2021/01-0136</v>
          </cell>
        </row>
        <row r="100">
          <cell r="A100" t="str">
            <v>Р. Македонија - државна обврзница DO2019/03-0224dk</v>
          </cell>
        </row>
        <row r="101">
          <cell r="A101" t="str">
            <v>Р. Македонија - државна обврзница DO2016/12-0431dk</v>
          </cell>
        </row>
        <row r="102">
          <cell r="A102" t="str">
            <v>Р. Македонија - државна обврзница DO2020/05-0522</v>
          </cell>
        </row>
        <row r="103">
          <cell r="A103" t="str">
            <v>Р. Македонија - државна обврзница DO2021/09-0526</v>
          </cell>
        </row>
        <row r="104">
          <cell r="A104" t="str">
            <v>Р. Македонија - државна обврзница DO2016/23-1031dk</v>
          </cell>
        </row>
        <row r="105">
          <cell r="A105" t="str">
            <v>Р. Македонија - државна обврзница DO2021/15-1036</v>
          </cell>
        </row>
        <row r="106">
          <cell r="A106" t="str">
            <v>Р. Македонија - државна обврзница DO2018/07-0223</v>
          </cell>
        </row>
        <row r="107">
          <cell r="A107" t="str">
            <v>Р. Македонија - државна обврзница DO2018/08-0233dk</v>
          </cell>
        </row>
        <row r="108">
          <cell r="A108" t="str">
            <v>Р. Македонија - државна обврзница DO2021/07-0436</v>
          </cell>
        </row>
        <row r="109">
          <cell r="A109" t="str">
            <v>Р. Македонија - државна обврзница DO2021/08-0436dk</v>
          </cell>
        </row>
        <row r="110">
          <cell r="A110" t="str">
            <v>Р. Македонија - државна обврзница DO2020/08-1030</v>
          </cell>
        </row>
        <row r="111">
          <cell r="A111" t="str">
            <v>Р. Македонија - државна обврзница DO2020/09-1030dk</v>
          </cell>
        </row>
        <row r="112">
          <cell r="A112" t="str">
            <v>Р. Македонија - државна обврзница DO2017/06-0232dk</v>
          </cell>
        </row>
        <row r="113">
          <cell r="A113" t="str">
            <v>Р. Македонија - државна обврзница DO2015/15-0430dk</v>
          </cell>
        </row>
        <row r="114">
          <cell r="A114" t="str">
            <v>Р. Македонија - државна обврзница DO2019/08-0524</v>
          </cell>
        </row>
        <row r="115">
          <cell r="A115" t="str">
            <v>Р. Македонија - државна обврзница DO2019/09-0534</v>
          </cell>
        </row>
        <row r="116">
          <cell r="A116" t="str">
            <v>Р. Македонија - државна обврзница DO2021/14-0936</v>
          </cell>
        </row>
        <row r="117">
          <cell r="A117" t="str">
            <v>Р. Македонија - државна обврзница DO2014/27-1024</v>
          </cell>
        </row>
        <row r="118">
          <cell r="A118" t="str">
            <v>Р. Македонија - државна обврзница DO2014/28-1024dk</v>
          </cell>
        </row>
        <row r="119">
          <cell r="A119" t="str">
            <v>Р. Македонија - државна обврзница DO2021/17-1224</v>
          </cell>
        </row>
        <row r="120">
          <cell r="A120" t="str">
            <v>Р. Македонија - државна обврзница DO2016/08-0331dk</v>
          </cell>
        </row>
        <row r="121">
          <cell r="A121" t="str">
            <v>Р. Македонија - државна обврзница DO2021/10-0636</v>
          </cell>
        </row>
        <row r="122">
          <cell r="A122" t="str">
            <v>Р. Македонија - државна обврзница DO2021/11-0636dk</v>
          </cell>
        </row>
        <row r="123">
          <cell r="A123" t="str">
            <v>Р. Македонија - државна обврзница DO2017/23-0822dk</v>
          </cell>
        </row>
        <row r="124">
          <cell r="A124" t="str">
            <v>Р. Македонија - државна обврзница DO2017/24-0832dk</v>
          </cell>
        </row>
        <row r="125">
          <cell r="A125" t="str">
            <v>Р. Македонија - државна обврзница DO2015/37-0930dk</v>
          </cell>
        </row>
        <row r="126">
          <cell r="A126" t="str">
            <v>Р. Македонија - државна обврзница DO2019/13-1024</v>
          </cell>
        </row>
        <row r="127">
          <cell r="A127" t="str">
            <v>Р. Македонија - државна обврзница DO2020/16-1222dk</v>
          </cell>
        </row>
        <row r="128">
          <cell r="A128" t="str">
            <v>Р. Македонија - државна обврзница DO2015/45-1225dk</v>
          </cell>
        </row>
        <row r="129">
          <cell r="A129" t="str">
            <v>Р. Македонија - државна обврзница DO2021/03-0224</v>
          </cell>
        </row>
        <row r="130">
          <cell r="A130" t="str">
            <v>Р. Македонија - државна обврзница DO2019/06-0449dk</v>
          </cell>
        </row>
        <row r="131">
          <cell r="A131" t="str">
            <v>Р. Македонија - државна обврзница DO2020/06-0635</v>
          </cell>
        </row>
        <row r="132">
          <cell r="A132" t="str">
            <v>Р. Македонија - државна обврзница DO2019/10-0749dk</v>
          </cell>
          <cell r="B132">
            <v>101.6</v>
          </cell>
        </row>
        <row r="133">
          <cell r="A133" t="str">
            <v>Р. Македонија - државна обврзница DO2016/17-0826</v>
          </cell>
        </row>
        <row r="134">
          <cell r="A134" t="str">
            <v>Р. Македонија - државна обврзница DO2016/18-0826dk</v>
          </cell>
        </row>
        <row r="135">
          <cell r="A135" t="str">
            <v>Р. Македонија - државна обврзница DO2016/19-0831dk</v>
          </cell>
        </row>
        <row r="136">
          <cell r="A136" t="str">
            <v>Р. Македонија - државна обврзница DO2018/23-1048dk</v>
          </cell>
        </row>
        <row r="137">
          <cell r="A137" t="str">
            <v>Р. Македонија - државна обврзница DO2021/16-1136dk</v>
          </cell>
        </row>
        <row r="138">
          <cell r="A138" t="str">
            <v>Р. Македонија - државна обврзница DO2018/14-0723</v>
          </cell>
        </row>
        <row r="139">
          <cell r="A139" t="str">
            <v>Р. Македонија - државна обврзница DO2018/15-0748dk</v>
          </cell>
        </row>
        <row r="140">
          <cell r="A140" t="str">
            <v>Р. Македонија - државна обврзница DO2019/12-0934</v>
          </cell>
        </row>
        <row r="141">
          <cell r="A141" t="str">
            <v>Р. Македонија - државна обврзница DO2017/32-1032dk</v>
          </cell>
        </row>
        <row r="142">
          <cell r="A142" t="str">
            <v>Р. Македонија - државна обврзница DO2020/13-1123dk</v>
          </cell>
        </row>
        <row r="143">
          <cell r="A143" t="str">
            <v>Р. Македонија - државна обврзница DO2015/42-1125dk</v>
          </cell>
        </row>
        <row r="144">
          <cell r="A144" t="str">
            <v>Р. Македонија - државна обврзница DO2015/43-1130dk</v>
          </cell>
        </row>
        <row r="145">
          <cell r="A145" t="str">
            <v>Р. Македонија - државна обврзница DO2017/20-0732dk</v>
          </cell>
        </row>
        <row r="146">
          <cell r="A146" t="str">
            <v>Р. Македонија - државна обврзница DO2015/32-0825</v>
          </cell>
        </row>
        <row r="147">
          <cell r="A147" t="str">
            <v>Р. Македонија - државна обврзница DO2015/33-0830dk</v>
          </cell>
        </row>
        <row r="148">
          <cell r="A148" t="str">
            <v>Р. Македонија - државна обврзница DO2018/19-0933</v>
          </cell>
        </row>
        <row r="149">
          <cell r="A149" t="str">
            <v>Р. Македонија - државна обврзница DO2018/20-0933dk</v>
          </cell>
        </row>
        <row r="150">
          <cell r="A150" t="str">
            <v>Р. Македонија - државна обврзница DO2015/18-0525dk</v>
          </cell>
        </row>
        <row r="151">
          <cell r="A151" t="str">
            <v>Р. Македонија - државна обврзница DO2018/13-0633dk</v>
          </cell>
        </row>
        <row r="152">
          <cell r="A152" t="str">
            <v>Р. Македонија - државна обврзница DO2014/18-0824dk</v>
          </cell>
        </row>
        <row r="153">
          <cell r="A153" t="str">
            <v>Р. Македонија - државна обврзница DO2017/27-0932dk</v>
          </cell>
        </row>
        <row r="154">
          <cell r="A154" t="str">
            <v>Р. Македонија - државна обврзница DO2016/03-0131dk</v>
          </cell>
        </row>
        <row r="155">
          <cell r="A155" t="str">
            <v>Р. Македонија - државна обврзница DO2017/17-0632dk</v>
          </cell>
        </row>
        <row r="156">
          <cell r="A156" t="str">
            <v>Р. Македонија - државна обврзница DO2016/21-0931dk</v>
          </cell>
        </row>
        <row r="157">
          <cell r="A157" t="str">
            <v>Р. Македонија - државна обврзница DO2018/27-1133dk</v>
          </cell>
          <cell r="B157">
            <v>106.8</v>
          </cell>
        </row>
        <row r="158">
          <cell r="A158" t="str">
            <v>Р. Македонија - државна обврзница DO2016/29-1231dk</v>
          </cell>
        </row>
        <row r="159">
          <cell r="A159" t="str">
            <v>Р. Македонија - државна обврзница DO2014/02-0124</v>
          </cell>
        </row>
        <row r="160">
          <cell r="A160" t="str">
            <v>Р. Македонија - државна обврзница DO2014/03-0124dk</v>
          </cell>
        </row>
        <row r="161">
          <cell r="A161" t="str">
            <v>Р. Македонија - државна обврзница DO2017/10-0332dk</v>
          </cell>
        </row>
        <row r="162">
          <cell r="A162" t="str">
            <v>Р. Македонија - државна обврзница DO2016/14-0631dk</v>
          </cell>
        </row>
        <row r="163">
          <cell r="A163" t="str">
            <v>Р. Македонија - државна обврзница DO2015/27-0725dk</v>
          </cell>
        </row>
        <row r="164">
          <cell r="A164" t="str">
            <v>Р. Македонија - државна обврзница DO2015/28-0730dk</v>
          </cell>
        </row>
        <row r="165">
          <cell r="A165" t="str">
            <v>Р. Македонија - државна обврзница DO2017/36-1132dk</v>
          </cell>
        </row>
        <row r="166">
          <cell r="A166" t="str">
            <v>Р. Македонија - државна обврзница DO2016/09-0326</v>
          </cell>
        </row>
        <row r="167">
          <cell r="A167" t="str">
            <v>Р. Македонија - државна обврзница DO2014/17-0724dk</v>
          </cell>
        </row>
        <row r="168">
          <cell r="A168" t="str">
            <v>Р. Македонија - државна обврзница DO2015/38-0925dk</v>
          </cell>
        </row>
        <row r="169">
          <cell r="A169" t="str">
            <v>Р. Македонија - државна обврзница DO2015/39-0930dk</v>
          </cell>
        </row>
        <row r="170">
          <cell r="A170" t="str">
            <v>Р. Македонија - државна обврзница DO2015/46-1225dk</v>
          </cell>
        </row>
        <row r="171">
          <cell r="A171" t="str">
            <v>Р. Македонија - државна обврзница DO2018/04-0133</v>
          </cell>
        </row>
        <row r="172">
          <cell r="A172" t="str">
            <v>Р. Македонија - државна обврзница DO2018/05-0133dk</v>
          </cell>
          <cell r="B172">
            <v>112.2</v>
          </cell>
        </row>
        <row r="173">
          <cell r="A173" t="str">
            <v>Р. Македонија - државна обврзница DO2015/20-0625</v>
          </cell>
        </row>
        <row r="174">
          <cell r="A174" t="str">
            <v>Р. Македонија - државна обврзница DO2015/21-0625dk</v>
          </cell>
        </row>
        <row r="175">
          <cell r="A175" t="str">
            <v>Р. Македонија - државна обврзница DO2015/22-0630dk</v>
          </cell>
        </row>
        <row r="176">
          <cell r="A176" t="str">
            <v>Р. Македонија - државна обврзница DO2017/05-0132dk</v>
          </cell>
        </row>
        <row r="177">
          <cell r="A177" t="str">
            <v>Р. Македонија - државна обврзница DO2015/08-0230dk</v>
          </cell>
        </row>
        <row r="178">
          <cell r="A178" t="str">
            <v>Р. Македонија - државна обврзница DO2015/12-0325</v>
          </cell>
        </row>
        <row r="179">
          <cell r="A179" t="str">
            <v>Р. Македонија - државна обврзница DO2015/13-0330dk</v>
          </cell>
        </row>
        <row r="180">
          <cell r="A180" t="str">
            <v>Р. Македонија - државна обврзница DO2018/11-0448dk</v>
          </cell>
        </row>
        <row r="181">
          <cell r="A181" t="str">
            <v>Р. Македонија - државна обврзница DO2015/34-0825</v>
          </cell>
        </row>
        <row r="182">
          <cell r="A182" t="str">
            <v>Р. Македонија - државна обврзница DO2015/35-0825dk</v>
          </cell>
        </row>
        <row r="183">
          <cell r="A183" t="str">
            <v>Р. Македонија - државна обврзница DO2015/36-0830dk</v>
          </cell>
        </row>
        <row r="184">
          <cell r="A184" t="str">
            <v>Р. Македонија - државна обврзница DO2021/02-0123</v>
          </cell>
        </row>
        <row r="185">
          <cell r="A185" t="str">
            <v>Р. Македонија - државна обврзница DO2016/04-0131dk</v>
          </cell>
        </row>
        <row r="186">
          <cell r="A186" t="str">
            <v>Р. Македонија - државна обврзница DO2019/04-0234</v>
          </cell>
          <cell r="B186">
            <v>101</v>
          </cell>
        </row>
        <row r="187">
          <cell r="A187" t="str">
            <v>Р. Македонија - државна обврзница DO2016/16-0731dk</v>
          </cell>
        </row>
        <row r="188">
          <cell r="A188" t="str">
            <v>Р. Македонија - државна обврзница DO2015/03-0125</v>
          </cell>
        </row>
        <row r="189">
          <cell r="A189" t="str">
            <v>Р. Македонија - државна обврзница DO2015/04-0125dk</v>
          </cell>
        </row>
        <row r="190">
          <cell r="A190" t="str">
            <v>Р. Македонија - државна обврзница DO2017/18-0632dk</v>
          </cell>
        </row>
        <row r="191">
          <cell r="A191" t="str">
            <v>Р. Македонија - држaвна обврзница DO2021/12-0724</v>
          </cell>
        </row>
        <row r="192">
          <cell r="A192" t="str">
            <v>Р. Македонија - државна обврзница DO2016/22-0931dk</v>
          </cell>
        </row>
        <row r="193">
          <cell r="A193" t="str">
            <v>Р. Македонија - државна обврзница DO2015/41-1030dk</v>
          </cell>
        </row>
        <row r="194">
          <cell r="A194" t="str">
            <v>Р. Македонија - државна обврзница DO2020/10-1035</v>
          </cell>
        </row>
        <row r="195">
          <cell r="A195" t="str">
            <v>Р. Македонија - државна обврзница DO2020/01-0150dk</v>
          </cell>
        </row>
        <row r="196">
          <cell r="A196" t="str">
            <v>Р. Македонија - државна обврзница DO2017/11-0332dk</v>
          </cell>
        </row>
        <row r="197">
          <cell r="A197" t="str">
            <v>Р. Македонија - државна обврзница DO2020/04-0450dk</v>
          </cell>
        </row>
        <row r="198">
          <cell r="A198" t="str">
            <v>Р. Македонија - државна обврзница DO2015/29-0730dk</v>
          </cell>
        </row>
        <row r="199">
          <cell r="A199" t="str">
            <v>Р. Македонија - државна обврзница DO2014/30-1024dk</v>
          </cell>
        </row>
        <row r="200">
          <cell r="A200" t="str">
            <v>Р. Македонија - државна обврзница DO2017/37-1132dk</v>
          </cell>
        </row>
        <row r="201">
          <cell r="A201" t="str">
            <v>Р. Македонија - државна обврзница DO2019/02-0149dk</v>
          </cell>
        </row>
        <row r="202">
          <cell r="A202" t="str">
            <v>Р. Македонија - државна обврзница DO2016/10-0331dk</v>
          </cell>
        </row>
        <row r="203">
          <cell r="A203" t="str">
            <v>Р. Македонија - државна обврзница DO2019/14-1049dk</v>
          </cell>
          <cell r="B203">
            <v>103.5</v>
          </cell>
        </row>
        <row r="204">
          <cell r="A204" t="str">
            <v>Р. Македонија - државна обврзница DO2020/17-1222</v>
          </cell>
        </row>
        <row r="205">
          <cell r="A205" t="str">
            <v>Р. Македонија - државна обврзница DO2020/18-1222dk</v>
          </cell>
        </row>
        <row r="206">
          <cell r="A206" t="str">
            <v>Р. Македонија - државна обврзница DO2020/19-1223</v>
          </cell>
        </row>
        <row r="207">
          <cell r="A207" t="str">
            <v>Р. Македонија - државна обврзница DO2020/20-1223dk</v>
          </cell>
        </row>
        <row r="208">
          <cell r="A208" t="str">
            <v>Р. Македонија - денационализација 11</v>
          </cell>
          <cell r="B208">
            <v>99.5</v>
          </cell>
        </row>
        <row r="209">
          <cell r="A209" t="str">
            <v>Р. Македонија - денационализација 12</v>
          </cell>
          <cell r="B209">
            <v>99.31</v>
          </cell>
        </row>
        <row r="210">
          <cell r="A210" t="str">
            <v>Р. Македонија - денационализација 13</v>
          </cell>
          <cell r="B210">
            <v>99</v>
          </cell>
        </row>
        <row r="211">
          <cell r="A211" t="str">
            <v>Р. Македонија - денационализација 14</v>
          </cell>
          <cell r="B211">
            <v>99</v>
          </cell>
        </row>
        <row r="212">
          <cell r="A212" t="str">
            <v>Р. Македонија - денационализација 15</v>
          </cell>
          <cell r="B212">
            <v>99</v>
          </cell>
        </row>
        <row r="213">
          <cell r="A213" t="str">
            <v>Р. Македонија - денационализација 16</v>
          </cell>
          <cell r="B213">
            <v>99.5</v>
          </cell>
        </row>
        <row r="214">
          <cell r="A214" t="str">
            <v>Р. Македонија - денационализација 17</v>
          </cell>
          <cell r="B214">
            <v>99.8</v>
          </cell>
        </row>
        <row r="215">
          <cell r="A215" t="str">
            <v>Р. Македонија - денационализација 18</v>
          </cell>
          <cell r="B215">
            <v>99.58</v>
          </cell>
        </row>
        <row r="216">
          <cell r="A216" t="str">
            <v>Р. Македонија - денационализација 19</v>
          </cell>
          <cell r="B216">
            <v>99.9</v>
          </cell>
        </row>
        <row r="217">
          <cell r="A217" t="str">
            <v>Р. Македонија - денационализација 20</v>
          </cell>
          <cell r="B217">
            <v>99.9</v>
          </cell>
        </row>
        <row r="218">
          <cell r="A218" t="str">
            <v>ТТК банка АД Скопје - корпоративна обврзница I емисија</v>
          </cell>
          <cell r="B218">
            <v>100</v>
          </cell>
        </row>
        <row r="219">
          <cell r="A219" t="str">
            <v>ТТК банка АД Скопје - корпоративна обврзница II емисија</v>
          </cell>
        </row>
        <row r="220">
          <cell r="A220" t="str">
            <v>Берзанска котација - други хартии од вредност</v>
          </cell>
        </row>
        <row r="221">
          <cell r="A221" t="str">
            <v>Универзална Инвестициона Банка Скопје - перпетуални обврзници</v>
          </cell>
          <cell r="B221">
            <v>101.5</v>
          </cell>
        </row>
        <row r="222">
          <cell r="A222" t="str">
            <v>Задолжителна котација - обични акции</v>
          </cell>
        </row>
        <row r="223">
          <cell r="A223" t="str">
            <v>Адинг Скопје</v>
          </cell>
          <cell r="B223">
            <v>700</v>
          </cell>
        </row>
        <row r="224">
          <cell r="A224" t="str">
            <v>Агромеханика Скопје</v>
          </cell>
          <cell r="B224">
            <v>300</v>
          </cell>
        </row>
        <row r="225">
          <cell r="A225" t="str">
            <v>Ангропромет-Тиквешанка Кавадарци</v>
          </cell>
          <cell r="B225">
            <v>750</v>
          </cell>
        </row>
        <row r="226">
          <cell r="A226" t="str">
            <v>Аутомакедонија Скопје</v>
          </cell>
          <cell r="B226">
            <v>2507</v>
          </cell>
        </row>
        <row r="227">
          <cell r="A227" t="str">
            <v>Рудници Бањани Скопје</v>
          </cell>
          <cell r="B227">
            <v>603</v>
          </cell>
        </row>
        <row r="228">
          <cell r="A228" t="str">
            <v>Кристал 1923 АД Велес</v>
          </cell>
          <cell r="B228">
            <v>150</v>
          </cell>
        </row>
        <row r="229">
          <cell r="A229" t="str">
            <v>БИМ Свети Николе</v>
          </cell>
          <cell r="B229">
            <v>15550</v>
          </cell>
        </row>
        <row r="230">
          <cell r="A230" t="str">
            <v>ФЗЦ 11 Октомври Куманово</v>
          </cell>
          <cell r="B230">
            <v>400</v>
          </cell>
        </row>
        <row r="231">
          <cell r="A231" t="str">
            <v>Централна кооперативна банка Скопје</v>
          </cell>
          <cell r="B231">
            <v>600</v>
          </cell>
        </row>
        <row r="232">
          <cell r="A232" t="str">
            <v>Дебарски бањи Дебар</v>
          </cell>
          <cell r="B232">
            <v>1550</v>
          </cell>
        </row>
        <row r="233">
          <cell r="A233" t="str">
            <v>Димко Митрев Велес</v>
          </cell>
          <cell r="B233">
            <v>185</v>
          </cell>
        </row>
        <row r="234">
          <cell r="A234" t="str">
            <v>Единство Струмица</v>
          </cell>
          <cell r="B234">
            <v>303</v>
          </cell>
        </row>
        <row r="235">
          <cell r="A235" t="str">
            <v>Европа Скопје</v>
          </cell>
          <cell r="B235">
            <v>2900</v>
          </cell>
        </row>
        <row r="236">
          <cell r="A236" t="str">
            <v>Факом Скопје</v>
          </cell>
          <cell r="B236">
            <v>7200</v>
          </cell>
        </row>
        <row r="237">
          <cell r="A237" t="str">
            <v>Фустеларко Борец Битола</v>
          </cell>
          <cell r="B237">
            <v>1568</v>
          </cell>
        </row>
        <row r="238">
          <cell r="A238" t="str">
            <v>Герас Цунев конфекција Струмица</v>
          </cell>
        </row>
        <row r="239">
          <cell r="A239" t="str">
            <v>Герас Цунев трговија Струмица</v>
          </cell>
          <cell r="B239">
            <v>500</v>
          </cell>
        </row>
        <row r="240">
          <cell r="A240" t="str">
            <v>Грозд Струмица</v>
          </cell>
        </row>
        <row r="241">
          <cell r="A241" t="str">
            <v>Градски Трговски Центар Скопје</v>
          </cell>
        </row>
        <row r="242">
          <cell r="A242" t="str">
            <v>Интерпромет Тетово</v>
          </cell>
          <cell r="B242">
            <v>4500</v>
          </cell>
        </row>
        <row r="243">
          <cell r="A243" t="str">
            <v>Македонија осигурување АД Скопје - Виена Иншуренс Груп</v>
          </cell>
          <cell r="B243">
            <v>1131</v>
          </cell>
        </row>
        <row r="244">
          <cell r="A244" t="str">
            <v>Кланица со ладилник Струмица</v>
          </cell>
        </row>
        <row r="245">
          <cell r="A245" t="str">
            <v>Фруктал МАК Скопје</v>
          </cell>
          <cell r="B245">
            <v>119</v>
          </cell>
        </row>
        <row r="246">
          <cell r="A246" t="str">
            <v>Карпош Скопје</v>
          </cell>
          <cell r="B246">
            <v>333</v>
          </cell>
        </row>
        <row r="247">
          <cell r="A247" t="str">
            <v>Лотарија на Македонија Скопје</v>
          </cell>
          <cell r="B247">
            <v>206</v>
          </cell>
        </row>
        <row r="248">
          <cell r="A248" t="str">
            <v>Пелистерка АД Скопје</v>
          </cell>
          <cell r="B248">
            <v>2400</v>
          </cell>
        </row>
        <row r="249">
          <cell r="A249" t="str">
            <v>Макпромет Штип</v>
          </cell>
          <cell r="B249">
            <v>553</v>
          </cell>
        </row>
        <row r="250">
          <cell r="A250" t="str">
            <v>Мермерен комбинат Прилеп</v>
          </cell>
        </row>
        <row r="251">
          <cell r="A251" t="str">
            <v>Мода Свети Николе</v>
          </cell>
        </row>
        <row r="252">
          <cell r="A252" t="str">
            <v>Вабтек МЗТ Скопје</v>
          </cell>
          <cell r="B252">
            <v>3133</v>
          </cell>
        </row>
        <row r="253">
          <cell r="A253" t="str">
            <v>МЗТ Пумпи Скопје</v>
          </cell>
        </row>
        <row r="254">
          <cell r="A254" t="str">
            <v>Огражден Струмица</v>
          </cell>
          <cell r="B254">
            <v>1860</v>
          </cell>
        </row>
        <row r="255">
          <cell r="A255" t="str">
            <v>Нова стоковна куќа Струмица</v>
          </cell>
          <cell r="B255">
            <v>61500</v>
          </cell>
        </row>
        <row r="256">
          <cell r="A256" t="str">
            <v>Оилко КДА Скопје</v>
          </cell>
        </row>
        <row r="257">
          <cell r="A257" t="str">
            <v>ОКТА Скопје</v>
          </cell>
        </row>
        <row r="258">
          <cell r="A258" t="str">
            <v>Оранжерии Хамзали Струмица</v>
          </cell>
        </row>
        <row r="259">
          <cell r="A259" t="str">
            <v>Пекабеско Скопје</v>
          </cell>
        </row>
        <row r="260">
          <cell r="A260" t="str">
            <v>Попова Кула Демир Капија</v>
          </cell>
        </row>
        <row r="261">
          <cell r="A261" t="str">
            <v>Прилепска Пиварница Прилеп</v>
          </cell>
        </row>
        <row r="262">
          <cell r="A262" t="str">
            <v>Раде Кончар Скопје</v>
          </cell>
        </row>
        <row r="263">
          <cell r="A263" t="str">
            <v>РЖ Економика Скопје</v>
          </cell>
        </row>
        <row r="264">
          <cell r="A264" t="str">
            <v>Либерти АД Скопје</v>
          </cell>
        </row>
        <row r="265">
          <cell r="A265" t="str">
            <v>РЖ Техничка контрола Скопје</v>
          </cell>
        </row>
        <row r="266">
          <cell r="A266" t="str">
            <v>РЖ Уготур Скопје</v>
          </cell>
        </row>
        <row r="267">
          <cell r="A267" t="str">
            <v>Современ дом Прилеп</v>
          </cell>
        </row>
        <row r="268">
          <cell r="A268" t="str">
            <v>Силекс Кратово</v>
          </cell>
        </row>
        <row r="269">
          <cell r="A269" t="str">
            <v>Сковин Скопје</v>
          </cell>
        </row>
        <row r="270">
          <cell r="A270" t="str">
            <v>Славеј Скопје</v>
          </cell>
        </row>
        <row r="271">
          <cell r="A271" t="str">
            <v>Струмичко поле с.Василево</v>
          </cell>
        </row>
        <row r="272">
          <cell r="A272" t="str">
            <v>Сигурносно стакло Прилеп</v>
          </cell>
        </row>
        <row r="273">
          <cell r="A273" t="str">
            <v>Стопанска банка Скопје</v>
          </cell>
        </row>
        <row r="274">
          <cell r="A274" t="str">
            <v>Стокопромет Скопје</v>
          </cell>
        </row>
        <row r="275">
          <cell r="A275" t="str">
            <v>Тајмиште Кичево</v>
          </cell>
        </row>
        <row r="276">
          <cell r="A276" t="str">
            <v>ТЕАЛ-Алумина Тетово</v>
          </cell>
        </row>
        <row r="277">
          <cell r="A277" t="str">
            <v>Технокомерц Скопје</v>
          </cell>
        </row>
        <row r="278">
          <cell r="A278" t="str">
            <v>Македонски Телеком Скопје</v>
          </cell>
        </row>
        <row r="279">
          <cell r="A279" t="str">
            <v>ГД-Тиквеш Кавадарци</v>
          </cell>
        </row>
        <row r="280">
          <cell r="A280" t="str">
            <v>НЛБ Банка АД Скопје</v>
          </cell>
        </row>
        <row r="281">
          <cell r="A281" t="str">
            <v>Транскоп-Патнички сооб. Битола</v>
          </cell>
        </row>
        <row r="282">
          <cell r="A282" t="str">
            <v>Трготекстил малопродажба Скопје</v>
          </cell>
        </row>
        <row r="283">
          <cell r="A283" t="str">
            <v>Универзална Инвестициона Банка Скопје</v>
          </cell>
        </row>
        <row r="284">
          <cell r="A284" t="str">
            <v>Цементарница УСЈЕ Скопје</v>
          </cell>
        </row>
        <row r="285">
          <cell r="A285" t="str">
            <v>Триглав осигурување Скопје</v>
          </cell>
        </row>
        <row r="286">
          <cell r="A286" t="str">
            <v>Ветекс Велес</v>
          </cell>
        </row>
        <row r="287">
          <cell r="A287" t="str">
            <v>ЖАС Скопје</v>
          </cell>
        </row>
        <row r="288">
          <cell r="A288" t="str">
            <v>Жито Караорман Кичево</v>
          </cell>
        </row>
        <row r="289">
          <cell r="A289" t="str">
            <v>Жито Полог Тетово</v>
          </cell>
        </row>
        <row r="290">
          <cell r="A290" t="str">
            <v>Задолжителна котација - приоритетни акции</v>
          </cell>
        </row>
        <row r="291">
          <cell r="A291" t="str">
            <v>Стопанска банка Скопје</v>
          </cell>
        </row>
        <row r="292">
          <cell r="A292" t="str">
            <v>Редовен пазар</v>
          </cell>
        </row>
        <row r="293">
          <cell r="A293" t="str">
            <v>Пазар на акционерски друштва со посебни обврски за известување - обични акции</v>
          </cell>
        </row>
        <row r="294">
          <cell r="A294" t="str">
            <v>Агросервис Скопје</v>
          </cell>
        </row>
        <row r="295">
          <cell r="A295" t="str">
            <v>ЗЕМ Промет Скопје</v>
          </cell>
        </row>
        <row r="296">
          <cell r="A296" t="str">
            <v>Слободен пазар - обични акции</v>
          </cell>
        </row>
        <row r="297">
          <cell r="A297" t="str">
            <v>Квасара Битола</v>
          </cell>
        </row>
        <row r="298">
          <cell r="A298" t="str">
            <v>АрцелорМиттал (ХРМ) АД Скопје - долгорочно суспендирано од котација</v>
          </cell>
        </row>
        <row r="299">
          <cell r="A299" t="str">
            <v>СТЕЛ-ЕР АД Штип</v>
          </cell>
        </row>
        <row r="300">
          <cell r="A300" t="str">
            <v>Таска АД Кавадарци</v>
          </cell>
        </row>
        <row r="301">
          <cell r="A301" t="str">
            <v>Ветеринарно сточарски центар Куманово</v>
          </cell>
        </row>
        <row r="302">
          <cell r="A302" t="str">
            <v>Јавна понуда на хв</v>
          </cell>
        </row>
        <row r="303">
          <cell r="A303" t="str">
            <v>Јавна понуда на обврзници</v>
          </cell>
        </row>
        <row r="304">
          <cell r="A304" t="str">
            <v>СН Осигурителен Брокер АД Битола - јавна понуда за запишување на корпоративни обврзници</v>
          </cell>
        </row>
        <row r="305">
          <cell r="A305" t="str">
            <v>Вкупен промет на сите пазарни сегменти: 28.600.855,00</v>
          </cell>
        </row>
        <row r="306">
          <cell r="A306" t="str">
            <v>МБИ10</v>
          </cell>
        </row>
        <row r="307">
          <cell r="A307" t="str">
            <v>ОМБ</v>
          </cell>
        </row>
        <row r="308">
          <cell r="A308" t="str">
            <v>1 EUR = 61,6091 МКД</v>
          </cell>
        </row>
      </sheetData>
      <sheetData sheetId="1"/>
      <sheetData sheetId="2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  <cell r="B21">
            <v>53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  <cell r="B26">
            <v>250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DO2014/16-0724dk</v>
          </cell>
        </row>
        <row r="46">
          <cell r="A46" t="str">
            <v>Р. Македонија - државна обврзница DO2016/26-1131dk</v>
          </cell>
        </row>
        <row r="47">
          <cell r="A47" t="str">
            <v>Р. Македонија - државна обврзница DO2020/14-1223</v>
          </cell>
        </row>
        <row r="48">
          <cell r="A48" t="str">
            <v>Р. Македонија - државна обврзница DO2015/44-1230dk</v>
          </cell>
        </row>
        <row r="49">
          <cell r="A49" t="str">
            <v>Р. Македонија - државна обврзница DO2020/15-1235dk</v>
          </cell>
        </row>
        <row r="50">
          <cell r="A50" t="str">
            <v>Р. Македонија - државна обврзница DO2021/04-0336</v>
          </cell>
        </row>
        <row r="51">
          <cell r="A51" t="str">
            <v>Р. Македонија - државна обврзница DO2017/14-0532dk</v>
          </cell>
        </row>
        <row r="52">
          <cell r="A52" t="str">
            <v>Р. Македонија - државна обврзница DO2015/19-0630dk</v>
          </cell>
        </row>
        <row r="53">
          <cell r="A53" t="str">
            <v>Р. Македонија - државна обврзница DO2014/19-0924dk</v>
          </cell>
        </row>
        <row r="54">
          <cell r="A54" t="str">
            <v>Р. Македонија - државна обврзница DO2018/21-1021dk</v>
          </cell>
        </row>
        <row r="55">
          <cell r="A55" t="str">
            <v>Р. Македонија - државна обврзница DO2014/38-1224</v>
          </cell>
        </row>
        <row r="56">
          <cell r="A56" t="str">
            <v>Р. Македонија - државна обврзница DO2020/03-0325</v>
          </cell>
        </row>
        <row r="57">
          <cell r="A57" t="str">
            <v>Р. Македонија - државна обврзница DO2014/13-0624dk</v>
          </cell>
        </row>
        <row r="58">
          <cell r="A58" t="str">
            <v>Р. Македонија - дрзжвна обврзница ДО2021/13-0836</v>
          </cell>
        </row>
        <row r="59">
          <cell r="A59" t="str">
            <v>Р. Македонија - државна обврзница DO2017/30-1032dk</v>
          </cell>
        </row>
        <row r="60">
          <cell r="A60" t="str">
            <v>Р. Македонија - државна обврзница DO2020/11-1122</v>
          </cell>
        </row>
        <row r="61">
          <cell r="A61" t="str">
            <v>Р. Македонија - државна обврзница DO2020/12-1125</v>
          </cell>
        </row>
        <row r="62">
          <cell r="A62" t="str">
            <v>Р. Македонија - државна обврзница DO2019/16-1234dk</v>
          </cell>
        </row>
        <row r="63">
          <cell r="A63" t="str">
            <v>Р. Македонија - државна обврзница DO2017/12-0432dk</v>
          </cell>
        </row>
        <row r="64">
          <cell r="A64" t="str">
            <v>Р. Македонија - државна обврзница DO2017/19-0732dk</v>
          </cell>
        </row>
        <row r="65">
          <cell r="A65" t="str">
            <v>Р. Македонија - државна обврзница DO2015/30-0825dk</v>
          </cell>
        </row>
        <row r="66">
          <cell r="A66" t="str">
            <v>Р. Македонија - државна обврзница DO2015/31-0830dk</v>
          </cell>
        </row>
        <row r="67">
          <cell r="A67" t="str">
            <v>Р. Македонија - државна обврзница DO2020/07-0850dk</v>
          </cell>
        </row>
        <row r="68">
          <cell r="A68" t="str">
            <v>Р. Македонија - државна обврзница DO2019/05-0324</v>
          </cell>
        </row>
        <row r="69">
          <cell r="A69" t="str">
            <v>Р. Македонија - државна обврзница DO2016/11-0426dk</v>
          </cell>
        </row>
        <row r="70">
          <cell r="A70" t="str">
            <v>Р. Македонија - државна обврзница DO2015/17-0530dk</v>
          </cell>
        </row>
        <row r="71">
          <cell r="A71" t="str">
            <v>Р. Македонија - државна обврзница DO2018/12-0633</v>
          </cell>
        </row>
        <row r="72">
          <cell r="A72" t="str">
            <v>Р. Македонија - државна обврзница DO2017/26-0932dk</v>
          </cell>
        </row>
        <row r="73">
          <cell r="A73" t="str">
            <v>Р. Македонија - државна обврзница DO2019/15-1134</v>
          </cell>
        </row>
        <row r="74">
          <cell r="A74" t="str">
            <v>Р. Македонија - државна обврзница DO2017/38-1232dk</v>
          </cell>
        </row>
        <row r="75">
          <cell r="A75" t="str">
            <v>Р. Македонија - државна обврзница DO2018/10-0333dk</v>
          </cell>
        </row>
        <row r="76">
          <cell r="A76" t="str">
            <v>Р. Македонија - државна обврзница DO2017/16-0632dk</v>
          </cell>
        </row>
        <row r="77">
          <cell r="A77" t="str">
            <v>Р. Македонија - државна обврзница DO2016/15-0731dk</v>
          </cell>
        </row>
        <row r="78">
          <cell r="A78" t="str">
            <v>Р. Македонија - државна обврзница DO2019/11-0834dk</v>
          </cell>
        </row>
        <row r="79">
          <cell r="A79" t="str">
            <v>Р. Македонија - државна обврзница DO2015/40-1030dk</v>
          </cell>
        </row>
        <row r="80">
          <cell r="A80" t="str">
            <v>Р. Македонија - државна обврзница DO2017/08-0332dk</v>
          </cell>
        </row>
        <row r="81">
          <cell r="A81" t="str">
            <v>Р. Македонија - државна обврзница DO2016/13-0631dk</v>
          </cell>
        </row>
        <row r="82">
          <cell r="A82" t="str">
            <v>Р. Македонија - државна обврзница DO2015/23-0725</v>
          </cell>
        </row>
        <row r="83">
          <cell r="A83" t="str">
            <v>Р. Македонија - државна обврзница DO2015/24-0725dk</v>
          </cell>
        </row>
        <row r="84">
          <cell r="A84" t="str">
            <v>Р. Македонија - државна обврзница DO2015/25-0730dk</v>
          </cell>
        </row>
        <row r="85">
          <cell r="A85" t="str">
            <v>Р. Македонија - државна обврзница DO2018/17-0833dk</v>
          </cell>
        </row>
        <row r="86">
          <cell r="A86" t="str">
            <v>Р. Македонија - државна обврзница DO2017/21-0822dk</v>
          </cell>
        </row>
        <row r="87">
          <cell r="A87" t="str">
            <v>Р. Македонија - државна обврзница DO2017/22-0832dk</v>
          </cell>
        </row>
        <row r="88">
          <cell r="A88" t="str">
            <v>Р. Македонија - државна обврзница DO2018/02-0128</v>
          </cell>
        </row>
        <row r="89">
          <cell r="A89" t="str">
            <v>Р. Македонија - државна обврзница DO2018/03-0133dk</v>
          </cell>
        </row>
        <row r="90">
          <cell r="A90" t="str">
            <v>Р. Македонија - државна обврзница DO2016/05-0226</v>
          </cell>
        </row>
        <row r="91">
          <cell r="A91" t="str">
            <v>Р. Македонија - државна обврзница DO2016/06-0226dk</v>
          </cell>
        </row>
        <row r="92">
          <cell r="A92" t="str">
            <v>Р. Македонија - државна обврзница DO2016/07-0231dk</v>
          </cell>
        </row>
        <row r="93">
          <cell r="A93" t="str">
            <v>Р. Македонија - државна обврзница DO2017/02-0132dk</v>
          </cell>
        </row>
        <row r="94">
          <cell r="A94" t="str">
            <v>Р. Македонија - државна обврзница DO2015/05-0230dk</v>
          </cell>
        </row>
        <row r="95">
          <cell r="A95" t="str">
            <v>Р. Македонија - државна обврзница DO2015/09-0325</v>
          </cell>
        </row>
        <row r="96">
          <cell r="A96" t="str">
            <v>Р. Македонија - државна обврзница DO2015/10-0330dk</v>
          </cell>
        </row>
        <row r="97">
          <cell r="A97" t="str">
            <v>Р. Македонија - државна обврзница DO2020/02-0235</v>
          </cell>
        </row>
        <row r="98">
          <cell r="A98" t="str">
            <v>Р. Македонија - државна обврзница DO2016/01-0126dk</v>
          </cell>
        </row>
        <row r="99">
          <cell r="A99" t="str">
            <v>Р. Македонија - државна обврзница DO2016/02-0131dk</v>
          </cell>
        </row>
        <row r="100">
          <cell r="A100" t="str">
            <v>Р. Македонија - државна обврзница DO2021/01-0136</v>
          </cell>
        </row>
        <row r="101">
          <cell r="A101" t="str">
            <v>Р. Македонија - државна обврзница DO2019/03-0224dk</v>
          </cell>
        </row>
        <row r="102">
          <cell r="A102" t="str">
            <v>Р. Македонија - државна обврзница DO2016/12-0431dk</v>
          </cell>
        </row>
        <row r="103">
          <cell r="A103" t="str">
            <v>Р. Македонија - државна обврзница DO2020/05-0522</v>
          </cell>
        </row>
        <row r="104">
          <cell r="A104" t="str">
            <v>Р. Македонија - државна обврзница DO2021/09-0526</v>
          </cell>
        </row>
        <row r="105">
          <cell r="A105" t="str">
            <v>Р. Македонија - државна обврзница DO2016/23-1031dk</v>
          </cell>
        </row>
        <row r="106">
          <cell r="A106" t="str">
            <v>Р. Македонија - државна обврзница DO2018/07-0223</v>
          </cell>
        </row>
        <row r="107">
          <cell r="A107" t="str">
            <v>Р. Македонија - државна обврзница DO2018/08-0233dk</v>
          </cell>
        </row>
        <row r="108">
          <cell r="A108" t="str">
            <v>Р. Македонија - државна обврзница DO2021/07-0436</v>
          </cell>
        </row>
        <row r="109">
          <cell r="A109" t="str">
            <v>Р. Македонија - државна обврзница DO2021/08-0436dk</v>
          </cell>
        </row>
        <row r="110">
          <cell r="A110" t="str">
            <v>Р. Македонија - државна обврзница DO2020/08-1030</v>
          </cell>
        </row>
        <row r="111">
          <cell r="A111" t="str">
            <v>Р. Македонија - државна обврзница DO2020/09-1030dk</v>
          </cell>
        </row>
        <row r="112">
          <cell r="A112" t="str">
            <v>Р. Македонија - државна обврзница DO2017/06-0232dk</v>
          </cell>
        </row>
        <row r="113">
          <cell r="A113" t="str">
            <v>Р. Македонија - државна обврзница DO2015/15-0430dk</v>
          </cell>
        </row>
        <row r="114">
          <cell r="A114" t="str">
            <v>Р. Македонија - државна обврзница DO2019/08-0524</v>
          </cell>
        </row>
        <row r="115">
          <cell r="A115" t="str">
            <v>Р. Македонија - државна обврзница DO2019/09-0534</v>
          </cell>
        </row>
        <row r="116">
          <cell r="A116" t="str">
            <v>Р. Македонија - државна обврзница DO2021/14-0936</v>
          </cell>
        </row>
        <row r="117">
          <cell r="A117" t="str">
            <v>Р. Македонија - државна обврзница DO2014/27-1024</v>
          </cell>
        </row>
        <row r="118">
          <cell r="A118" t="str">
            <v>Р. Македонија - државна обврзница DO2014/28-1024dk</v>
          </cell>
        </row>
        <row r="119">
          <cell r="A119" t="str">
            <v>Р. Македонија - државна обврзница DO2016/08-0331dk</v>
          </cell>
        </row>
        <row r="120">
          <cell r="A120" t="str">
            <v>Р. Македонија - државна обврзница DO2021/10-0636</v>
          </cell>
        </row>
        <row r="121">
          <cell r="A121" t="str">
            <v>Р. Македонија - државна обврзница DO2021/11-0636dk</v>
          </cell>
        </row>
        <row r="122">
          <cell r="A122" t="str">
            <v>Р. Македонија - државна обврзница DO2017/23-0822dk</v>
          </cell>
        </row>
        <row r="123">
          <cell r="A123" t="str">
            <v>Р. Македонија - државна обврзница DO2017/24-0832dk</v>
          </cell>
        </row>
        <row r="124">
          <cell r="A124" t="str">
            <v>Р. Македонија - државна обврзница DO2015/37-0930dk</v>
          </cell>
        </row>
        <row r="125">
          <cell r="A125" t="str">
            <v>Р. Македонија - државна обврзница DO2019/13-1024</v>
          </cell>
        </row>
        <row r="126">
          <cell r="A126" t="str">
            <v>Р. Македонија - државна обврзница DO2020/16-1222dk</v>
          </cell>
        </row>
        <row r="127">
          <cell r="A127" t="str">
            <v>Р. Македонија - државна обврзница DO2015/45-1225dk</v>
          </cell>
        </row>
        <row r="128">
          <cell r="A128" t="str">
            <v>Р. Македонија - државна обврзница DO2021/03-0224</v>
          </cell>
        </row>
        <row r="129">
          <cell r="A129" t="str">
            <v>Р. Македонија - државна обврзница DO2019/06-0449dk</v>
          </cell>
        </row>
        <row r="130">
          <cell r="A130" t="str">
            <v>Р. Македонија - државна обврзница DO2020/06-0635</v>
          </cell>
        </row>
        <row r="131">
          <cell r="A131" t="str">
            <v>Р. Македонија - државна обврзница DO2019/10-0749dk</v>
          </cell>
        </row>
        <row r="132">
          <cell r="A132" t="str">
            <v>Р. Македонија - државна обврзница DO2016/17-0826</v>
          </cell>
        </row>
        <row r="133">
          <cell r="A133" t="str">
            <v>Р. Македонија - државна обврзница DO2016/18-0826dk</v>
          </cell>
        </row>
        <row r="134">
          <cell r="A134" t="str">
            <v>Р. Македонија - државна обврзница DO2016/19-0831dk</v>
          </cell>
        </row>
        <row r="135">
          <cell r="A135" t="str">
            <v>Р. Македонија - државна обврзница DO2018/23-1048dk</v>
          </cell>
        </row>
        <row r="136">
          <cell r="A136" t="str">
            <v>Р. Македонија - државна обврзница DO2018/14-0723</v>
          </cell>
        </row>
        <row r="137">
          <cell r="A137" t="str">
            <v>Р. Македонија - државна обврзница DO2018/15-0748dk</v>
          </cell>
        </row>
        <row r="138">
          <cell r="A138" t="str">
            <v>Р. Македонија - државна обврзница DO2019/12-0934</v>
          </cell>
        </row>
        <row r="139">
          <cell r="A139" t="str">
            <v>Р. Македонија - државна обврзница DO2017/32-1032dk</v>
          </cell>
        </row>
        <row r="140">
          <cell r="A140" t="str">
            <v>Р. Македонија - државна обврзница DO2020/13-1123dk</v>
          </cell>
        </row>
        <row r="141">
          <cell r="A141" t="str">
            <v>Р. Македонија - државна обврзница DO2015/42-1125dk</v>
          </cell>
        </row>
        <row r="142">
          <cell r="A142" t="str">
            <v>Р. Македонија - државна обврзница DO2015/43-1130dk</v>
          </cell>
        </row>
        <row r="143">
          <cell r="A143" t="str">
            <v>Р. Македонија - државна обврзница DO2017/20-0732dk</v>
          </cell>
        </row>
        <row r="144">
          <cell r="A144" t="str">
            <v>Р. Македонија - државна обврзница DO2015/32-0825</v>
          </cell>
        </row>
        <row r="145">
          <cell r="A145" t="str">
            <v>Р. Македонија - државна обврзница DO2015/33-0830dk</v>
          </cell>
        </row>
        <row r="146">
          <cell r="A146" t="str">
            <v>Р. Македонија - државна обврзница DO2018/19-0933</v>
          </cell>
        </row>
        <row r="147">
          <cell r="A147" t="str">
            <v>Р. Македонија - државна обврзница DO2018/20-0933dk</v>
          </cell>
        </row>
        <row r="148">
          <cell r="A148" t="str">
            <v>Р. Македонија - државна обврзница DO2015/18-0525dk</v>
          </cell>
        </row>
        <row r="149">
          <cell r="A149" t="str">
            <v>Р. Македонија - државна обврзница DO2018/13-0633dk</v>
          </cell>
        </row>
        <row r="150">
          <cell r="A150" t="str">
            <v>Р. Македонија - државна обврзница DO2014/18-0824dk</v>
          </cell>
        </row>
        <row r="151">
          <cell r="A151" t="str">
            <v>Р. Македонија - државна обврзница DO2017/27-0932dk</v>
          </cell>
        </row>
        <row r="152">
          <cell r="A152" t="str">
            <v>Р. Македонија - државна обврзница DO2016/03-0131dk</v>
          </cell>
        </row>
        <row r="153">
          <cell r="A153" t="str">
            <v>Р. Македонија - државна обврзница DO2017/17-0632dk</v>
          </cell>
        </row>
        <row r="154">
          <cell r="A154" t="str">
            <v>Р. Македонија - државна обврзница DO2016/21-0931dk</v>
          </cell>
        </row>
        <row r="155">
          <cell r="A155" t="str">
            <v>Р. Македонија - државна обврзница DO2018/27-1133dk</v>
          </cell>
          <cell r="B155">
            <v>106.8</v>
          </cell>
        </row>
        <row r="156">
          <cell r="A156" t="str">
            <v>Р. Македонија - државна обврзница DO2016/29-1231dk</v>
          </cell>
        </row>
        <row r="157">
          <cell r="A157" t="str">
            <v>Р. Македонија - државна обврзница DO2014/02-0124</v>
          </cell>
        </row>
        <row r="158">
          <cell r="A158" t="str">
            <v>Р. Македонија - државна обврзница DO2014/03-0124dk</v>
          </cell>
        </row>
        <row r="159">
          <cell r="A159" t="str">
            <v>Р. Македонија - државна обврзница DO2017/10-0332dk</v>
          </cell>
        </row>
        <row r="160">
          <cell r="A160" t="str">
            <v>Р. Македонија - државна обврзница DO2016/14-0631dk</v>
          </cell>
        </row>
        <row r="161">
          <cell r="A161" t="str">
            <v>Р. Македонија - државна обврзница DO2015/27-0725dk</v>
          </cell>
        </row>
        <row r="162">
          <cell r="A162" t="str">
            <v>Р. Македонија - државна обврзница DO2015/28-0730dk</v>
          </cell>
        </row>
        <row r="163">
          <cell r="A163" t="str">
            <v>Р. Македонија - државна обврзница DO2017/36-1132dk</v>
          </cell>
        </row>
        <row r="164">
          <cell r="A164" t="str">
            <v>Р. Македонија - државна обврзница DO2016/09-0326</v>
          </cell>
        </row>
        <row r="165">
          <cell r="A165" t="str">
            <v>Р. Македонија - државна обврзница DO2014/17-0724dk</v>
          </cell>
        </row>
        <row r="166">
          <cell r="A166" t="str">
            <v>Р. Македонија - државна обврзница DO2015/38-0925dk</v>
          </cell>
        </row>
        <row r="167">
          <cell r="A167" t="str">
            <v>Р. Македонија - државна обврзница DO2015/39-0930dk</v>
          </cell>
        </row>
        <row r="168">
          <cell r="A168" t="str">
            <v>Р. Македонија - државна обврзница DO2015/46-1225dk</v>
          </cell>
        </row>
        <row r="169">
          <cell r="A169" t="str">
            <v>Р. Македонија - државна обврзница DO2018/04-0133</v>
          </cell>
        </row>
        <row r="170">
          <cell r="A170" t="str">
            <v>Р. Македонија - државна обврзница DO2018/05-0133dk</v>
          </cell>
          <cell r="B170">
            <v>112.2</v>
          </cell>
        </row>
        <row r="171">
          <cell r="A171" t="str">
            <v>Р. Македонија - државна обврзница DO2015/20-0625</v>
          </cell>
        </row>
        <row r="172">
          <cell r="A172" t="str">
            <v>Р. Македонија - државна обврзница DO2015/21-0625dk</v>
          </cell>
        </row>
        <row r="173">
          <cell r="A173" t="str">
            <v>Р. Македонија - државна обврзница DO2015/22-0630dk</v>
          </cell>
        </row>
        <row r="174">
          <cell r="A174" t="str">
            <v>Р. Македонија - државна обврзница DO2017/05-0132dk</v>
          </cell>
        </row>
        <row r="175">
          <cell r="A175" t="str">
            <v>Р. Македонија - државна обврзница DO2015/08-0230dk</v>
          </cell>
        </row>
        <row r="176">
          <cell r="A176" t="str">
            <v>Р. Македонија - државна обврзница DO2015/12-0325</v>
          </cell>
        </row>
        <row r="177">
          <cell r="A177" t="str">
            <v>Р. Македонија - државна обврзница DO2015/13-0330dk</v>
          </cell>
        </row>
        <row r="178">
          <cell r="A178" t="str">
            <v>Р. Македонија - државна обврзница DO2018/11-0448dk</v>
          </cell>
        </row>
        <row r="179">
          <cell r="A179" t="str">
            <v>Р. Македонија - државна обврзница DO2015/34-0825</v>
          </cell>
        </row>
        <row r="180">
          <cell r="A180" t="str">
            <v>Р. Македонија - државна обврзница DO2015/35-0825dk</v>
          </cell>
        </row>
        <row r="181">
          <cell r="A181" t="str">
            <v>Р. Македонија - државна обврзница DO2015/36-0830dk</v>
          </cell>
        </row>
        <row r="182">
          <cell r="A182" t="str">
            <v>Р. Македонија - државна обврзница DO2021/02-0123</v>
          </cell>
        </row>
        <row r="183">
          <cell r="A183" t="str">
            <v>Р. Македонија - државна обврзница DO2016/04-0131dk</v>
          </cell>
        </row>
        <row r="184">
          <cell r="A184" t="str">
            <v>Р. Македонија - државна обврзница DO2019/04-0234</v>
          </cell>
          <cell r="B184">
            <v>101</v>
          </cell>
        </row>
        <row r="185">
          <cell r="A185" t="str">
            <v>Р. Македонија - државна обврзница DO2016/16-0731dk</v>
          </cell>
        </row>
        <row r="186">
          <cell r="A186" t="str">
            <v>Р. Македонија - државна обврзница DO2015/03-0125</v>
          </cell>
        </row>
        <row r="187">
          <cell r="A187" t="str">
            <v>Р. Македонија - државна обврзница DO2015/04-0125dk</v>
          </cell>
        </row>
        <row r="188">
          <cell r="A188" t="str">
            <v>Р. Македонија - државна обврзница DO2017/18-0632dk</v>
          </cell>
        </row>
        <row r="189">
          <cell r="A189" t="str">
            <v>Р. Македонија - држaвна обврзница DO2021/12-0724</v>
          </cell>
        </row>
        <row r="190">
          <cell r="A190" t="str">
            <v>Р. Македонија - државна обврзница DO2016/22-0931dk</v>
          </cell>
        </row>
        <row r="191">
          <cell r="A191" t="str">
            <v>Р. Македонија - државна обврзница DO2015/41-1030dk</v>
          </cell>
        </row>
        <row r="192">
          <cell r="A192" t="str">
            <v>Р. Македонија - државна обврзница DO2020/10-1035</v>
          </cell>
        </row>
        <row r="193">
          <cell r="A193" t="str">
            <v>Р. Македонија - државна обврзница DO2020/01-0150dk</v>
          </cell>
        </row>
        <row r="194">
          <cell r="A194" t="str">
            <v>Р. Македонија - државна обврзница DO2017/11-0332dk</v>
          </cell>
        </row>
        <row r="195">
          <cell r="A195" t="str">
            <v>Р. Македонија - државна обврзница DO2020/04-0450dk</v>
          </cell>
        </row>
        <row r="196">
          <cell r="A196" t="str">
            <v>Р. Македонија - државна обврзница DO2015/29-0730dk</v>
          </cell>
        </row>
        <row r="197">
          <cell r="A197" t="str">
            <v>Р. Македонија - државна обврзница DO2014/30-1024dk</v>
          </cell>
        </row>
        <row r="198">
          <cell r="A198" t="str">
            <v>Р. Македонија - државна обврзница DO2017/37-1132dk</v>
          </cell>
        </row>
        <row r="199">
          <cell r="A199" t="str">
            <v>Р. Македонија - државна обврзница DO2019/02-0149dk</v>
          </cell>
        </row>
        <row r="200">
          <cell r="A200" t="str">
            <v>Р. Македонија - државна обврзница DO2016/10-0331dk</v>
          </cell>
        </row>
        <row r="201">
          <cell r="A201" t="str">
            <v>Р. Македонија - државна обврзница DO2019/14-1049dk</v>
          </cell>
          <cell r="B201">
            <v>103.5</v>
          </cell>
        </row>
        <row r="202">
          <cell r="A202" t="str">
            <v>Р. Македонија - државна обврзница DO2020/17-1222</v>
          </cell>
        </row>
        <row r="203">
          <cell r="A203" t="str">
            <v>Р. Македонија - државна обврзница DO2020/18-1222dk</v>
          </cell>
        </row>
        <row r="204">
          <cell r="A204" t="str">
            <v>Р. Македонија - државна обврзница DO2020/19-1223</v>
          </cell>
        </row>
        <row r="205">
          <cell r="A205" t="str">
            <v>Р. Македонија - државна обврзница DO2020/20-1223dk</v>
          </cell>
        </row>
        <row r="206">
          <cell r="A206" t="str">
            <v>Р. Македонија - денационализација 11</v>
          </cell>
          <cell r="B206">
            <v>99.5</v>
          </cell>
        </row>
        <row r="207">
          <cell r="A207" t="str">
            <v>Р. Македонија - денационализација 12</v>
          </cell>
          <cell r="B207">
            <v>99.5</v>
          </cell>
        </row>
        <row r="208">
          <cell r="A208" t="str">
            <v>Р. Македонија - денационализација 13</v>
          </cell>
          <cell r="B208">
            <v>99.7</v>
          </cell>
        </row>
        <row r="209">
          <cell r="A209" t="str">
            <v>Р. Македонија - денационализација 14</v>
          </cell>
          <cell r="B209">
            <v>100</v>
          </cell>
        </row>
        <row r="210">
          <cell r="A210" t="str">
            <v>Р. Македонија - денационализација 15</v>
          </cell>
          <cell r="B210">
            <v>99</v>
          </cell>
        </row>
        <row r="211">
          <cell r="A211" t="str">
            <v>Р. Македонија - денационализација 16</v>
          </cell>
          <cell r="B211">
            <v>99.8</v>
          </cell>
        </row>
        <row r="212">
          <cell r="A212" t="str">
            <v>Р. Македонија - денационализација 17</v>
          </cell>
          <cell r="B212">
            <v>99.8</v>
          </cell>
        </row>
        <row r="213">
          <cell r="A213" t="str">
            <v>Р. Македонија - денационализација 18</v>
          </cell>
          <cell r="B213">
            <v>99.8</v>
          </cell>
        </row>
        <row r="214">
          <cell r="A214" t="str">
            <v>Р. Македонија - денационализација 19</v>
          </cell>
          <cell r="B214">
            <v>99.9</v>
          </cell>
        </row>
        <row r="215">
          <cell r="A215" t="str">
            <v>Р. Македонија - денационализација 20</v>
          </cell>
          <cell r="B215">
            <v>99.9</v>
          </cell>
        </row>
        <row r="216">
          <cell r="A216" t="str">
            <v>ТТК банка АД Скопје - корпоративна обврзница I емисија</v>
          </cell>
          <cell r="B216">
            <v>100</v>
          </cell>
        </row>
        <row r="217">
          <cell r="A217" t="str">
            <v>ТТК банка АД Скопје - корпоративна обврзница II емисија</v>
          </cell>
        </row>
        <row r="218">
          <cell r="A218" t="str">
            <v>Берзанска котација - други хартии од вредност</v>
          </cell>
        </row>
        <row r="219">
          <cell r="A219" t="str">
            <v>Универзална Инвестициона Банка Скопје - перпетуални обврзници</v>
          </cell>
          <cell r="B219">
            <v>101.5</v>
          </cell>
        </row>
        <row r="220">
          <cell r="A220" t="str">
            <v>Задолжителна котација - обични акции</v>
          </cell>
        </row>
        <row r="221">
          <cell r="A221" t="str">
            <v>Адинг Скопје</v>
          </cell>
          <cell r="B221">
            <v>700</v>
          </cell>
        </row>
        <row r="222">
          <cell r="A222" t="str">
            <v>Агромеханика Скопје</v>
          </cell>
          <cell r="B222">
            <v>300</v>
          </cell>
        </row>
        <row r="223">
          <cell r="A223" t="str">
            <v>Ангропромет-Тиквешанка Кавадарци</v>
          </cell>
          <cell r="B223">
            <v>750</v>
          </cell>
        </row>
        <row r="224">
          <cell r="A224" t="str">
            <v>Аутомакедонија Скопје</v>
          </cell>
          <cell r="B224">
            <v>2500</v>
          </cell>
        </row>
        <row r="225">
          <cell r="A225" t="str">
            <v>Рудници Бањани Скопје</v>
          </cell>
          <cell r="B225">
            <v>603</v>
          </cell>
        </row>
        <row r="226">
          <cell r="A226" t="str">
            <v>Кристал 1923 АД Велес</v>
          </cell>
          <cell r="B226">
            <v>150</v>
          </cell>
        </row>
        <row r="227">
          <cell r="A227" t="str">
            <v>БИМ Свети Николе</v>
          </cell>
          <cell r="B227">
            <v>12300</v>
          </cell>
        </row>
        <row r="228">
          <cell r="A228" t="str">
            <v>ФЗЦ 11 Октомври Куманово</v>
          </cell>
          <cell r="B228">
            <v>400</v>
          </cell>
        </row>
        <row r="229">
          <cell r="A229" t="str">
            <v>Централна кооперативна банка Скопје</v>
          </cell>
          <cell r="B229">
            <v>600</v>
          </cell>
        </row>
        <row r="230">
          <cell r="A230" t="str">
            <v>Дебарски бањи Дебар</v>
          </cell>
          <cell r="B230">
            <v>1550</v>
          </cell>
        </row>
        <row r="231">
          <cell r="A231" t="str">
            <v>Димко Митрев Велес</v>
          </cell>
          <cell r="B231">
            <v>185</v>
          </cell>
        </row>
        <row r="232">
          <cell r="A232" t="str">
            <v>Единство Струмица</v>
          </cell>
          <cell r="B232">
            <v>303</v>
          </cell>
        </row>
        <row r="233">
          <cell r="A233" t="str">
            <v>Европа Скопје</v>
          </cell>
          <cell r="B233">
            <v>2900</v>
          </cell>
        </row>
        <row r="234">
          <cell r="A234" t="str">
            <v>Факом Скопје</v>
          </cell>
          <cell r="B234">
            <v>7200</v>
          </cell>
        </row>
        <row r="235">
          <cell r="A235" t="str">
            <v>Фустеларко Борец Битола</v>
          </cell>
          <cell r="B235">
            <v>1568</v>
          </cell>
        </row>
        <row r="236">
          <cell r="A236" t="str">
            <v>Герас Цунев конфекција Струмица</v>
          </cell>
        </row>
        <row r="237">
          <cell r="A237" t="str">
            <v>Герас Цунев трговија Струмица</v>
          </cell>
          <cell r="B237">
            <v>500</v>
          </cell>
        </row>
        <row r="238">
          <cell r="A238" t="str">
            <v>Грозд Струмица</v>
          </cell>
        </row>
        <row r="239">
          <cell r="A239" t="str">
            <v>Градски Трговски Центар Скопје</v>
          </cell>
        </row>
        <row r="240">
          <cell r="A240" t="str">
            <v>Интерпромет Тетово</v>
          </cell>
          <cell r="B240">
            <v>4500</v>
          </cell>
        </row>
        <row r="241">
          <cell r="A241" t="str">
            <v>Македонија осигурување АД Скопје - Виена Иншуренс Груп</v>
          </cell>
          <cell r="B241">
            <v>1261</v>
          </cell>
        </row>
        <row r="242">
          <cell r="A242" t="str">
            <v>Кланица со ладилник Струмица</v>
          </cell>
        </row>
        <row r="243">
          <cell r="A243" t="str">
            <v>Фруктал МАК Скопје</v>
          </cell>
          <cell r="B243">
            <v>119</v>
          </cell>
        </row>
        <row r="244">
          <cell r="A244" t="str">
            <v>Карпош Скопје</v>
          </cell>
        </row>
        <row r="245">
          <cell r="A245" t="str">
            <v>Лотарија на Македонија Скопје</v>
          </cell>
          <cell r="B245">
            <v>206</v>
          </cell>
        </row>
        <row r="246">
          <cell r="A246" t="str">
            <v>Пелистерка АД Скопје</v>
          </cell>
          <cell r="B246">
            <v>2400</v>
          </cell>
        </row>
        <row r="247">
          <cell r="A247" t="str">
            <v>Макпромет Штип</v>
          </cell>
          <cell r="B247">
            <v>553</v>
          </cell>
        </row>
        <row r="248">
          <cell r="A248" t="str">
            <v>Мермерен комбинат Прилеп</v>
          </cell>
          <cell r="B248">
            <v>2521</v>
          </cell>
        </row>
        <row r="249">
          <cell r="A249" t="str">
            <v>Мода Свети Николе</v>
          </cell>
          <cell r="B249">
            <v>100</v>
          </cell>
        </row>
        <row r="250">
          <cell r="A250" t="str">
            <v>Вабтек МЗТ Скопје</v>
          </cell>
        </row>
        <row r="251">
          <cell r="A251" t="str">
            <v>МЗТ Пумпи Скопје</v>
          </cell>
        </row>
        <row r="252">
          <cell r="A252" t="str">
            <v>Огражден Струмица</v>
          </cell>
          <cell r="B252">
            <v>1860</v>
          </cell>
        </row>
        <row r="253">
          <cell r="A253" t="str">
            <v>Нова стоковна куќа Струмица</v>
          </cell>
        </row>
        <row r="254">
          <cell r="A254" t="str">
            <v>Оилко КДА Скопје</v>
          </cell>
          <cell r="B254">
            <v>6000</v>
          </cell>
        </row>
        <row r="255">
          <cell r="A255" t="str">
            <v>ОКТА Скопје</v>
          </cell>
          <cell r="B255">
            <v>3599.65</v>
          </cell>
        </row>
        <row r="256">
          <cell r="A256" t="str">
            <v>Оранжерии Хамзали Струмица</v>
          </cell>
        </row>
        <row r="257">
          <cell r="A257" t="str">
            <v>Пекабеско Скопје</v>
          </cell>
        </row>
        <row r="258">
          <cell r="A258" t="str">
            <v>Попова Кула Демир Капија</v>
          </cell>
        </row>
        <row r="259">
          <cell r="A259" t="str">
            <v>Прилепска Пиварница Прилеп</v>
          </cell>
        </row>
        <row r="260">
          <cell r="A260" t="str">
            <v>Раде Кончар Скопје</v>
          </cell>
        </row>
        <row r="261">
          <cell r="A261" t="str">
            <v>РЖ Економика Скопје</v>
          </cell>
        </row>
        <row r="262">
          <cell r="A262" t="str">
            <v>Либерти АД Скопје</v>
          </cell>
        </row>
        <row r="263">
          <cell r="A263" t="str">
            <v>РЖ Техничка контрола Скопје</v>
          </cell>
        </row>
        <row r="264">
          <cell r="A264" t="str">
            <v>РЖ Уготур Скопје</v>
          </cell>
        </row>
        <row r="265">
          <cell r="A265" t="str">
            <v>Современ дом Прилеп</v>
          </cell>
        </row>
        <row r="266">
          <cell r="A266" t="str">
            <v>Силекс Кратово</v>
          </cell>
        </row>
        <row r="267">
          <cell r="A267" t="str">
            <v>Сковин Скопје</v>
          </cell>
        </row>
        <row r="268">
          <cell r="A268" t="str">
            <v>Славеј Скопје</v>
          </cell>
        </row>
        <row r="269">
          <cell r="A269" t="str">
            <v>Струмичко поле с.Василево</v>
          </cell>
        </row>
        <row r="270">
          <cell r="A270" t="str">
            <v>Сигурносно стакло Прилеп</v>
          </cell>
        </row>
        <row r="271">
          <cell r="A271" t="str">
            <v>Стопанска банка Скопје</v>
          </cell>
        </row>
        <row r="272">
          <cell r="A272" t="str">
            <v>Стокопромет Скопје</v>
          </cell>
        </row>
        <row r="273">
          <cell r="A273" t="str">
            <v>Тајмиште Кичево</v>
          </cell>
        </row>
        <row r="274">
          <cell r="A274" t="str">
            <v>ТЕАЛ-Алумина Тетово</v>
          </cell>
        </row>
        <row r="275">
          <cell r="A275" t="str">
            <v>Технокомерц Скопје</v>
          </cell>
        </row>
        <row r="276">
          <cell r="A276" t="str">
            <v>Македонски Телеком Скопје</v>
          </cell>
        </row>
        <row r="277">
          <cell r="A277" t="str">
            <v>ГД-Тиквеш Кавадарци</v>
          </cell>
        </row>
        <row r="278">
          <cell r="A278" t="str">
            <v>НЛБ Банка АД Скопје</v>
          </cell>
        </row>
        <row r="279">
          <cell r="A279" t="str">
            <v>Транскоп-Патнички сооб. Битола</v>
          </cell>
        </row>
        <row r="280">
          <cell r="A280" t="str">
            <v>Трготекстил малопродажба Скопје</v>
          </cell>
        </row>
        <row r="281">
          <cell r="A281" t="str">
            <v>Универзална Инвестициона Банка Скопје</v>
          </cell>
        </row>
        <row r="282">
          <cell r="A282" t="str">
            <v>Цементарница УСЈЕ Скопје</v>
          </cell>
        </row>
        <row r="283">
          <cell r="A283" t="str">
            <v>Триглав осигурување Скопје</v>
          </cell>
        </row>
        <row r="284">
          <cell r="A284" t="str">
            <v>Ветекс Велес</v>
          </cell>
        </row>
        <row r="285">
          <cell r="A285" t="str">
            <v>ЖАС Скопје</v>
          </cell>
        </row>
        <row r="286">
          <cell r="A286" t="str">
            <v>Жито Караорман Кичево</v>
          </cell>
        </row>
        <row r="287">
          <cell r="A287" t="str">
            <v>Жито Полог Тетово</v>
          </cell>
        </row>
        <row r="288">
          <cell r="A288" t="str">
            <v>Задолжителна котација - приоритетни акции</v>
          </cell>
        </row>
        <row r="289">
          <cell r="A289" t="str">
            <v>Стопанска банка Скопје</v>
          </cell>
        </row>
        <row r="290">
          <cell r="A290" t="str">
            <v>Редовен пазар</v>
          </cell>
        </row>
        <row r="291">
          <cell r="A291" t="str">
            <v>Пазар на акционерски друштва со посебни обврски за известување - обични акции</v>
          </cell>
        </row>
        <row r="292">
          <cell r="A292" t="str">
            <v>Агросервис Скопје</v>
          </cell>
        </row>
        <row r="293">
          <cell r="A293" t="str">
            <v>Шпаркасе банка Македонија АД Скопје</v>
          </cell>
        </row>
        <row r="294">
          <cell r="A294" t="str">
            <v>Пазар на акционерски друштва со посебни обврски за известување - обврзници</v>
          </cell>
        </row>
        <row r="295">
          <cell r="A295" t="str">
            <v>Капитал банка АД Скопје - корпоративна обврзница</v>
          </cell>
        </row>
        <row r="296">
          <cell r="A296" t="str">
            <v>Слободен пазар - обични акции</v>
          </cell>
        </row>
        <row r="297">
          <cell r="A297" t="str">
            <v>Авто гума АД Скопје</v>
          </cell>
        </row>
        <row r="298">
          <cell r="A298" t="str">
            <v>Квасара Битола</v>
          </cell>
        </row>
        <row r="299">
          <cell r="A299" t="str">
            <v>АрцелорМиттал (ХРМ) АД Скопје - долгорочно суспендирано од котација</v>
          </cell>
        </row>
        <row r="300">
          <cell r="A300" t="str">
            <v>Пивара Скопје АД Скопје</v>
          </cell>
        </row>
        <row r="301">
          <cell r="A301" t="str">
            <v>Солун 2001 Гевгелија</v>
          </cell>
        </row>
        <row r="302">
          <cell r="A302" t="str">
            <v>Јавна понуда на хв</v>
          </cell>
        </row>
        <row r="303">
          <cell r="A303" t="str">
            <v>Јавна понуда на обврзници</v>
          </cell>
        </row>
        <row r="304">
          <cell r="A304" t="str">
            <v>СН Осигурителен Брокер АД Битола - јавна понуда за запишување на корпоративни обврзници</v>
          </cell>
        </row>
        <row r="305">
          <cell r="A305" t="str">
            <v>Вкупен промет на сите пазарни сегменти: 12.059.949,00</v>
          </cell>
        </row>
        <row r="306">
          <cell r="A306" t="str">
            <v>МБИ10</v>
          </cell>
        </row>
        <row r="307">
          <cell r="A307" t="str">
            <v>ОМБ</v>
          </cell>
        </row>
        <row r="308">
          <cell r="A308" t="str">
            <v>1 EUR = 61,6948 МКД</v>
          </cell>
        </row>
      </sheetData>
      <sheetData sheetId="1"/>
      <sheetData sheetId="2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Реплек Скопје</v>
          </cell>
          <cell r="B19">
            <v>104333.33</v>
          </cell>
        </row>
        <row r="20">
          <cell r="A20" t="str">
            <v>РЖ Интер-Трансшпед Скопје</v>
          </cell>
        </row>
        <row r="21">
          <cell r="A21" t="str">
            <v>РЖ Услуги Скопје</v>
          </cell>
        </row>
        <row r="22">
          <cell r="A22" t="str">
            <v>Стопанска банка Битола</v>
          </cell>
        </row>
        <row r="23">
          <cell r="A23" t="str">
            <v>Скопски Пазар Скопје</v>
          </cell>
        </row>
        <row r="24">
          <cell r="A24" t="str">
            <v>Макстил Скопје</v>
          </cell>
          <cell r="B24">
            <v>98</v>
          </cell>
        </row>
        <row r="25">
          <cell r="A25" t="str">
            <v>Тетекс Тетово</v>
          </cell>
        </row>
        <row r="26">
          <cell r="A26" t="str">
            <v>Тутунски комбинат Прилеп</v>
          </cell>
        </row>
        <row r="27">
          <cell r="A27" t="str">
            <v>ВВ Тиквеш АД Кавадарци</v>
          </cell>
        </row>
        <row r="28">
          <cell r="A28" t="str">
            <v>ТТК Банка АД Скопје</v>
          </cell>
        </row>
        <row r="29">
          <cell r="A29" t="str">
            <v>Витаминка Прилеп</v>
          </cell>
        </row>
        <row r="30">
          <cell r="A30" t="str">
            <v>Жито Лукс Скопје</v>
          </cell>
        </row>
        <row r="31">
          <cell r="A31" t="str">
            <v>ЗК Пелагонија Битола</v>
          </cell>
        </row>
        <row r="32">
          <cell r="A32" t="str">
            <v>Берзанска котација - приоритетни акции</v>
          </cell>
        </row>
        <row r="33">
          <cell r="A33" t="str">
            <v>Скопски пазар Скопје</v>
          </cell>
        </row>
        <row r="34">
          <cell r="A34" t="str">
            <v>Жито лукс Скопје</v>
          </cell>
        </row>
        <row r="35">
          <cell r="A35" t="str">
            <v>Берзанска котација - обврзници</v>
          </cell>
        </row>
        <row r="36">
          <cell r="A36" t="str">
            <v>Централна кооперативна банка АД Скопје - конвертибилни обврзници</v>
          </cell>
        </row>
        <row r="37">
          <cell r="A37" t="str">
            <v>Р. Македонија - државна обврзница DO2021/05-0428</v>
          </cell>
        </row>
        <row r="38">
          <cell r="A38" t="str">
            <v>Р. Македонија - државна обврзница DO2021/06-0428dk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DO2014/16-0724dk</v>
          </cell>
        </row>
        <row r="46">
          <cell r="A46" t="str">
            <v>Р. Македонија - државна обврзница DO2016/26-1131dk</v>
          </cell>
        </row>
        <row r="47">
          <cell r="A47" t="str">
            <v>Р. Македонија - државна обврзница DO2020/14-1223</v>
          </cell>
        </row>
        <row r="48">
          <cell r="A48" t="str">
            <v>Р. Македонија - државна обврзница DO2015/44-1230dk</v>
          </cell>
        </row>
        <row r="49">
          <cell r="A49" t="str">
            <v>Р. Македонија - државна обврзница DO2020/15-1235dk</v>
          </cell>
        </row>
        <row r="50">
          <cell r="A50" t="str">
            <v>Р. Македонија - државна обврзница DO2021/04-0336</v>
          </cell>
        </row>
        <row r="51">
          <cell r="A51" t="str">
            <v>Р. Македонија - државна обврзница DO2017/14-0532dk</v>
          </cell>
        </row>
        <row r="52">
          <cell r="A52" t="str">
            <v>Р. Македонија - државна обврзница DO2015/19-0630dk</v>
          </cell>
        </row>
        <row r="53">
          <cell r="A53" t="str">
            <v>Р. Македонија - државна обврзница DO2014/19-0924dk</v>
          </cell>
        </row>
        <row r="54">
          <cell r="A54" t="str">
            <v>Р. Македонија - државна обврзница DO2018/21-1021dk</v>
          </cell>
        </row>
        <row r="55">
          <cell r="A55" t="str">
            <v>Р. Македонија - државна обврзница DO2014/38-1224</v>
          </cell>
        </row>
        <row r="56">
          <cell r="A56" t="str">
            <v>Р. Македонија - државна обврзница DO2020/03-0325</v>
          </cell>
        </row>
        <row r="57">
          <cell r="A57" t="str">
            <v>Р. Македонија - државна обврзница DO2014/13-0624dk</v>
          </cell>
        </row>
        <row r="58">
          <cell r="A58" t="str">
            <v>Р. Македонија - дрзжвна обврзница ДО2021/13-0836</v>
          </cell>
        </row>
        <row r="59">
          <cell r="A59" t="str">
            <v>Р. Македонија - државна обврзница DO2017/30-1032dk</v>
          </cell>
        </row>
        <row r="60">
          <cell r="A60" t="str">
            <v>Р. Македонија - државна обврзница DO2020/11-1122</v>
          </cell>
        </row>
        <row r="61">
          <cell r="A61" t="str">
            <v>Р. Македонија - државна обврзница DO2020/12-1125</v>
          </cell>
        </row>
        <row r="62">
          <cell r="A62" t="str">
            <v>Р. Македонија - државна обврзница DO2019/16-1234dk</v>
          </cell>
        </row>
        <row r="63">
          <cell r="A63" t="str">
            <v>Р. Македонија - државна обврзница DO2017/12-0432dk</v>
          </cell>
        </row>
        <row r="64">
          <cell r="A64" t="str">
            <v>Р. Македонија - државна обврзница DO2017/19-0732dk</v>
          </cell>
        </row>
        <row r="65">
          <cell r="A65" t="str">
            <v>Р. Македонија - државна обврзница DO2015/30-0825dk</v>
          </cell>
        </row>
        <row r="66">
          <cell r="A66" t="str">
            <v>Р. Македонија - државна обврзница DO2015/31-0830dk</v>
          </cell>
        </row>
        <row r="67">
          <cell r="A67" t="str">
            <v>Р. Македонија - државна обврзница DO2020/07-0850dk</v>
          </cell>
        </row>
        <row r="68">
          <cell r="A68" t="str">
            <v>Р. Македонија - државна обврзница DO2019/05-0324</v>
          </cell>
        </row>
        <row r="69">
          <cell r="A69" t="str">
            <v>Р. Македонија - државна обврзница DO2016/11-0426dk</v>
          </cell>
        </row>
        <row r="70">
          <cell r="A70" t="str">
            <v>Р. Македонија - државна обврзница DO2015/17-0530dk</v>
          </cell>
        </row>
        <row r="71">
          <cell r="A71" t="str">
            <v>Р. Македонија - државна обврзница DO2018/12-0633</v>
          </cell>
        </row>
        <row r="72">
          <cell r="A72" t="str">
            <v>Р. Македонија - државна обврзница DO2017/26-0932dk</v>
          </cell>
        </row>
        <row r="73">
          <cell r="A73" t="str">
            <v>Р. Македонија - државна обврзница DO2019/15-1134</v>
          </cell>
        </row>
        <row r="74">
          <cell r="A74" t="str">
            <v>Р. Македонија - државна обврзница DO2017/38-1232dk</v>
          </cell>
        </row>
        <row r="75">
          <cell r="A75" t="str">
            <v>Р. Македонија - државна обврзница DO2018/10-0333dk</v>
          </cell>
        </row>
        <row r="76">
          <cell r="A76" t="str">
            <v>Р. Македонија - државна обврзница DO2017/16-0632dk</v>
          </cell>
        </row>
        <row r="77">
          <cell r="A77" t="str">
            <v>Р. Македонија - државна обврзница DO2016/15-0731dk</v>
          </cell>
        </row>
        <row r="78">
          <cell r="A78" t="str">
            <v>Р. Македонија - државна обврзница DO2019/11-0834dk</v>
          </cell>
        </row>
        <row r="79">
          <cell r="A79" t="str">
            <v>Р. Македонија - државна обврзница DO2015/40-1030dk</v>
          </cell>
        </row>
        <row r="80">
          <cell r="A80" t="str">
            <v>Р. Македонија - државна обврзница DO2017/08-0332dk</v>
          </cell>
        </row>
        <row r="81">
          <cell r="A81" t="str">
            <v>Р. Македонија - државна обврзница DO2016/13-0631dk</v>
          </cell>
        </row>
        <row r="82">
          <cell r="A82" t="str">
            <v>Р. Македонија - државна обврзница DO2015/23-0725</v>
          </cell>
        </row>
        <row r="83">
          <cell r="A83" t="str">
            <v>Р. Македонија - државна обврзница DO2015/24-0725dk</v>
          </cell>
        </row>
        <row r="84">
          <cell r="A84" t="str">
            <v>Р. Македонија - државна обврзница DO2015/25-0730dk</v>
          </cell>
        </row>
        <row r="85">
          <cell r="A85" t="str">
            <v>Р. Македонија - државна обврзница DO2018/17-0833dk</v>
          </cell>
        </row>
        <row r="86">
          <cell r="A86" t="str">
            <v>Р. Македонија - државна обврзница DO2017/21-0822dk</v>
          </cell>
        </row>
        <row r="87">
          <cell r="A87" t="str">
            <v>Р. Македонија - државна обврзница DO2017/22-0832dk</v>
          </cell>
        </row>
        <row r="88">
          <cell r="A88" t="str">
            <v>Р. Македонија - државна обврзница DO2018/02-0128</v>
          </cell>
        </row>
        <row r="89">
          <cell r="A89" t="str">
            <v>Р. Македонија - државна обврзница DO2018/03-0133dk</v>
          </cell>
        </row>
        <row r="90">
          <cell r="A90" t="str">
            <v>Р. Македонија - државна обврзница DO2016/05-0226</v>
          </cell>
        </row>
        <row r="91">
          <cell r="A91" t="str">
            <v>Р. Македонија - државна обврзница DO2016/06-0226dk</v>
          </cell>
        </row>
        <row r="92">
          <cell r="A92" t="str">
            <v>Р. Македонија - државна обврзница DO2016/07-0231dk</v>
          </cell>
        </row>
        <row r="93">
          <cell r="A93" t="str">
            <v>Р. Македонија - државна обврзница DO2017/02-0132dk</v>
          </cell>
        </row>
        <row r="94">
          <cell r="A94" t="str">
            <v>Р. Македонија - државна обврзница DO2015/05-0230dk</v>
          </cell>
        </row>
        <row r="95">
          <cell r="A95" t="str">
            <v>Р. Македонија - државна обврзница DO2015/09-0325</v>
          </cell>
        </row>
        <row r="96">
          <cell r="A96" t="str">
            <v>Р. Македонија - државна обврзница DO2015/10-0330dk</v>
          </cell>
        </row>
        <row r="97">
          <cell r="A97" t="str">
            <v>Р. Македонија - државна обврзница DO2020/02-0235</v>
          </cell>
        </row>
        <row r="98">
          <cell r="A98" t="str">
            <v>Р. Македонија - државна обврзница DO2016/01-0126dk</v>
          </cell>
        </row>
        <row r="99">
          <cell r="A99" t="str">
            <v>Р. Македонија - државна обврзница DO2016/02-0131dk</v>
          </cell>
        </row>
        <row r="100">
          <cell r="A100" t="str">
            <v>Р. Македонија - државна обврзница DO2021/01-0136</v>
          </cell>
        </row>
        <row r="101">
          <cell r="A101" t="str">
            <v>Р. Македонија - државна обврзница DO2019/03-0224dk</v>
          </cell>
        </row>
        <row r="102">
          <cell r="A102" t="str">
            <v>Р. Македонија - државна обврзница DO2016/12-0431dk</v>
          </cell>
        </row>
        <row r="103">
          <cell r="A103" t="str">
            <v>Р. Македонија - државна обврзница DO2020/05-0522</v>
          </cell>
        </row>
        <row r="104">
          <cell r="A104" t="str">
            <v>Р. Македонија - државна обврзница DO2021/09-0526</v>
          </cell>
        </row>
        <row r="105">
          <cell r="A105" t="str">
            <v>Р. Македонија - државна обврзница DO2016/23-1031dk</v>
          </cell>
        </row>
        <row r="106">
          <cell r="A106" t="str">
            <v>Р. Македонија - државна обврзница DO2018/07-0223</v>
          </cell>
        </row>
        <row r="107">
          <cell r="A107" t="str">
            <v>Р. Македонија - државна обврзница DO2018/08-0233dk</v>
          </cell>
        </row>
        <row r="108">
          <cell r="A108" t="str">
            <v>Р. Македонија - државна обврзница DO2021/07-0436</v>
          </cell>
        </row>
        <row r="109">
          <cell r="A109" t="str">
            <v>Р. Македонија - државна обврзница DO2021/08-0436dk</v>
          </cell>
        </row>
        <row r="110">
          <cell r="A110" t="str">
            <v>Р. Македонија - државна обврзница DO2020/08-1030</v>
          </cell>
        </row>
        <row r="111">
          <cell r="A111" t="str">
            <v>Р. Македонија - државна обврзница DO2020/09-1030dk</v>
          </cell>
        </row>
        <row r="112">
          <cell r="A112" t="str">
            <v>Р. Македонија - државна обврзница DO2017/06-0232dk</v>
          </cell>
        </row>
        <row r="113">
          <cell r="A113" t="str">
            <v>Р. Македонија - државна обврзница DO2015/15-0430dk</v>
          </cell>
        </row>
        <row r="114">
          <cell r="A114" t="str">
            <v>Р. Македонија - државна обврзница DO2019/08-0524</v>
          </cell>
        </row>
        <row r="115">
          <cell r="A115" t="str">
            <v>Р. Македонија - државна обврзница DO2019/09-0534</v>
          </cell>
        </row>
        <row r="116">
          <cell r="A116" t="str">
            <v>Р. Македонија - државна обврзница DO2014/27-1024</v>
          </cell>
        </row>
        <row r="117">
          <cell r="A117" t="str">
            <v>Р. Македонија - државна обврзница DO2014/28-1024dk</v>
          </cell>
        </row>
        <row r="118">
          <cell r="A118" t="str">
            <v>Р. Македонија - државна обврзница DO2016/08-0331dk</v>
          </cell>
        </row>
        <row r="119">
          <cell r="A119" t="str">
            <v>Р. Македонија - државна обврзница DO2021/10-0636</v>
          </cell>
        </row>
        <row r="120">
          <cell r="A120" t="str">
            <v>Р. Македонија - државна обврзница DO2021/11-0636dk</v>
          </cell>
        </row>
        <row r="121">
          <cell r="A121" t="str">
            <v>Р. Македонија - државна обврзница DO2017/23-0822dk</v>
          </cell>
        </row>
        <row r="122">
          <cell r="A122" t="str">
            <v>Р. Македонија - државна обврзница DO2017/24-0832dk</v>
          </cell>
        </row>
        <row r="123">
          <cell r="A123" t="str">
            <v>Р. Македонија - државна обврзница DO2015/37-0930dk</v>
          </cell>
        </row>
        <row r="124">
          <cell r="A124" t="str">
            <v>Р. Македонија - државна обврзница DO2019/13-1024</v>
          </cell>
        </row>
        <row r="125">
          <cell r="A125" t="str">
            <v>Р. Македонија - државна обврзница DO2020/16-1222dk</v>
          </cell>
        </row>
        <row r="126">
          <cell r="A126" t="str">
            <v>Р. Македонија - државна обврзница DO2015/45-1225dk</v>
          </cell>
        </row>
        <row r="127">
          <cell r="A127" t="str">
            <v>Р. Македонија - државна обврзница DO2021/03-0224</v>
          </cell>
        </row>
        <row r="128">
          <cell r="A128" t="str">
            <v>Р. Македонија - државна обврзница DO2019/06-0449dk</v>
          </cell>
        </row>
        <row r="129">
          <cell r="A129" t="str">
            <v>Р. Македонија - државна обврзница DO2020/06-0635</v>
          </cell>
        </row>
        <row r="130">
          <cell r="A130" t="str">
            <v>Р. Македонија - државна обврзница DO2019/10-0749dk</v>
          </cell>
          <cell r="B130">
            <v>101.6</v>
          </cell>
        </row>
        <row r="131">
          <cell r="A131" t="str">
            <v>Р. Македонија - државна обврзница DO2016/17-0826</v>
          </cell>
        </row>
        <row r="132">
          <cell r="A132" t="str">
            <v>Р. Македонија - државна обврзница DO2016/18-0826dk</v>
          </cell>
        </row>
        <row r="133">
          <cell r="A133" t="str">
            <v>Р. Македонија - државна обврзница DO2016/19-0831dk</v>
          </cell>
        </row>
        <row r="134">
          <cell r="A134" t="str">
            <v>Р. Македонија - државна обврзница DO2018/23-1048dk</v>
          </cell>
        </row>
        <row r="135">
          <cell r="A135" t="str">
            <v>Р. Македонија - државна обврзница DO2018/14-0723</v>
          </cell>
        </row>
        <row r="136">
          <cell r="A136" t="str">
            <v>Р. Македонија - државна обврзница DO2018/15-0748dk</v>
          </cell>
        </row>
        <row r="137">
          <cell r="A137" t="str">
            <v>Р. Македонија - државна обврзница DO2019/12-0934</v>
          </cell>
        </row>
        <row r="138">
          <cell r="A138" t="str">
            <v>Р. Македонија - државна обврзница DO2017/32-1032dk</v>
          </cell>
        </row>
        <row r="139">
          <cell r="A139" t="str">
            <v>Р. Македонија - државна обврзница DO2020/13-1123dk</v>
          </cell>
        </row>
        <row r="140">
          <cell r="A140" t="str">
            <v>Р. Македонија - државна обврзница DO2015/42-1125dk</v>
          </cell>
        </row>
        <row r="141">
          <cell r="A141" t="str">
            <v>Р. Македонија - државна обврзница DO2015/43-1130dk</v>
          </cell>
        </row>
        <row r="142">
          <cell r="A142" t="str">
            <v>Р. Македонија - државна обврзница DO2017/20-0732dk</v>
          </cell>
        </row>
        <row r="143">
          <cell r="A143" t="str">
            <v>Р. Македонија - државна обврзница DO2015/32-0825</v>
          </cell>
        </row>
        <row r="144">
          <cell r="A144" t="str">
            <v>Р. Македонија - државна обврзница DO2015/33-0830dk</v>
          </cell>
        </row>
        <row r="145">
          <cell r="A145" t="str">
            <v>Р. Македонија - државна обврзница DO2018/18-0921</v>
          </cell>
        </row>
        <row r="146">
          <cell r="A146" t="str">
            <v>Р. Македонија - државна обврзница DO2018/19-0933</v>
          </cell>
        </row>
        <row r="147">
          <cell r="A147" t="str">
            <v>Р. Македонија - државна обврзница DO2018/20-0933dk</v>
          </cell>
        </row>
        <row r="148">
          <cell r="A148" t="str">
            <v>Р. Македонија - државна обврзница DO2015/18-0525dk</v>
          </cell>
        </row>
        <row r="149">
          <cell r="A149" t="str">
            <v>Р. Македонија - државна обврзница DO2018/13-0633dk</v>
          </cell>
        </row>
        <row r="150">
          <cell r="A150" t="str">
            <v>Р. Македонија - државна обврзница DO2014/18-0824dk</v>
          </cell>
        </row>
        <row r="151">
          <cell r="A151" t="str">
            <v>Р. Македонија - државна обврзница DO2017/27-0932dk</v>
          </cell>
        </row>
        <row r="152">
          <cell r="A152" t="str">
            <v>Р. Македонија - државна обврзница DO2016/03-0131dk</v>
          </cell>
        </row>
        <row r="153">
          <cell r="A153" t="str">
            <v>Р. Македонија - државна обврзница DO2017/17-0632dk</v>
          </cell>
        </row>
        <row r="154">
          <cell r="A154" t="str">
            <v>Р. Македонија - државна обврзница DO2016/21-0931dk</v>
          </cell>
        </row>
        <row r="155">
          <cell r="A155" t="str">
            <v>Р. Македонија - државна обврзница DO2018/27-1133dk</v>
          </cell>
          <cell r="B155">
            <v>106.8</v>
          </cell>
        </row>
        <row r="156">
          <cell r="A156" t="str">
            <v>Р. Македонија - државна обврзница DO2016/29-1231dk</v>
          </cell>
        </row>
        <row r="157">
          <cell r="A157" t="str">
            <v>Р. Македонија - државна обврзница DO2014/02-0124</v>
          </cell>
        </row>
        <row r="158">
          <cell r="A158" t="str">
            <v>Р. Македонија - државна обврзница DO2014/03-0124dk</v>
          </cell>
        </row>
        <row r="159">
          <cell r="A159" t="str">
            <v>Р. Македонија - државна обврзница DO2017/10-0332dk</v>
          </cell>
        </row>
        <row r="160">
          <cell r="A160" t="str">
            <v>Р. Македонија - државна обврзница DO2016/14-0631dk</v>
          </cell>
        </row>
        <row r="161">
          <cell r="A161" t="str">
            <v>Р. Македонија - државна обврзница DO2015/27-0725dk</v>
          </cell>
        </row>
        <row r="162">
          <cell r="A162" t="str">
            <v>Р. Македонија - државна обврзница DO2015/28-0730dk</v>
          </cell>
        </row>
        <row r="163">
          <cell r="A163" t="str">
            <v>Р. Македонија - државна обврзница DO2017/36-1132dk</v>
          </cell>
        </row>
        <row r="164">
          <cell r="A164" t="str">
            <v>Р. Македонија - државна обврзница DO2016/09-0326</v>
          </cell>
        </row>
        <row r="165">
          <cell r="A165" t="str">
            <v>Р. Македонија - државна обврзница DO2014/17-0724dk</v>
          </cell>
        </row>
        <row r="166">
          <cell r="A166" t="str">
            <v>Р. Македонија - државна обврзница DO2015/38-0925dk</v>
          </cell>
        </row>
        <row r="167">
          <cell r="A167" t="str">
            <v>Р. Македонија - државна обврзница DO2015/39-0930dk</v>
          </cell>
        </row>
        <row r="168">
          <cell r="A168" t="str">
            <v>Р. Македонија - државна обврзница DO2015/46-1225dk</v>
          </cell>
        </row>
        <row r="169">
          <cell r="A169" t="str">
            <v>Р. Македонија - државна обврзница DO2018/04-0133</v>
          </cell>
        </row>
        <row r="170">
          <cell r="A170" t="str">
            <v>Р. Македонија - државна обврзница DO2018/05-0133dk</v>
          </cell>
          <cell r="B170">
            <v>112.2</v>
          </cell>
        </row>
        <row r="171">
          <cell r="A171" t="str">
            <v>Р. Македонија - државна обврзница DO2015/20-0625</v>
          </cell>
        </row>
        <row r="172">
          <cell r="A172" t="str">
            <v>Р. Македонија - државна обврзница DO2015/21-0625dk</v>
          </cell>
        </row>
        <row r="173">
          <cell r="A173" t="str">
            <v>Р. Македонија - државна обврзница DO2015/22-0630dk</v>
          </cell>
        </row>
        <row r="174">
          <cell r="A174" t="str">
            <v>Р. Македонија - државна обврзница DO2017/05-0132dk</v>
          </cell>
        </row>
        <row r="175">
          <cell r="A175" t="str">
            <v>Р. Македонија - државна обврзница DO2015/08-0230dk</v>
          </cell>
        </row>
        <row r="176">
          <cell r="A176" t="str">
            <v>Р. Македонија - државна обврзница DO2015/12-0325</v>
          </cell>
        </row>
        <row r="177">
          <cell r="A177" t="str">
            <v>Р. Македонија - државна обврзница DO2015/13-0330dk</v>
          </cell>
        </row>
        <row r="178">
          <cell r="A178" t="str">
            <v>Р. Македонија - државна обврзница DO2018/11-0448dk</v>
          </cell>
        </row>
        <row r="179">
          <cell r="A179" t="str">
            <v>Р. Македонија - државна обврзница DO2015/34-0825</v>
          </cell>
        </row>
        <row r="180">
          <cell r="A180" t="str">
            <v>Р. Македонија - државна обврзница DO2015/35-0825dk</v>
          </cell>
        </row>
        <row r="181">
          <cell r="A181" t="str">
            <v>Р. Македонија - државна обврзница DO2015/36-0830dk</v>
          </cell>
        </row>
        <row r="182">
          <cell r="A182" t="str">
            <v>Р. Македонија - државна обврзница DO2021/02-0123</v>
          </cell>
        </row>
        <row r="183">
          <cell r="A183" t="str">
            <v>Р. Македонија - државна обврзница DO2016/04-0131dk</v>
          </cell>
        </row>
        <row r="184">
          <cell r="A184" t="str">
            <v>Р. Македонија - државна обврзница DO2019/04-0234</v>
          </cell>
          <cell r="B184">
            <v>101</v>
          </cell>
        </row>
        <row r="185">
          <cell r="A185" t="str">
            <v>Р. Македонија - државна обврзница DO2016/16-0731dk</v>
          </cell>
        </row>
        <row r="186">
          <cell r="A186" t="str">
            <v>Р. Македонија - државна обврзница DO2015/03-0125</v>
          </cell>
        </row>
        <row r="187">
          <cell r="A187" t="str">
            <v>Р. Македонија - државна обврзница DO2015/04-0125dk</v>
          </cell>
        </row>
        <row r="188">
          <cell r="A188" t="str">
            <v>Р. Македонија - државна обврзница DO2017/18-0632dk</v>
          </cell>
        </row>
        <row r="189">
          <cell r="A189" t="str">
            <v>Р. Македонија - држaвна обврзница DO2021/12-0724</v>
          </cell>
        </row>
        <row r="190">
          <cell r="A190" t="str">
            <v>Р. Македонија - државна обврзница DO2016/22-0931dk</v>
          </cell>
        </row>
        <row r="191">
          <cell r="A191" t="str">
            <v>Р. Македонија - државна обврзница DO2015/41-1030dk</v>
          </cell>
        </row>
        <row r="192">
          <cell r="A192" t="str">
            <v>Р. Македонија - државна обврзница DO2020/10-1035</v>
          </cell>
        </row>
        <row r="193">
          <cell r="A193" t="str">
            <v>Р. Македонија - државна обврзница DO2020/01-0150dk</v>
          </cell>
        </row>
        <row r="194">
          <cell r="A194" t="str">
            <v>Р. Македонија - државна обврзница DO2017/11-0332dk</v>
          </cell>
        </row>
        <row r="195">
          <cell r="A195" t="str">
            <v>Р. Македонија - државна обврзница DO2020/04-0450dk</v>
          </cell>
        </row>
        <row r="196">
          <cell r="A196" t="str">
            <v>Р. Македонија - државна обврзница DO2015/29-0730dk</v>
          </cell>
        </row>
        <row r="197">
          <cell r="A197" t="str">
            <v>Р. Македонија - државна обврзница DO2014/30-1024dk</v>
          </cell>
        </row>
        <row r="198">
          <cell r="A198" t="str">
            <v>Р. Македонија - државна обврзница DO2017/37-1132dk</v>
          </cell>
        </row>
        <row r="199">
          <cell r="A199" t="str">
            <v>Р. Македонија - државна обврзница DO2019/02-0149dk</v>
          </cell>
        </row>
        <row r="200">
          <cell r="A200" t="str">
            <v>Р. Македонија - државна обврзница DO2016/10-0331dk</v>
          </cell>
        </row>
        <row r="201">
          <cell r="A201" t="str">
            <v>Р. Македонија - државна обврзница DO2019/14-1049dk</v>
          </cell>
          <cell r="B201">
            <v>103.5</v>
          </cell>
        </row>
        <row r="202">
          <cell r="A202" t="str">
            <v>Р. Македонија - државна обврзница DO2020/17-1222</v>
          </cell>
        </row>
        <row r="203">
          <cell r="A203" t="str">
            <v>Р. Македонија - државна обврзница DO2020/18-1222dk</v>
          </cell>
        </row>
        <row r="204">
          <cell r="A204" t="str">
            <v>Р. Македонија - државна обврзница DO2020/19-1223</v>
          </cell>
        </row>
        <row r="205">
          <cell r="A205" t="str">
            <v>Р. Македонија - државна обврзница DO2020/20-1223dk</v>
          </cell>
        </row>
        <row r="206">
          <cell r="A206" t="str">
            <v>Р. Македонија - денационализација 11</v>
          </cell>
          <cell r="B206">
            <v>99.5</v>
          </cell>
        </row>
        <row r="207">
          <cell r="A207" t="str">
            <v>Р. Македонија - денационализација 12</v>
          </cell>
          <cell r="B207">
            <v>99.5</v>
          </cell>
        </row>
        <row r="208">
          <cell r="A208" t="str">
            <v>Р. Македонија - денационализација 13</v>
          </cell>
          <cell r="B208">
            <v>99.7</v>
          </cell>
        </row>
        <row r="209">
          <cell r="A209" t="str">
            <v>Р. Македонија - денационализација 14</v>
          </cell>
          <cell r="B209">
            <v>100</v>
          </cell>
        </row>
        <row r="210">
          <cell r="A210" t="str">
            <v>Р. Македонија - денационализација 15</v>
          </cell>
          <cell r="B210">
            <v>99</v>
          </cell>
        </row>
        <row r="211">
          <cell r="A211" t="str">
            <v>Р. Македонија - денационализација 16</v>
          </cell>
          <cell r="B211">
            <v>99.8</v>
          </cell>
        </row>
        <row r="212">
          <cell r="A212" t="str">
            <v>Р. Македонија - денационализација 17</v>
          </cell>
          <cell r="B212">
            <v>99.8</v>
          </cell>
        </row>
        <row r="213">
          <cell r="A213" t="str">
            <v>Р. Македонија - денационализација 18</v>
          </cell>
          <cell r="B213">
            <v>99.8</v>
          </cell>
        </row>
        <row r="214">
          <cell r="A214" t="str">
            <v>Р. Македонија - денационализација 19</v>
          </cell>
          <cell r="B214">
            <v>99.8</v>
          </cell>
        </row>
        <row r="215">
          <cell r="A215" t="str">
            <v>Р. Македонија - денационализација 20</v>
          </cell>
        </row>
        <row r="216">
          <cell r="A216" t="str">
            <v>ТТК банка АД Скопје - корпоративна обврзница I емисија</v>
          </cell>
          <cell r="B216">
            <v>100</v>
          </cell>
        </row>
        <row r="217">
          <cell r="A217" t="str">
            <v>ТТК банка АД Скопје - корпоративна обврзница II емисија</v>
          </cell>
        </row>
        <row r="218">
          <cell r="A218" t="str">
            <v>Берзанска котација - други хартии од вредност</v>
          </cell>
        </row>
        <row r="219">
          <cell r="A219" t="str">
            <v>Универзална Инвестициона Банка Скопје - перпетуални обврзници</v>
          </cell>
          <cell r="B219">
            <v>101.5</v>
          </cell>
        </row>
        <row r="220">
          <cell r="A220" t="str">
            <v>Задолжителна котација - обични акции</v>
          </cell>
        </row>
        <row r="221">
          <cell r="A221" t="str">
            <v>Адинг Скопје</v>
          </cell>
          <cell r="B221">
            <v>652</v>
          </cell>
        </row>
        <row r="222">
          <cell r="A222" t="str">
            <v>Агромеханика Скопје</v>
          </cell>
          <cell r="B222">
            <v>300</v>
          </cell>
        </row>
        <row r="223">
          <cell r="A223" t="str">
            <v>Ангропромет-Тиквешанка Кавадарци</v>
          </cell>
          <cell r="B223">
            <v>750</v>
          </cell>
        </row>
        <row r="224">
          <cell r="A224" t="str">
            <v>Аутомакедонија Скопје</v>
          </cell>
          <cell r="B224">
            <v>2500</v>
          </cell>
        </row>
        <row r="225">
          <cell r="A225" t="str">
            <v>Рудници Бањани Скопје</v>
          </cell>
          <cell r="B225">
            <v>603</v>
          </cell>
        </row>
        <row r="226">
          <cell r="A226" t="str">
            <v>Кристал 1923 АД Велес</v>
          </cell>
          <cell r="B226">
            <v>150</v>
          </cell>
        </row>
        <row r="227">
          <cell r="A227" t="str">
            <v>БИМ Свети Николе</v>
          </cell>
          <cell r="B227">
            <v>12300</v>
          </cell>
        </row>
        <row r="228">
          <cell r="A228" t="str">
            <v>ФЗЦ 11 Октомври Куманово</v>
          </cell>
          <cell r="B228">
            <v>400</v>
          </cell>
        </row>
        <row r="229">
          <cell r="A229" t="str">
            <v>Централна кооперативна банка Скопје</v>
          </cell>
          <cell r="B229">
            <v>600</v>
          </cell>
        </row>
        <row r="230">
          <cell r="A230" t="str">
            <v>Дебарски бањи Дебар</v>
          </cell>
          <cell r="B230">
            <v>1550</v>
          </cell>
        </row>
        <row r="231">
          <cell r="A231" t="str">
            <v>Димко Митрев Велес</v>
          </cell>
          <cell r="B231">
            <v>185</v>
          </cell>
        </row>
        <row r="232">
          <cell r="A232" t="str">
            <v>Единство Струмица</v>
          </cell>
          <cell r="B232">
            <v>303</v>
          </cell>
        </row>
        <row r="233">
          <cell r="A233" t="str">
            <v>Европа Скопје</v>
          </cell>
          <cell r="B233">
            <v>2900</v>
          </cell>
        </row>
        <row r="234">
          <cell r="A234" t="str">
            <v>Факом Скопје</v>
          </cell>
        </row>
        <row r="235">
          <cell r="A235" t="str">
            <v>Фустеларко Борец Битола</v>
          </cell>
          <cell r="B235">
            <v>1568</v>
          </cell>
        </row>
        <row r="236">
          <cell r="A236" t="str">
            <v>Герас Цунев конфекција Струмица</v>
          </cell>
        </row>
        <row r="237">
          <cell r="A237" t="str">
            <v>Герас Цунев трговија Струмица</v>
          </cell>
        </row>
        <row r="238">
          <cell r="A238" t="str">
            <v>Грозд Струмица</v>
          </cell>
          <cell r="B238">
            <v>2250</v>
          </cell>
        </row>
        <row r="239">
          <cell r="A239" t="str">
            <v>Градски Трговски Центар Скопје</v>
          </cell>
          <cell r="B239">
            <v>1790</v>
          </cell>
        </row>
        <row r="240">
          <cell r="A240" t="str">
            <v>Интерпромет Тетово</v>
          </cell>
        </row>
        <row r="241">
          <cell r="A241" t="str">
            <v>Македонија осигурување АД Скопје - Виена Иншуренс Груп</v>
          </cell>
          <cell r="B241">
            <v>1261</v>
          </cell>
        </row>
        <row r="242">
          <cell r="A242" t="str">
            <v>Кланица со ладилник Струмица</v>
          </cell>
        </row>
        <row r="243">
          <cell r="A243" t="str">
            <v>Фруктал МАК Скопје</v>
          </cell>
          <cell r="B243">
            <v>119</v>
          </cell>
        </row>
        <row r="244">
          <cell r="A244" t="str">
            <v>Карпош Скопје</v>
          </cell>
          <cell r="B244">
            <v>342</v>
          </cell>
        </row>
        <row r="245">
          <cell r="A245" t="str">
            <v>Лотарија на Македонија Скопје</v>
          </cell>
          <cell r="B245">
            <v>206</v>
          </cell>
        </row>
        <row r="246">
          <cell r="A246" t="str">
            <v>Пелистерка АД Скопје</v>
          </cell>
        </row>
        <row r="247">
          <cell r="A247" t="str">
            <v>Макпромет Штип</v>
          </cell>
        </row>
        <row r="248">
          <cell r="A248" t="str">
            <v>Мермерен комбинат Прилеп</v>
          </cell>
          <cell r="B248">
            <v>2425</v>
          </cell>
        </row>
        <row r="249">
          <cell r="A249" t="str">
            <v>Мода Свети Николе</v>
          </cell>
        </row>
        <row r="250">
          <cell r="A250" t="str">
            <v>Вабтек МЗТ Скопје</v>
          </cell>
          <cell r="B250">
            <v>3133</v>
          </cell>
        </row>
        <row r="251">
          <cell r="A251" t="str">
            <v>МЗТ Пумпи Скопје</v>
          </cell>
          <cell r="B251">
            <v>607</v>
          </cell>
        </row>
        <row r="252">
          <cell r="A252" t="str">
            <v>Огражден Струмица</v>
          </cell>
        </row>
        <row r="253">
          <cell r="A253" t="str">
            <v>Нова стоковна куќа Струмица</v>
          </cell>
        </row>
        <row r="254">
          <cell r="A254" t="str">
            <v>Оилко КДА Скопје</v>
          </cell>
        </row>
        <row r="255">
          <cell r="A255" t="str">
            <v>ОКТА Скопје</v>
          </cell>
        </row>
        <row r="256">
          <cell r="A256" t="str">
            <v>Оранжерии Хамзали Струмица</v>
          </cell>
        </row>
        <row r="257">
          <cell r="A257" t="str">
            <v>Пекабеско Скопје</v>
          </cell>
        </row>
        <row r="258">
          <cell r="A258" t="str">
            <v>Попова Кула Демир Капија</v>
          </cell>
        </row>
        <row r="259">
          <cell r="A259" t="str">
            <v>Прилепска Пиварница Прилеп</v>
          </cell>
        </row>
        <row r="260">
          <cell r="A260" t="str">
            <v>Раде Кончар Скопје</v>
          </cell>
        </row>
        <row r="261">
          <cell r="A261" t="str">
            <v>РЖ Економика Скопје</v>
          </cell>
        </row>
        <row r="262">
          <cell r="A262" t="str">
            <v>Либерти АД Скопје</v>
          </cell>
        </row>
        <row r="263">
          <cell r="A263" t="str">
            <v>РЖ Техничка контрола Скопје</v>
          </cell>
        </row>
        <row r="264">
          <cell r="A264" t="str">
            <v>РЖ Уготур Скопје</v>
          </cell>
        </row>
        <row r="265">
          <cell r="A265" t="str">
            <v>Современ дом Прилеп</v>
          </cell>
        </row>
        <row r="266">
          <cell r="A266" t="str">
            <v>Силекс Кратово</v>
          </cell>
        </row>
        <row r="267">
          <cell r="A267" t="str">
            <v>Сковин Скопје</v>
          </cell>
        </row>
        <row r="268">
          <cell r="A268" t="str">
            <v>Славеј Скопје</v>
          </cell>
        </row>
        <row r="269">
          <cell r="A269" t="str">
            <v>Струмичко поле с.Василево</v>
          </cell>
        </row>
        <row r="270">
          <cell r="A270" t="str">
            <v>Сигурносно стакло Прилеп</v>
          </cell>
        </row>
        <row r="271">
          <cell r="A271" t="str">
            <v>Стопанска банка Скопје</v>
          </cell>
        </row>
        <row r="272">
          <cell r="A272" t="str">
            <v>Стокопромет Скопје</v>
          </cell>
        </row>
        <row r="273">
          <cell r="A273" t="str">
            <v>Тајмиште Кичево</v>
          </cell>
        </row>
        <row r="274">
          <cell r="A274" t="str">
            <v>ТЕАЛ-Алумина Тетово</v>
          </cell>
        </row>
        <row r="275">
          <cell r="A275" t="str">
            <v>Технокомерц Скопје</v>
          </cell>
        </row>
        <row r="276">
          <cell r="A276" t="str">
            <v>Македонски Телеком Скопје</v>
          </cell>
        </row>
        <row r="277">
          <cell r="A277" t="str">
            <v>ГД-Тиквеш Кавадарци</v>
          </cell>
        </row>
        <row r="278">
          <cell r="A278" t="str">
            <v>НЛБ Банка АД Скопје</v>
          </cell>
        </row>
        <row r="279">
          <cell r="A279" t="str">
            <v>Транскоп-Патнички сооб. Битола</v>
          </cell>
        </row>
        <row r="280">
          <cell r="A280" t="str">
            <v>Трготекстил малопродажба Скопје</v>
          </cell>
        </row>
        <row r="281">
          <cell r="A281" t="str">
            <v>Универзална Инвестициона Банка Скопје</v>
          </cell>
        </row>
        <row r="282">
          <cell r="A282" t="str">
            <v>Цементарница УСЈЕ Скопје</v>
          </cell>
        </row>
        <row r="283">
          <cell r="A283" t="str">
            <v>Триглав осигурување Скопје</v>
          </cell>
        </row>
        <row r="284">
          <cell r="A284" t="str">
            <v>Ветекс Велес</v>
          </cell>
        </row>
        <row r="285">
          <cell r="A285" t="str">
            <v>ЖАС Скопје</v>
          </cell>
        </row>
        <row r="286">
          <cell r="A286" t="str">
            <v>Жито Караорман Кичево</v>
          </cell>
        </row>
        <row r="287">
          <cell r="A287" t="str">
            <v>Жито Полог Тетово</v>
          </cell>
        </row>
        <row r="288">
          <cell r="A288" t="str">
            <v>Задолжителна котација - приоритетни акции</v>
          </cell>
        </row>
        <row r="289">
          <cell r="A289" t="str">
            <v>Стопанска банка Скопје</v>
          </cell>
        </row>
        <row r="290">
          <cell r="A290" t="str">
            <v>Редовен пазар</v>
          </cell>
        </row>
        <row r="291">
          <cell r="A291" t="str">
            <v>Пазар на акционерски друштва со посебни обврски за известување - обични акции</v>
          </cell>
        </row>
        <row r="292">
          <cell r="A292" t="str">
            <v>Агросервис Скопје</v>
          </cell>
        </row>
        <row r="293">
          <cell r="A293" t="str">
            <v>Шпаркасе банка Македонија АД Скопје</v>
          </cell>
        </row>
        <row r="294">
          <cell r="A294" t="str">
            <v>Пазар на акционерски друштва со посебни обврски за известување - обврзници</v>
          </cell>
        </row>
        <row r="295">
          <cell r="A295" t="str">
            <v>Капитал банка АД Скопје - корпоративна обврзница</v>
          </cell>
        </row>
        <row r="296">
          <cell r="A296" t="str">
            <v>Слободен пазар - обични акции</v>
          </cell>
        </row>
        <row r="297">
          <cell r="A297" t="str">
            <v>Квасара Битола</v>
          </cell>
        </row>
        <row r="298">
          <cell r="A298" t="str">
            <v>АрцелорМиттал (ХРМ) АД Скопје - долгорочно суспендирано од котација</v>
          </cell>
        </row>
        <row r="299">
          <cell r="A299" t="str">
            <v>Солун 2001 Гевгелија</v>
          </cell>
        </row>
        <row r="300">
          <cell r="A300" t="str">
            <v>Јавна понуда на хв</v>
          </cell>
        </row>
        <row r="301">
          <cell r="A301" t="str">
            <v>Јавна понуда на обврзници</v>
          </cell>
        </row>
        <row r="302">
          <cell r="A302" t="str">
            <v>СН Осигурителен Брокер АД Битола - јавна понуда за запишување на корпоративни обврзници</v>
          </cell>
        </row>
        <row r="303">
          <cell r="A303" t="str">
            <v>Вкупен промет на сите пазарни сегменти: 39.885.222,00</v>
          </cell>
        </row>
        <row r="304">
          <cell r="A304" t="str">
            <v>МБИ10</v>
          </cell>
        </row>
        <row r="305">
          <cell r="A305" t="str">
            <v>ОМБ</v>
          </cell>
        </row>
        <row r="306">
          <cell r="A306" t="str">
            <v>1 EUR = 61,5840 МКД</v>
          </cell>
        </row>
      </sheetData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  <cell r="B17">
            <v>76196.92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  <cell r="B22">
            <v>20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Тетекс Тетово</v>
          </cell>
        </row>
        <row r="28">
          <cell r="A28" t="str">
            <v>Тутунски комбинат Прилеп</v>
          </cell>
        </row>
        <row r="29">
          <cell r="A29" t="str">
            <v>ВВ Тиквеш АД Кавадарци</v>
          </cell>
        </row>
        <row r="30">
          <cell r="A30" t="str">
            <v>ТТК Банка АД Скопје</v>
          </cell>
        </row>
        <row r="31">
          <cell r="A31" t="str">
            <v>Витаминка Прилеп</v>
          </cell>
        </row>
        <row r="32">
          <cell r="A32" t="str">
            <v>Жито Лукс Скопје</v>
          </cell>
        </row>
        <row r="33">
          <cell r="A33" t="str">
            <v>ЗК Пелагонија Битола</v>
          </cell>
        </row>
        <row r="34">
          <cell r="A34" t="str">
            <v>Берзанска котација - приоритетни акции</v>
          </cell>
        </row>
        <row r="35">
          <cell r="A35" t="str">
            <v>Скопски пазар Скопје</v>
          </cell>
        </row>
        <row r="36">
          <cell r="A36" t="str">
            <v>Жито лукс Скопје</v>
          </cell>
        </row>
        <row r="37">
          <cell r="A37" t="str">
            <v>Берзанска котација - обврзници</v>
          </cell>
        </row>
        <row r="38">
          <cell r="A38" t="str">
            <v>Централна кооперативна банка АД Скопје - конвертибилни обврзници</v>
          </cell>
        </row>
        <row r="39">
          <cell r="A39" t="str">
            <v>Р. Македонија - државна обврзница DO2021/05-0428</v>
          </cell>
        </row>
        <row r="40">
          <cell r="A40" t="str">
            <v>Р. Македонија - државна обврзница DO2021/06-0428dk</v>
          </cell>
        </row>
        <row r="41">
          <cell r="A41" t="str">
            <v>Р. Македонија - државна обврзница DO2016/20-0931dk</v>
          </cell>
        </row>
        <row r="42">
          <cell r="A42" t="str">
            <v>Р. Македонија - државна обврзница DO2018/25-1133dk</v>
          </cell>
        </row>
        <row r="43">
          <cell r="A43" t="str">
            <v>Р. Македонија - државна обврзница DO2016/28-1231dk</v>
          </cell>
        </row>
        <row r="44">
          <cell r="A44" t="str">
            <v>Р. Македонија - државна обврзница DO2014/10-0524dk</v>
          </cell>
        </row>
        <row r="45">
          <cell r="A45" t="str">
            <v>Р. Македонија - државна обврзница DO2014/23-1024</v>
          </cell>
        </row>
        <row r="46">
          <cell r="A46" t="str">
            <v>Р. Македонија - државна обврзница DO2017/35-1132dk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DO2020/14-1223</v>
          </cell>
        </row>
        <row r="50">
          <cell r="A50" t="str">
            <v>Р. Македонија - државна обврзница DO2015/44-1230dk</v>
          </cell>
        </row>
        <row r="51">
          <cell r="A51" t="str">
            <v>Р. Македонија - државна обврзница DO2020/15-1235dk</v>
          </cell>
        </row>
        <row r="52">
          <cell r="A52" t="str">
            <v>Р. Македонија - државна обврзница DO2021/04-0336</v>
          </cell>
        </row>
        <row r="53">
          <cell r="A53" t="str">
            <v>Р. Македонија - државна обврзница DO2017/14-0532dk</v>
          </cell>
        </row>
        <row r="54">
          <cell r="A54" t="str">
            <v>Р. Македонија - државна обврзница DO2015/19-0630dk</v>
          </cell>
        </row>
        <row r="55">
          <cell r="A55" t="str">
            <v>Р. Македонија - државна обврзница DO2014/19-0924dk</v>
          </cell>
        </row>
        <row r="56">
          <cell r="A56" t="str">
            <v>Р. Македонија - државна обврзница DO2018/21-1021dk</v>
          </cell>
        </row>
        <row r="57">
          <cell r="A57" t="str">
            <v>Р. Македонија - државна обврзница DO2014/38-1224</v>
          </cell>
        </row>
        <row r="58">
          <cell r="A58" t="str">
            <v>Р. Македонија - државна обврзница DO2020/03-0325</v>
          </cell>
        </row>
        <row r="59">
          <cell r="A59" t="str">
            <v>Р. Македонија - државна обврзница DO2014/13-0624dk</v>
          </cell>
        </row>
        <row r="60">
          <cell r="A60" t="str">
            <v>Р. Македонија - државна обврзница DO2017/30-1032dk</v>
          </cell>
        </row>
        <row r="61">
          <cell r="A61" t="str">
            <v>Р. Македонија - државна обврзница DO2020/11-1122</v>
          </cell>
        </row>
        <row r="62">
          <cell r="A62" t="str">
            <v>Р. Македонија - државна обврзница DO2020/12-1125</v>
          </cell>
        </row>
        <row r="63">
          <cell r="A63" t="str">
            <v>Р. Македонија - државна обврзница DO2019/16-1234dk</v>
          </cell>
        </row>
        <row r="64">
          <cell r="A64" t="str">
            <v>Р. Македонија - државна обврзница DO2017/12-0432dk</v>
          </cell>
        </row>
        <row r="65">
          <cell r="A65" t="str">
            <v>Р. Македонија - државна обврзница DO2017/19-0732dk</v>
          </cell>
        </row>
        <row r="66">
          <cell r="A66" t="str">
            <v>Р. Македонија - државна обврзница DO2015/30-0825dk</v>
          </cell>
        </row>
        <row r="67">
          <cell r="A67" t="str">
            <v>Р. Македонија - државна обврзница DO2015/31-0830dk</v>
          </cell>
        </row>
        <row r="68">
          <cell r="A68" t="str">
            <v>Р. Македонија - државна обврзница DO2020/07-0850dk</v>
          </cell>
        </row>
        <row r="69">
          <cell r="A69" t="str">
            <v>Р. Македонија - државна обврзница DO2019/05-0324</v>
          </cell>
        </row>
        <row r="70">
          <cell r="A70" t="str">
            <v>Р. Македонија - државна обврзница DO2016/11-0426dk</v>
          </cell>
        </row>
        <row r="71">
          <cell r="A71" t="str">
            <v>Р. Македонија - државна обврзница DO2015/17-0530dk</v>
          </cell>
        </row>
        <row r="72">
          <cell r="A72" t="str">
            <v>Р. Македонија - државна обврзница DO2018/12-0633</v>
          </cell>
        </row>
        <row r="73">
          <cell r="A73" t="str">
            <v>Р. Македонија - државна обврзница DO2017/26-0932dk</v>
          </cell>
        </row>
        <row r="74">
          <cell r="A74" t="str">
            <v>Р. Македонија - државна обврзница DO2019/15-1134</v>
          </cell>
        </row>
        <row r="75">
          <cell r="A75" t="str">
            <v>Р. Македонија - државна обврзница DO2017/38-1232dk</v>
          </cell>
        </row>
        <row r="76">
          <cell r="A76" t="str">
            <v>Р. Македонија - државна обврзница DO2018/10-0333dk</v>
          </cell>
        </row>
        <row r="77">
          <cell r="A77" t="str">
            <v>Р. Македонија - државна обврзница DO2017/16-0632dk</v>
          </cell>
        </row>
        <row r="78">
          <cell r="A78" t="str">
            <v>Р. Македонија - државна обврзница DO2016/15-0731dk</v>
          </cell>
        </row>
        <row r="79">
          <cell r="A79" t="str">
            <v>Р. Македонија - државна обврзница DO2019/11-0834dk</v>
          </cell>
        </row>
        <row r="80">
          <cell r="A80" t="str">
            <v>Р. Македонија - државна обврзница DO2015/40-1030dk</v>
          </cell>
        </row>
        <row r="81">
          <cell r="A81" t="str">
            <v>Р. Македонија - државна обврзница DO2017/08-0332dk</v>
          </cell>
        </row>
        <row r="82">
          <cell r="A82" t="str">
            <v>Р. Македонија - државна обврзница DO2016/13-0631dk</v>
          </cell>
        </row>
        <row r="83">
          <cell r="A83" t="str">
            <v>Р. Македонија - државна обврзница DO2015/23-0725</v>
          </cell>
        </row>
        <row r="84">
          <cell r="A84" t="str">
            <v>Р. Македонија - државна обврзница DO2015/24-0725dk</v>
          </cell>
        </row>
        <row r="85">
          <cell r="A85" t="str">
            <v>Р. Македонија - државна обврзница DO2015/25-0730dk</v>
          </cell>
        </row>
        <row r="86">
          <cell r="A86" t="str">
            <v>Р. Македонија - државна обврзница DO2018/16-0821</v>
          </cell>
        </row>
        <row r="87">
          <cell r="A87" t="str">
            <v>Р. Македонија - државна обврзница DO2018/17-0833dk</v>
          </cell>
        </row>
        <row r="88">
          <cell r="A88" t="str">
            <v>Р. Македонија - државна обврзница DO2017/21-0822dk</v>
          </cell>
        </row>
        <row r="89">
          <cell r="A89" t="str">
            <v>Р. Македонија - државна обврзница DO2017/22-0832dk</v>
          </cell>
        </row>
        <row r="90">
          <cell r="A90" t="str">
            <v>Р. Македонија - државна обврзница DO2018/02-0128</v>
          </cell>
        </row>
        <row r="91">
          <cell r="A91" t="str">
            <v>Р. Македонија - државна обврзница DO2018/03-0133dk</v>
          </cell>
        </row>
        <row r="92">
          <cell r="A92" t="str">
            <v>Р. Македонија - државна обврзница DO2016/05-0226</v>
          </cell>
        </row>
        <row r="93">
          <cell r="A93" t="str">
            <v>Р. Македонија - државна обврзница DO2016/06-0226dk</v>
          </cell>
        </row>
        <row r="94">
          <cell r="A94" t="str">
            <v>Р. Македонија - државна обврзница DO2016/07-0231dk</v>
          </cell>
        </row>
        <row r="95">
          <cell r="A95" t="str">
            <v>Р. Македонија - државна обврзница DO2017/02-0132dk</v>
          </cell>
        </row>
        <row r="96">
          <cell r="A96" t="str">
            <v>Р. Македонија - државна обврзница DO2015/05-0230dk</v>
          </cell>
        </row>
        <row r="97">
          <cell r="A97" t="str">
            <v>Р. Македонија - државна обврзница DO2015/09-0325</v>
          </cell>
        </row>
        <row r="98">
          <cell r="A98" t="str">
            <v>Р. Македонија - државна обврзница DO2015/10-0330dk</v>
          </cell>
        </row>
        <row r="99">
          <cell r="A99" t="str">
            <v>Р. Македонија - државна обврзница DO2020/02-0235</v>
          </cell>
        </row>
        <row r="100">
          <cell r="A100" t="str">
            <v>Р. Македонија - државна обврзница DO2016/01-0126dk</v>
          </cell>
        </row>
        <row r="101">
          <cell r="A101" t="str">
            <v>Р. Македонија - државна обврзница DO2016/02-0131dk</v>
          </cell>
        </row>
        <row r="102">
          <cell r="A102" t="str">
            <v>Р. Македонија - државна обврзница DO2021/01-0136</v>
          </cell>
        </row>
        <row r="103">
          <cell r="A103" t="str">
            <v>Р. Македонија - државна обврзница DO2019/03-0224dk</v>
          </cell>
        </row>
        <row r="104">
          <cell r="A104" t="str">
            <v>Р. Македонија - државна обврзница DO2016/12-0431dk</v>
          </cell>
        </row>
        <row r="105">
          <cell r="A105" t="str">
            <v>Р. Македонија - државна обврзница DO2020/05-0522</v>
          </cell>
        </row>
        <row r="106">
          <cell r="A106" t="str">
            <v>Р. Македонија - државна обврзница DO2021/09-0526</v>
          </cell>
        </row>
        <row r="107">
          <cell r="A107" t="str">
            <v>Р. Македонија - државна обврзница DO2016/23-1031dk</v>
          </cell>
        </row>
        <row r="108">
          <cell r="A108" t="str">
            <v>Р. Македонија - државна обврзница DO2018/07-0223</v>
          </cell>
        </row>
        <row r="109">
          <cell r="A109" t="str">
            <v>Р. Македонија - државна обврзница DO2018/08-0233dk</v>
          </cell>
        </row>
        <row r="110">
          <cell r="A110" t="str">
            <v>Р. Македонија - државна обврзница DO2021/07-0436</v>
          </cell>
        </row>
        <row r="111">
          <cell r="A111" t="str">
            <v>Р. Македонија - државна обврзница DO2021/08-0436dk</v>
          </cell>
        </row>
        <row r="112">
          <cell r="A112" t="str">
            <v>Р. Македонија - државна обврзница DO2020/08-1030</v>
          </cell>
        </row>
        <row r="113">
          <cell r="A113" t="str">
            <v>Р. Македонија - државна обврзница DO2020/09-1030dk</v>
          </cell>
        </row>
        <row r="114">
          <cell r="A114" t="str">
            <v>Р. Македонија - државна обврзница DO2017/06-0232dk</v>
          </cell>
        </row>
        <row r="115">
          <cell r="A115" t="str">
            <v>Р. Македонија - државна обврзница DO2015/15-0430dk</v>
          </cell>
        </row>
        <row r="116">
          <cell r="A116" t="str">
            <v>Р. Македонија - државна обврзница DO2019/08-0524</v>
          </cell>
        </row>
        <row r="117">
          <cell r="A117" t="str">
            <v>Р. Македонија - државна обврзница DO2019/09-0534</v>
          </cell>
        </row>
        <row r="118">
          <cell r="A118" t="str">
            <v>Р. Македонија - државна обврзница DO2014/27-1024</v>
          </cell>
        </row>
        <row r="119">
          <cell r="A119" t="str">
            <v>Р. Македонија - државна обврзница DO2014/28-1024dk</v>
          </cell>
        </row>
        <row r="120">
          <cell r="A120" t="str">
            <v>Р. Македонија - државна обврзница DO2016/08-0331dk</v>
          </cell>
        </row>
        <row r="121">
          <cell r="A121" t="str">
            <v>Р. Македонија - државна обврзница DO2017/23-0822dk</v>
          </cell>
        </row>
        <row r="122">
          <cell r="A122" t="str">
            <v>Р. Македонија - државна обврзница DO2017/24-0832dk</v>
          </cell>
        </row>
        <row r="123">
          <cell r="A123" t="str">
            <v>Р. Македонија - државна обврзница DO2015/37-0930dk</v>
          </cell>
        </row>
        <row r="124">
          <cell r="A124" t="str">
            <v>Р. Македонија - државна обврзница DO2019/13-1024</v>
          </cell>
        </row>
        <row r="125">
          <cell r="A125" t="str">
            <v>Р. Македонија - државна обврзница DO2020/16-1222dk</v>
          </cell>
        </row>
        <row r="126">
          <cell r="A126" t="str">
            <v>Р. Македонија - државна обврзница DO2015/45-1225dk</v>
          </cell>
        </row>
        <row r="127">
          <cell r="A127" t="str">
            <v>Р. Македонија - државна обврзница DO2021/03-0224</v>
          </cell>
        </row>
        <row r="128">
          <cell r="A128" t="str">
            <v>Р. Македонија - државна обврзница DO2019/06-0449dk</v>
          </cell>
        </row>
        <row r="129">
          <cell r="A129" t="str">
            <v>Р. Македонија - државна обврзница DO2020/06-0635</v>
          </cell>
        </row>
        <row r="130">
          <cell r="A130" t="str">
            <v>Р. Македонија - државна обврзница DO2019/10-0749dk</v>
          </cell>
        </row>
        <row r="131">
          <cell r="A131" t="str">
            <v>Р. Македонија - државна обврзница DO2016/17-0826</v>
          </cell>
        </row>
        <row r="132">
          <cell r="A132" t="str">
            <v>Р. Македонија - државна обврзница DO2016/18-0826dk</v>
          </cell>
        </row>
        <row r="133">
          <cell r="A133" t="str">
            <v>Р. Македонија - државна обврзница DO2016/19-0831dk</v>
          </cell>
        </row>
        <row r="134">
          <cell r="A134" t="str">
            <v>Р. Македонија - државна обврзница DO2018/23-1048dk</v>
          </cell>
        </row>
        <row r="135">
          <cell r="A135" t="str">
            <v>Р. Македонија - државна обврзница DO2018/14-0723</v>
          </cell>
        </row>
        <row r="136">
          <cell r="A136" t="str">
            <v>Р. Македонија - државна обврзница DO2018/15-0748dk</v>
          </cell>
        </row>
        <row r="137">
          <cell r="A137" t="str">
            <v>Р. Македонија - државна обврзница DO2019/12-0934</v>
          </cell>
        </row>
        <row r="138">
          <cell r="A138" t="str">
            <v>Р. Македонија - државна обврзница DO2017/32-1032dk</v>
          </cell>
        </row>
        <row r="139">
          <cell r="A139" t="str">
            <v>Р. Македонија - државна обврзница DO2020/13-1123dk</v>
          </cell>
        </row>
        <row r="140">
          <cell r="A140" t="str">
            <v>Р. Македонија - државна обврзница DO2015/42-1125dk</v>
          </cell>
        </row>
        <row r="141">
          <cell r="A141" t="str">
            <v>Р. Македонија - државна обврзница DO2015/43-1130dk</v>
          </cell>
        </row>
        <row r="142">
          <cell r="A142" t="str">
            <v>Р. Македонија - државна обврзница DO2017/20-0732dk</v>
          </cell>
        </row>
        <row r="143">
          <cell r="A143" t="str">
            <v>Р. Македонија - државна обврзница DO2015/32-0825</v>
          </cell>
        </row>
        <row r="144">
          <cell r="A144" t="str">
            <v>Р. Македонија - државна обврзница DO2015/33-0830dk</v>
          </cell>
        </row>
        <row r="145">
          <cell r="A145" t="str">
            <v>Р. Македонија - државна обврзница DO2018/18-0921</v>
          </cell>
        </row>
        <row r="146">
          <cell r="A146" t="str">
            <v>Р. Македонија - државна обврзница DO2018/19-0933</v>
          </cell>
        </row>
        <row r="147">
          <cell r="A147" t="str">
            <v>Р. Македонија - државна обврзница DO2018/20-0933dk</v>
          </cell>
        </row>
        <row r="148">
          <cell r="A148" t="str">
            <v>Р. Македонија - државна обврзница DO2015/18-0525dk</v>
          </cell>
        </row>
        <row r="149">
          <cell r="A149" t="str">
            <v>Р. Македонија - државна обврзница DO2018/13-0633dk</v>
          </cell>
        </row>
        <row r="150">
          <cell r="A150" t="str">
            <v>Р. Македонија - државна обврзница DO2014/18-0824dk</v>
          </cell>
        </row>
        <row r="151">
          <cell r="A151" t="str">
            <v>Р. Македонија - државна обврзница DO2017/27-0932dk</v>
          </cell>
        </row>
        <row r="152">
          <cell r="A152" t="str">
            <v>Р. Македонија - државна обврзница DO2016/03-0131dk</v>
          </cell>
        </row>
        <row r="153">
          <cell r="A153" t="str">
            <v>Р. Македонија - државна обврзница DO2017/17-0632dk</v>
          </cell>
        </row>
        <row r="154">
          <cell r="A154" t="str">
            <v>Р. Македонија - државна обврзница DO2016/21-0931dk</v>
          </cell>
        </row>
        <row r="155">
          <cell r="A155" t="str">
            <v>Р. Македонија - државна обврзница DO2018/27-1133dk</v>
          </cell>
          <cell r="B155">
            <v>106.8</v>
          </cell>
        </row>
        <row r="156">
          <cell r="A156" t="str">
            <v>Р. Македонија - државна обврзница DO2016/29-1231dk</v>
          </cell>
        </row>
        <row r="157">
          <cell r="A157" t="str">
            <v>Р. Македонија - државна обврзница DO2014/02-0124</v>
          </cell>
        </row>
        <row r="158">
          <cell r="A158" t="str">
            <v>Р. Македонија - државна обврзница DO2014/03-0124dk</v>
          </cell>
        </row>
        <row r="159">
          <cell r="A159" t="str">
            <v>Р. Македонија - државна обврзница DO2017/10-0332dk</v>
          </cell>
        </row>
        <row r="160">
          <cell r="A160" t="str">
            <v>Р. Македонија - државна обврзница DO2016/14-0631dk</v>
          </cell>
        </row>
        <row r="161">
          <cell r="A161" t="str">
            <v>Р. Македонија - државна обврзница DO2015/27-0725dk</v>
          </cell>
        </row>
        <row r="162">
          <cell r="A162" t="str">
            <v>Р. Македонија - државна обврзница DO2015/28-0730dk</v>
          </cell>
        </row>
        <row r="163">
          <cell r="A163" t="str">
            <v>Р. Македонија - државна обврзница DO2017/36-1132dk</v>
          </cell>
        </row>
        <row r="164">
          <cell r="A164" t="str">
            <v>Р. Македонија - државна обврзница DO2016/09-0326</v>
          </cell>
        </row>
        <row r="165">
          <cell r="A165" t="str">
            <v>Р. Македонија - државна обврзница DO2014/17-0724dk</v>
          </cell>
        </row>
        <row r="166">
          <cell r="A166" t="str">
            <v>Р. Македонија - државна обврзница DO2015/38-0925dk</v>
          </cell>
        </row>
        <row r="167">
          <cell r="A167" t="str">
            <v>Р. Македонија - државна обврзница DO2015/39-0930dk</v>
          </cell>
        </row>
        <row r="168">
          <cell r="A168" t="str">
            <v>Р. Македонија - државна обврзница DO2015/46-1225dk</v>
          </cell>
        </row>
        <row r="169">
          <cell r="A169" t="str">
            <v>Р. Македонија - државна обврзница DO2018/04-0133</v>
          </cell>
        </row>
        <row r="170">
          <cell r="A170" t="str">
            <v>Р. Македонија - државна обврзница DO2018/05-0133dk</v>
          </cell>
        </row>
        <row r="171">
          <cell r="A171" t="str">
            <v>Р. Македонија - државна обврзница DO2015/20-0625</v>
          </cell>
        </row>
        <row r="172">
          <cell r="A172" t="str">
            <v>Р. Македонија - државна обврзница DO2015/21-0625dk</v>
          </cell>
        </row>
        <row r="173">
          <cell r="A173" t="str">
            <v>Р. Македонија - државна обврзница DO2015/22-0630dk</v>
          </cell>
        </row>
        <row r="174">
          <cell r="A174" t="str">
            <v>Р. Македонија - државна обврзница DO2017/05-0132dk</v>
          </cell>
        </row>
        <row r="175">
          <cell r="A175" t="str">
            <v>Р. Македонија - државна обврзница DO2015/08-0230dk</v>
          </cell>
        </row>
        <row r="176">
          <cell r="A176" t="str">
            <v>Р. Македонија - државна обврзница DO2015/12-0325</v>
          </cell>
        </row>
        <row r="177">
          <cell r="A177" t="str">
            <v>Р. Македонија - државна обврзница DO2015/13-0330dk</v>
          </cell>
        </row>
        <row r="178">
          <cell r="A178" t="str">
            <v>Р. Македонија - државна обврзница DO2018/11-0448dk</v>
          </cell>
        </row>
        <row r="179">
          <cell r="A179" t="str">
            <v>Р. Македонија - државна обврзница DO2015/34-0825</v>
          </cell>
        </row>
        <row r="180">
          <cell r="A180" t="str">
            <v>Р. Македонија - државна обврзница DO2015/35-0825dk</v>
          </cell>
        </row>
        <row r="181">
          <cell r="A181" t="str">
            <v>Р. Македонија - државна обврзница DO2015/36-0830dk</v>
          </cell>
        </row>
        <row r="182">
          <cell r="A182" t="str">
            <v>Р. Македонија - државна обврзница DO2021/02-0123</v>
          </cell>
        </row>
        <row r="183">
          <cell r="A183" t="str">
            <v>Р. Македонија - државна обврзница DO2016/04-0131dk</v>
          </cell>
        </row>
        <row r="184">
          <cell r="A184" t="str">
            <v>Р. Македонија - државна обврзница DO2019/04-0234</v>
          </cell>
          <cell r="B184">
            <v>101</v>
          </cell>
        </row>
        <row r="185">
          <cell r="A185" t="str">
            <v>Р. Македонија - државна обврзница DO2016/16-0731dk</v>
          </cell>
        </row>
        <row r="186">
          <cell r="A186" t="str">
            <v>Р. Македонија - државна обврзница DO2015/03-0125</v>
          </cell>
        </row>
        <row r="187">
          <cell r="A187" t="str">
            <v>Р. Македонија - државна обврзница DO2015/04-0125dk</v>
          </cell>
        </row>
        <row r="188">
          <cell r="A188" t="str">
            <v>Р. Македонија - државна обврзница DO2017/18-0632dk</v>
          </cell>
        </row>
        <row r="189">
          <cell r="A189" t="str">
            <v>Р. Македонија - државна обврзница DO2016/22-0931dk</v>
          </cell>
        </row>
        <row r="190">
          <cell r="A190" t="str">
            <v>Р. Македонија - државна обврзница DO2015/41-1030dk</v>
          </cell>
        </row>
        <row r="191">
          <cell r="A191" t="str">
            <v>Р. Македонија - државна обврзница DO2020/10-1035</v>
          </cell>
        </row>
        <row r="192">
          <cell r="A192" t="str">
            <v>Р. Македонија - државна обврзница DO2020/01-0150dk</v>
          </cell>
        </row>
        <row r="193">
          <cell r="A193" t="str">
            <v>Р. Македонија - државна обврзница DO2017/11-0332dk</v>
          </cell>
        </row>
        <row r="194">
          <cell r="A194" t="str">
            <v>Р. Македонија - државна обврзница DO2020/04-0450dk</v>
          </cell>
        </row>
        <row r="195">
          <cell r="A195" t="str">
            <v>Р. Македонија - државна обврзница DO2015/29-0730dk</v>
          </cell>
        </row>
        <row r="196">
          <cell r="A196" t="str">
            <v>Р. Македонија - државна обврзница DO2014/30-1024dk</v>
          </cell>
        </row>
        <row r="197">
          <cell r="A197" t="str">
            <v>Р. Македонија - државна обврзница DO2017/37-1132dk</v>
          </cell>
        </row>
        <row r="198">
          <cell r="A198" t="str">
            <v>Р. Македонија - државна обврзница DO2019/02-0149dk</v>
          </cell>
        </row>
        <row r="199">
          <cell r="A199" t="str">
            <v>Р. Македонија - државна обврзница DO2016/10-0331dk</v>
          </cell>
        </row>
        <row r="200">
          <cell r="A200" t="str">
            <v>Р. Македонија - државна обврзница DO2019/14-1049dk</v>
          </cell>
          <cell r="B200">
            <v>103.5</v>
          </cell>
        </row>
        <row r="201">
          <cell r="A201" t="str">
            <v>Р. Македонија - државна обврзница DO2020/17-1222</v>
          </cell>
        </row>
        <row r="202">
          <cell r="A202" t="str">
            <v>Р. Македонија - државна обврзница DO2020/18-1222dk</v>
          </cell>
        </row>
        <row r="203">
          <cell r="A203" t="str">
            <v>Р. Македонија - државна обврзница DO2020/19-1223</v>
          </cell>
        </row>
        <row r="204">
          <cell r="A204" t="str">
            <v>Р. Македонија - државна обврзница DO2020/20-1223dk</v>
          </cell>
        </row>
        <row r="205">
          <cell r="A205" t="str">
            <v>Р. Македонија - денационализација 11</v>
          </cell>
          <cell r="B205">
            <v>99.5</v>
          </cell>
        </row>
        <row r="206">
          <cell r="A206" t="str">
            <v>Р. Македонија - денационализација 12</v>
          </cell>
          <cell r="B206">
            <v>99.5</v>
          </cell>
        </row>
        <row r="207">
          <cell r="A207" t="str">
            <v>Р. Македонија - денационализација 13</v>
          </cell>
          <cell r="B207">
            <v>99.7</v>
          </cell>
        </row>
        <row r="208">
          <cell r="A208" t="str">
            <v>Р. Македонија - денационализација 14</v>
          </cell>
          <cell r="B208">
            <v>100</v>
          </cell>
        </row>
        <row r="209">
          <cell r="A209" t="str">
            <v>Р. Македонија - денационализација 15</v>
          </cell>
          <cell r="B209">
            <v>99</v>
          </cell>
        </row>
        <row r="210">
          <cell r="A210" t="str">
            <v>Р. Македонија - денационализација 16</v>
          </cell>
        </row>
        <row r="211">
          <cell r="A211" t="str">
            <v>Р. Македонија - денационализација 17</v>
          </cell>
          <cell r="B211">
            <v>99.6</v>
          </cell>
        </row>
        <row r="212">
          <cell r="A212" t="str">
            <v>Р. Македонија - денационализација 18</v>
          </cell>
          <cell r="B212">
            <v>99</v>
          </cell>
        </row>
        <row r="213">
          <cell r="A213" t="str">
            <v>Р. Македонија - денационализација 19</v>
          </cell>
          <cell r="B213">
            <v>99.8</v>
          </cell>
        </row>
        <row r="214">
          <cell r="A214" t="str">
            <v>ТТК банка АД Скопје - корпоративна обврзница I емисија</v>
          </cell>
          <cell r="B214">
            <v>100</v>
          </cell>
        </row>
        <row r="215">
          <cell r="A215" t="str">
            <v>ТТК банка АД Скопје - корпоративна обврзница II емисија</v>
          </cell>
        </row>
        <row r="216">
          <cell r="A216" t="str">
            <v>Берзанска котација - други хартии од вредност</v>
          </cell>
        </row>
        <row r="217">
          <cell r="A217" t="str">
            <v>Универзална Инвестициона Банка Скопје - перпетуални обврзници</v>
          </cell>
          <cell r="B217">
            <v>101.5</v>
          </cell>
        </row>
        <row r="218">
          <cell r="A218" t="str">
            <v>Задолжителна котација - обични акции</v>
          </cell>
        </row>
        <row r="219">
          <cell r="A219" t="str">
            <v>Адинг Скопје</v>
          </cell>
          <cell r="B219">
            <v>661</v>
          </cell>
        </row>
        <row r="220">
          <cell r="A220" t="str">
            <v>Агромеханика Скопје</v>
          </cell>
          <cell r="B220">
            <v>300</v>
          </cell>
        </row>
        <row r="221">
          <cell r="A221" t="str">
            <v>Ангропромет-Тиквешанка Кавадарци</v>
          </cell>
          <cell r="B221">
            <v>750</v>
          </cell>
        </row>
        <row r="222">
          <cell r="A222" t="str">
            <v>Аутомакедонија Скопје</v>
          </cell>
          <cell r="B222">
            <v>2500</v>
          </cell>
        </row>
        <row r="223">
          <cell r="A223" t="str">
            <v>Рудници Бањани Скопје</v>
          </cell>
          <cell r="B223">
            <v>603</v>
          </cell>
        </row>
        <row r="224">
          <cell r="A224" t="str">
            <v>Кристал 1923 АД Велес</v>
          </cell>
          <cell r="B224">
            <v>146</v>
          </cell>
        </row>
        <row r="225">
          <cell r="A225" t="str">
            <v>БИМ Свети Николе</v>
          </cell>
          <cell r="B225">
            <v>12300</v>
          </cell>
        </row>
        <row r="226">
          <cell r="A226" t="str">
            <v>ФЗЦ 11 Октомври Куманово</v>
          </cell>
          <cell r="B226">
            <v>400</v>
          </cell>
        </row>
        <row r="227">
          <cell r="A227" t="str">
            <v>Централна кооперативна банка Скопје</v>
          </cell>
          <cell r="B227">
            <v>700</v>
          </cell>
        </row>
        <row r="228">
          <cell r="A228" t="str">
            <v>Дебарски бањи Дебар</v>
          </cell>
          <cell r="B228">
            <v>1550</v>
          </cell>
        </row>
        <row r="229">
          <cell r="A229" t="str">
            <v>Димко Митрев Велес</v>
          </cell>
        </row>
        <row r="230">
          <cell r="A230" t="str">
            <v>Единство Струмица</v>
          </cell>
          <cell r="B230">
            <v>303</v>
          </cell>
        </row>
        <row r="231">
          <cell r="A231" t="str">
            <v>Европа Скопје</v>
          </cell>
        </row>
        <row r="232">
          <cell r="A232" t="str">
            <v>Факом Скопје</v>
          </cell>
        </row>
        <row r="233">
          <cell r="A233" t="str">
            <v>Фустеларко Борец Битола</v>
          </cell>
          <cell r="B233">
            <v>1568</v>
          </cell>
        </row>
        <row r="234">
          <cell r="A234" t="str">
            <v>Герас Цунев конфекција Струмица</v>
          </cell>
          <cell r="B234">
            <v>500</v>
          </cell>
        </row>
        <row r="235">
          <cell r="A235" t="str">
            <v>Герас Цунев трговија Струмица</v>
          </cell>
        </row>
        <row r="236">
          <cell r="A236" t="str">
            <v>Грозд Струмица</v>
          </cell>
          <cell r="B236">
            <v>2250</v>
          </cell>
        </row>
        <row r="237">
          <cell r="A237" t="str">
            <v>Градски Трговски Центар Скопје</v>
          </cell>
        </row>
        <row r="238">
          <cell r="A238" t="str">
            <v>Интерпромет Тетово</v>
          </cell>
          <cell r="B238">
            <v>4500</v>
          </cell>
        </row>
        <row r="239">
          <cell r="A239" t="str">
            <v>Осигурување Македонија АД Скопје - Виена Иншуренс Груп</v>
          </cell>
          <cell r="B239">
            <v>1261</v>
          </cell>
        </row>
        <row r="240">
          <cell r="A240" t="str">
            <v>Кланица со ладилник Струмица</v>
          </cell>
          <cell r="B240">
            <v>120</v>
          </cell>
        </row>
        <row r="241">
          <cell r="A241" t="str">
            <v>Фруктал МАК Скопје</v>
          </cell>
          <cell r="B241">
            <v>119</v>
          </cell>
        </row>
        <row r="242">
          <cell r="A242" t="str">
            <v>Карпош Скопје</v>
          </cell>
          <cell r="B242">
            <v>342</v>
          </cell>
        </row>
        <row r="243">
          <cell r="A243" t="str">
            <v>Лотарија на Македонија Скопје</v>
          </cell>
        </row>
        <row r="244">
          <cell r="A244" t="str">
            <v>Пелистерка АД Скопје</v>
          </cell>
          <cell r="B244">
            <v>2400</v>
          </cell>
        </row>
        <row r="245">
          <cell r="A245" t="str">
            <v>Макпромет Штип</v>
          </cell>
          <cell r="B245">
            <v>570</v>
          </cell>
        </row>
        <row r="246">
          <cell r="A246" t="str">
            <v>Мермерен комбинат Прилеп</v>
          </cell>
        </row>
        <row r="247">
          <cell r="A247" t="str">
            <v>Мода Свети Николе</v>
          </cell>
        </row>
        <row r="248">
          <cell r="A248" t="str">
            <v>Вабтек МЗТ Скопје</v>
          </cell>
        </row>
        <row r="249">
          <cell r="A249" t="str">
            <v>МЗТ Пумпи Скопје</v>
          </cell>
        </row>
        <row r="250">
          <cell r="A250" t="str">
            <v>Огражден Струмица</v>
          </cell>
        </row>
        <row r="251">
          <cell r="A251" t="str">
            <v>Нова стоковна куќа Струмица</v>
          </cell>
        </row>
        <row r="252">
          <cell r="A252" t="str">
            <v>Оилко КДА Скопје</v>
          </cell>
        </row>
        <row r="253">
          <cell r="A253" t="str">
            <v>ОКТА Скопје</v>
          </cell>
        </row>
        <row r="254">
          <cell r="A254" t="str">
            <v>Оранжерии Хамзали Струмица</v>
          </cell>
        </row>
        <row r="255">
          <cell r="A255" t="str">
            <v>Пекабеско Скопје</v>
          </cell>
        </row>
        <row r="256">
          <cell r="A256" t="str">
            <v>Попова Кула Демир Капија</v>
          </cell>
        </row>
        <row r="257">
          <cell r="A257" t="str">
            <v>Прилепска Пиварница Прилеп</v>
          </cell>
        </row>
        <row r="258">
          <cell r="A258" t="str">
            <v>Раде Кончар Скопје</v>
          </cell>
        </row>
        <row r="259">
          <cell r="A259" t="str">
            <v>РЖ Економика Скопје</v>
          </cell>
        </row>
        <row r="260">
          <cell r="A260" t="str">
            <v>Либерти АД Скопје</v>
          </cell>
        </row>
        <row r="261">
          <cell r="A261" t="str">
            <v>РЖ Техничка контрола Скопје</v>
          </cell>
        </row>
        <row r="262">
          <cell r="A262" t="str">
            <v>РЖ Уготур Скопје</v>
          </cell>
        </row>
        <row r="263">
          <cell r="A263" t="str">
            <v>Современ дом Прилеп</v>
          </cell>
        </row>
        <row r="264">
          <cell r="A264" t="str">
            <v>Силекс Кратово</v>
          </cell>
        </row>
        <row r="265">
          <cell r="A265" t="str">
            <v>Сковин Скопје</v>
          </cell>
        </row>
        <row r="266">
          <cell r="A266" t="str">
            <v>Славеј Скопје</v>
          </cell>
        </row>
        <row r="267">
          <cell r="A267" t="str">
            <v>Струмичко поле с.Василево</v>
          </cell>
        </row>
        <row r="268">
          <cell r="A268" t="str">
            <v>Сигурносно стакло Прилеп</v>
          </cell>
        </row>
        <row r="269">
          <cell r="A269" t="str">
            <v>Стопанска банка Скопје</v>
          </cell>
        </row>
        <row r="270">
          <cell r="A270" t="str">
            <v>Стокопромет Скопје</v>
          </cell>
        </row>
        <row r="271">
          <cell r="A271" t="str">
            <v>Тајмиште Кичево</v>
          </cell>
        </row>
        <row r="272">
          <cell r="A272" t="str">
            <v>ТЕАЛ-Алумина Тетово</v>
          </cell>
        </row>
        <row r="273">
          <cell r="A273" t="str">
            <v>Технокомерц Скопје</v>
          </cell>
        </row>
        <row r="274">
          <cell r="A274" t="str">
            <v>Македонски Телеком Скопје</v>
          </cell>
        </row>
        <row r="275">
          <cell r="A275" t="str">
            <v>ГД-Тиквеш Кавадарци</v>
          </cell>
        </row>
        <row r="276">
          <cell r="A276" t="str">
            <v>НЛБ Банка АД Скопје</v>
          </cell>
        </row>
        <row r="277">
          <cell r="A277" t="str">
            <v>Транскоп-Патнички сооб. Битола</v>
          </cell>
        </row>
        <row r="278">
          <cell r="A278" t="str">
            <v>Трготекстил малопродажба Скопје</v>
          </cell>
        </row>
        <row r="279">
          <cell r="A279" t="str">
            <v>Универзална Инвестициона Банка Скопје</v>
          </cell>
        </row>
        <row r="280">
          <cell r="A280" t="str">
            <v>Цементарница УСЈЕ Скопје</v>
          </cell>
        </row>
        <row r="281">
          <cell r="A281" t="str">
            <v>Триглав осигурување Скопје</v>
          </cell>
        </row>
        <row r="282">
          <cell r="A282" t="str">
            <v>Ветекс Велес</v>
          </cell>
        </row>
        <row r="283">
          <cell r="A283" t="str">
            <v>ЖАС Скопје</v>
          </cell>
        </row>
        <row r="284">
          <cell r="A284" t="str">
            <v>Жито Караорман Кичево</v>
          </cell>
        </row>
        <row r="285">
          <cell r="A285" t="str">
            <v>Жито Полог Тетово</v>
          </cell>
        </row>
        <row r="286">
          <cell r="A286" t="str">
            <v>Задолжителна котација - приоритетни акции</v>
          </cell>
        </row>
        <row r="287">
          <cell r="A287" t="str">
            <v>Стопанска банка Скопје</v>
          </cell>
        </row>
        <row r="288">
          <cell r="A288" t="str">
            <v>Редовен пазар</v>
          </cell>
        </row>
        <row r="289">
          <cell r="A289" t="str">
            <v>Пазар на акционерски друштва со посебни обврски за известување - обични акции</v>
          </cell>
        </row>
        <row r="290">
          <cell r="A290" t="str">
            <v>Агросервис Скопје</v>
          </cell>
        </row>
        <row r="291">
          <cell r="A291" t="str">
            <v>ЗЕМ Промет Скопје</v>
          </cell>
        </row>
        <row r="292">
          <cell r="A292" t="str">
            <v>Пазар на акционерски друштва со посебни обврски за известување - обврзници</v>
          </cell>
        </row>
        <row r="293">
          <cell r="A293" t="str">
            <v>Капитал банка АД Скопје - корпоративна обврзница</v>
          </cell>
        </row>
        <row r="294">
          <cell r="A294" t="str">
            <v>Слободен пазар - обични акции</v>
          </cell>
        </row>
        <row r="295">
          <cell r="A295" t="str">
            <v>Град. институт Македонија Скопје</v>
          </cell>
        </row>
        <row r="296">
          <cell r="A296" t="str">
            <v>ИДЕВЕЛОП Скопје - долгорочно суспендирано од котација</v>
          </cell>
        </row>
        <row r="297">
          <cell r="A297" t="str">
            <v>Караорман Скопје</v>
          </cell>
        </row>
        <row r="298">
          <cell r="A298" t="str">
            <v>Македонска берза АД Скопје</v>
          </cell>
        </row>
        <row r="299">
          <cell r="A299" t="str">
            <v>АрцелорМиттал (ХРМ) АД Скопје - долгорочно суспендирано од котација</v>
          </cell>
        </row>
        <row r="300">
          <cell r="A300" t="str">
            <v>Вкупен промет на сите пазарни сегменти: 18.201.147,00</v>
          </cell>
        </row>
        <row r="301">
          <cell r="A301" t="str">
            <v>МБИ10</v>
          </cell>
        </row>
        <row r="302">
          <cell r="A302" t="str">
            <v>ОМБ</v>
          </cell>
        </row>
        <row r="303">
          <cell r="A303" t="str">
            <v>1 EUR = 61,6950 МКД</v>
          </cell>
        </row>
      </sheetData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  <cell r="B10">
            <v>68001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  <cell r="B15">
            <v>250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Тетекс Тетово</v>
          </cell>
        </row>
        <row r="28">
          <cell r="A28" t="str">
            <v>Тутунски комбинат Прилеп</v>
          </cell>
        </row>
        <row r="29">
          <cell r="A29" t="str">
            <v>ВВ Тиквеш АД Кавадарци</v>
          </cell>
        </row>
        <row r="30">
          <cell r="A30" t="str">
            <v>ТТК Банка АД Скопје</v>
          </cell>
        </row>
        <row r="31">
          <cell r="A31" t="str">
            <v>Витаминка Прилеп</v>
          </cell>
        </row>
        <row r="32">
          <cell r="A32" t="str">
            <v>Жито Лукс Скопје</v>
          </cell>
        </row>
        <row r="33">
          <cell r="A33" t="str">
            <v>ЗК Пелагонија Битола</v>
          </cell>
        </row>
        <row r="34">
          <cell r="A34" t="str">
            <v>Берзанска котација - приоритетни акции</v>
          </cell>
        </row>
        <row r="35">
          <cell r="A35" t="str">
            <v>Скопски пазар Скопје</v>
          </cell>
          <cell r="B35">
            <v>9476</v>
          </cell>
        </row>
        <row r="36">
          <cell r="A36" t="str">
            <v>Жито лукс Скопје</v>
          </cell>
        </row>
        <row r="37">
          <cell r="A37" t="str">
            <v>Берзанска котација - обврзници</v>
          </cell>
        </row>
        <row r="38">
          <cell r="A38" t="str">
            <v>Централна кооперативна банка АД Скопје - конвертибилни обврзници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DO2014/16-0724dk</v>
          </cell>
        </row>
        <row r="46">
          <cell r="A46" t="str">
            <v>Р. Македонија - државна обврзница DO2016/26-1131dk</v>
          </cell>
        </row>
        <row r="47">
          <cell r="A47" t="str">
            <v>Р. Македонија - државна обврзница DO2020/14-1223</v>
          </cell>
        </row>
        <row r="48">
          <cell r="A48" t="str">
            <v>Р. Македонија - државна обврзница DO2015/44-1230dk</v>
          </cell>
        </row>
        <row r="49">
          <cell r="A49" t="str">
            <v>Р. Македонија - државна обврзница DO2020/15-1235dk</v>
          </cell>
        </row>
        <row r="50">
          <cell r="A50" t="str">
            <v>Р. Македонија - државна обврзница DO2021/04-0336</v>
          </cell>
        </row>
        <row r="51">
          <cell r="A51" t="str">
            <v>Р. Македонија - државна обврзница DO2017/14-0532dk</v>
          </cell>
        </row>
        <row r="52">
          <cell r="A52" t="str">
            <v>Р. Македонија - државна обврзница DO2015/19-0630dk</v>
          </cell>
        </row>
        <row r="53">
          <cell r="A53" t="str">
            <v>Р. Македонија - државна обврзница DO2014/19-0924dk</v>
          </cell>
        </row>
        <row r="54">
          <cell r="A54" t="str">
            <v>Р. Македонија - државна обврзница DO2018/21-1021dk</v>
          </cell>
        </row>
        <row r="55">
          <cell r="A55" t="str">
            <v>Р. Македонија - државна обврзница DO2014/38-1224</v>
          </cell>
        </row>
        <row r="56">
          <cell r="A56" t="str">
            <v>Р. Македонија - државна обврзница DO2020/03-0325</v>
          </cell>
        </row>
        <row r="57">
          <cell r="A57" t="str">
            <v>Р. Македонија - државна обврзница DO2014/13-0624dk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DO2020/11-1122</v>
          </cell>
        </row>
        <row r="60">
          <cell r="A60" t="str">
            <v>Р. Македонија - државна обврзница DO2020/12-1125</v>
          </cell>
        </row>
        <row r="61">
          <cell r="A61" t="str">
            <v>Р. Македонија - државна обврзница DO2019/16-1234dk</v>
          </cell>
        </row>
        <row r="62">
          <cell r="A62" t="str">
            <v>Р. Македонија - државна обврзница DO2017/12-0432dk</v>
          </cell>
        </row>
        <row r="63">
          <cell r="A63" t="str">
            <v>Р. Македонија - државна обврзница DO2017/19-0732dk</v>
          </cell>
        </row>
        <row r="64">
          <cell r="A64" t="str">
            <v>Р. Македонија - државна обврзница DO2015/30-0825dk</v>
          </cell>
        </row>
        <row r="65">
          <cell r="A65" t="str">
            <v>Р. Македонија - државна обврзница DO2015/31-0830dk</v>
          </cell>
        </row>
        <row r="66">
          <cell r="A66" t="str">
            <v>Р. Македонија - државна обврзница DO2020/07-0850dk</v>
          </cell>
        </row>
        <row r="67">
          <cell r="A67" t="str">
            <v>Р. Македонија - државна обврзница DO2019/05-0324</v>
          </cell>
        </row>
        <row r="68">
          <cell r="A68" t="str">
            <v>Р. Македонија - државна обврзница DO2016/11-0426dk</v>
          </cell>
        </row>
        <row r="69">
          <cell r="A69" t="str">
            <v>Р. Македонија - државна обврзница DO2015/17-0530dk</v>
          </cell>
        </row>
        <row r="70">
          <cell r="A70" t="str">
            <v>Р. Македонија - државна обврзница DO2018/12-0633</v>
          </cell>
        </row>
        <row r="71">
          <cell r="A71" t="str">
            <v>Р. Македонија - државна обврзница DO2017/26-0932dk</v>
          </cell>
        </row>
        <row r="72">
          <cell r="A72" t="str">
            <v>Р. Македонија - државна обврзница DO2019/15-1134</v>
          </cell>
        </row>
        <row r="73">
          <cell r="A73" t="str">
            <v>Р. Македонија - државна обврзница DO2017/38-1232dk</v>
          </cell>
        </row>
        <row r="74">
          <cell r="A74" t="str">
            <v>Р. Македонија - државна обврзница DO2018/10-0333dk</v>
          </cell>
        </row>
        <row r="75">
          <cell r="A75" t="str">
            <v>Р. Македонија - државна обврзница DO2017/16-0632dk</v>
          </cell>
        </row>
        <row r="76">
          <cell r="A76" t="str">
            <v>Р. Македонија - државна обврзница DO2016/15-0731dk</v>
          </cell>
        </row>
        <row r="77">
          <cell r="A77" t="str">
            <v>Р. Македонија - државна обврзница DO2019/11-0834dk</v>
          </cell>
        </row>
        <row r="78">
          <cell r="A78" t="str">
            <v>Р. Македонија - државна обврзница DO2015/40-1030dk</v>
          </cell>
        </row>
        <row r="79">
          <cell r="A79" t="str">
            <v>Р. Македонија - државна обврзница DO2017/08-0332dk</v>
          </cell>
        </row>
        <row r="80">
          <cell r="A80" t="str">
            <v>Р. Македонија - државна обврзница DO2016/13-0631dk</v>
          </cell>
        </row>
        <row r="81">
          <cell r="A81" t="str">
            <v>Р. Македонија - државна обврзница DO2015/23-0725</v>
          </cell>
        </row>
        <row r="82">
          <cell r="A82" t="str">
            <v>Р. Македонија - државна обврзница DO2015/24-0725dk</v>
          </cell>
        </row>
        <row r="83">
          <cell r="A83" t="str">
            <v>Р. Македонија - државна обврзница DO2015/25-0730dk</v>
          </cell>
        </row>
        <row r="84">
          <cell r="A84" t="str">
            <v>Р. Македонија - државна обврзница DO2018/16-0821</v>
          </cell>
        </row>
        <row r="85">
          <cell r="A85" t="str">
            <v>Р. Македонија - државна обврзница DO2018/17-0833dk</v>
          </cell>
        </row>
        <row r="86">
          <cell r="A86" t="str">
            <v>Р. Македонија - државна обврзница DO2017/21-0822dk</v>
          </cell>
        </row>
        <row r="87">
          <cell r="A87" t="str">
            <v>Р. Македонија - државна обврзница DO2017/22-0832dk</v>
          </cell>
        </row>
        <row r="88">
          <cell r="A88" t="str">
            <v>Р. Македонија - државна обврзница DO2018/02-0128</v>
          </cell>
        </row>
        <row r="89">
          <cell r="A89" t="str">
            <v>Р. Македонија - државна обврзница DO2018/03-0133dk</v>
          </cell>
        </row>
        <row r="90">
          <cell r="A90" t="str">
            <v>Р. Македонија - државна обврзница DO2016/05-0226</v>
          </cell>
        </row>
        <row r="91">
          <cell r="A91" t="str">
            <v>Р. Македонија - државна обврзница DO2016/06-0226dk</v>
          </cell>
        </row>
        <row r="92">
          <cell r="A92" t="str">
            <v>Р. Македонија - државна обврзница DO2016/07-0231dk</v>
          </cell>
        </row>
        <row r="93">
          <cell r="A93" t="str">
            <v>Р. Македонија - државна обврзница DO2017/02-0132dk</v>
          </cell>
        </row>
        <row r="94">
          <cell r="A94" t="str">
            <v>Р. Македонија - државна обврзница DO2015/05-0230dk</v>
          </cell>
        </row>
        <row r="95">
          <cell r="A95" t="str">
            <v>Р. Македонија - државна обврзница DO2015/09-0325</v>
          </cell>
        </row>
        <row r="96">
          <cell r="A96" t="str">
            <v>Р. Македонија - државна обврзница DO2015/10-0330dk</v>
          </cell>
        </row>
        <row r="97">
          <cell r="A97" t="str">
            <v>Р. Македонија - државна обврзница DO2020/02-0235</v>
          </cell>
        </row>
        <row r="98">
          <cell r="A98" t="str">
            <v>Р. Македонија - државна обврзница DO2016/01-0126dk</v>
          </cell>
        </row>
        <row r="99">
          <cell r="A99" t="str">
            <v>Р. Македонија - државна обврзница DO2016/02-0131dk</v>
          </cell>
        </row>
        <row r="100">
          <cell r="A100" t="str">
            <v>Р. Македонија - државна обврзница DO2021/01-0136</v>
          </cell>
        </row>
        <row r="101">
          <cell r="A101" t="str">
            <v>Р. Македонија - државна обврзница DO2019/03-0224dk</v>
          </cell>
        </row>
        <row r="102">
          <cell r="A102" t="str">
            <v>Р. Македонија - државна обврзница DO2016/12-0431dk</v>
          </cell>
        </row>
        <row r="103">
          <cell r="A103" t="str">
            <v>Р. Македонија - државна обврзница DO2020/05-0522</v>
          </cell>
        </row>
        <row r="104">
          <cell r="A104" t="str">
            <v>Р. Македонија - државна обврзница DO2016/23-1031dk</v>
          </cell>
        </row>
        <row r="105">
          <cell r="A105" t="str">
            <v>Р. Македонија - државна обврзница DO2018/07-0223</v>
          </cell>
        </row>
        <row r="106">
          <cell r="A106" t="str">
            <v>Р. Македонија - државна обврзница DO2018/08-0233dk</v>
          </cell>
        </row>
        <row r="107">
          <cell r="A107" t="str">
            <v>Р. Македонија - државна обврзница DO2020/08-1030</v>
          </cell>
        </row>
        <row r="108">
          <cell r="A108" t="str">
            <v>Р. Македонија - државна обврзница DO2020/09-1030dk</v>
          </cell>
        </row>
        <row r="109">
          <cell r="A109" t="str">
            <v>Р. Македонија - државна обврзница DO2017/06-0232dk</v>
          </cell>
        </row>
        <row r="110">
          <cell r="A110" t="str">
            <v>Р. Македонија - државна обврзница DO2015/15-0430dk</v>
          </cell>
        </row>
        <row r="111">
          <cell r="A111" t="str">
            <v>Р. Македонија - државна обврзница DO2019/08-0524</v>
          </cell>
        </row>
        <row r="112">
          <cell r="A112" t="str">
            <v>Р. Македонија - државна обврзница DO2019/09-0534</v>
          </cell>
        </row>
        <row r="113">
          <cell r="A113" t="str">
            <v>Р. Македонија - државна обврзница DO2014/27-1024</v>
          </cell>
        </row>
        <row r="114">
          <cell r="A114" t="str">
            <v>Р. Македонија - државна обврзница DO2014/28-1024dk</v>
          </cell>
        </row>
        <row r="115">
          <cell r="A115" t="str">
            <v>Р. Македонија - државна обврзница DO2016/08-0331dk</v>
          </cell>
        </row>
        <row r="116">
          <cell r="A116" t="str">
            <v>Р. Македонија - државна обврзница DO2017/23-0822dk</v>
          </cell>
        </row>
        <row r="117">
          <cell r="A117" t="str">
            <v>Р. Македонија - државна обврзница DO2017/24-0832dk</v>
          </cell>
        </row>
        <row r="118">
          <cell r="A118" t="str">
            <v>Р. Македонија - државна обврзница DO2015/37-0930dk</v>
          </cell>
        </row>
        <row r="119">
          <cell r="A119" t="str">
            <v>Р. Македонија - државна обврзница DO2019/13-1024</v>
          </cell>
        </row>
        <row r="120">
          <cell r="A120" t="str">
            <v>Р. Македонија - државна обврзница DO2020/16-1222dk</v>
          </cell>
        </row>
        <row r="121">
          <cell r="A121" t="str">
            <v>Р. Македонија - државна обврзница DO2015/45-1225dk</v>
          </cell>
        </row>
        <row r="122">
          <cell r="A122" t="str">
            <v>Р. Македонија - државна обврзница DO2021/03-0224</v>
          </cell>
        </row>
        <row r="123">
          <cell r="A123" t="str">
            <v>Р. Македонија - државна обврзница DO2019/06-0449dk</v>
          </cell>
        </row>
        <row r="124">
          <cell r="A124" t="str">
            <v>Р. Македонија - државна обврзница DO2020/06-0635</v>
          </cell>
        </row>
        <row r="125">
          <cell r="A125" t="str">
            <v>Р. Македонија - државна обврзница DO2019/10-0749dk</v>
          </cell>
        </row>
        <row r="126">
          <cell r="A126" t="str">
            <v>Р. Македонија - државна обврзница DO2016/17-0826</v>
          </cell>
        </row>
        <row r="127">
          <cell r="A127" t="str">
            <v>Р. Македонија - државна обврзница DO2016/18-0826dk</v>
          </cell>
        </row>
        <row r="128">
          <cell r="A128" t="str">
            <v>Р. Македонија - државна обврзница DO2016/19-0831dk</v>
          </cell>
        </row>
        <row r="129">
          <cell r="A129" t="str">
            <v>Р. Македонија - државна обврзница DO2018/23-1048dk</v>
          </cell>
        </row>
        <row r="130">
          <cell r="A130" t="str">
            <v>Р. Македонија - државна обврзница DO2018/14-0723</v>
          </cell>
        </row>
        <row r="131">
          <cell r="A131" t="str">
            <v>Р. Македонија - државна обврзница DO2018/15-0748dk</v>
          </cell>
        </row>
        <row r="132">
          <cell r="A132" t="str">
            <v>Р. Македонија - државна обврзница DO2019/12-0934</v>
          </cell>
        </row>
        <row r="133">
          <cell r="A133" t="str">
            <v>Р. Македонија - државна обврзница DO2017/32-1032dk</v>
          </cell>
        </row>
        <row r="134">
          <cell r="A134" t="str">
            <v>Р. Македонија - државна обврзница DO2020/13-1123dk</v>
          </cell>
        </row>
        <row r="135">
          <cell r="A135" t="str">
            <v>Р. Македонија - државна обврзница DO2015/42-1125dk</v>
          </cell>
        </row>
        <row r="136">
          <cell r="A136" t="str">
            <v>Р. Македонија - државна обврзница DO2015/43-1130dk</v>
          </cell>
        </row>
        <row r="137">
          <cell r="A137" t="str">
            <v>Р. Македонија - државна обврзница DO2017/20-0732dk</v>
          </cell>
        </row>
        <row r="138">
          <cell r="A138" t="str">
            <v>Р. Македонија - државна обврзница DO2015/32-0825</v>
          </cell>
        </row>
        <row r="139">
          <cell r="A139" t="str">
            <v>Р. Македонија - државна обврзница DO2015/33-0830dk</v>
          </cell>
        </row>
        <row r="140">
          <cell r="A140" t="str">
            <v>Р. Македонија - државна обврзница DO2018/18-0921</v>
          </cell>
        </row>
        <row r="141">
          <cell r="A141" t="str">
            <v>Р. Македонија - државна обврзница DO2018/19-0933</v>
          </cell>
        </row>
        <row r="142">
          <cell r="A142" t="str">
            <v>Р. Македонија - државна обврзница DO2018/20-0933dk</v>
          </cell>
        </row>
        <row r="143">
          <cell r="A143" t="str">
            <v>Р. Македонија - државна обврзница DO2015/18-0525dk</v>
          </cell>
        </row>
        <row r="144">
          <cell r="A144" t="str">
            <v>Р. Македонија - државна обврзница DO2018/13-0633dk</v>
          </cell>
        </row>
        <row r="145">
          <cell r="A145" t="str">
            <v>Р. Македонија - државна обврзница DO2014/18-0824dk</v>
          </cell>
        </row>
        <row r="146">
          <cell r="A146" t="str">
            <v>Р. Македонија - државна обврзница DO2017/27-0932dk</v>
          </cell>
        </row>
        <row r="147">
          <cell r="A147" t="str">
            <v>Р. Македонија - државна обврзница DO2016/03-0131dk</v>
          </cell>
        </row>
        <row r="148">
          <cell r="A148" t="str">
            <v>Р. Македонија - државна обврзница DO2017/17-0632dk</v>
          </cell>
        </row>
        <row r="149">
          <cell r="A149" t="str">
            <v>Р. Македонија - државна обврзница DO2016/21-0931dk</v>
          </cell>
        </row>
        <row r="150">
          <cell r="A150" t="str">
            <v>Р. Македонија - државна обврзница DO2018/27-1133dk</v>
          </cell>
        </row>
        <row r="151">
          <cell r="A151" t="str">
            <v>Р. Македонија - државна обврзница DO2016/29-1231dk</v>
          </cell>
        </row>
        <row r="152">
          <cell r="A152" t="str">
            <v>Р. Македонија - државна обврзница DO2014/02-0124</v>
          </cell>
        </row>
        <row r="153">
          <cell r="A153" t="str">
            <v>Р. Македонија - државна обврзница DO2014/03-0124dk</v>
          </cell>
        </row>
        <row r="154">
          <cell r="A154" t="str">
            <v>Р. Македонија - државна обврзница DO2017/10-0332dk</v>
          </cell>
        </row>
        <row r="155">
          <cell r="A155" t="str">
            <v>Р. Македонија - државна обврзница DO2016/14-0631dk</v>
          </cell>
        </row>
        <row r="156">
          <cell r="A156" t="str">
            <v>Р. Македонија - државна обврзница DO2015/27-0725dk</v>
          </cell>
        </row>
        <row r="157">
          <cell r="A157" t="str">
            <v>Р. Македонија - државна обврзница DO2015/28-0730dk</v>
          </cell>
        </row>
        <row r="158">
          <cell r="A158" t="str">
            <v>Р. Македонија - државна обврзница DO2017/36-1132dk</v>
          </cell>
        </row>
        <row r="159">
          <cell r="A159" t="str">
            <v>Р. Македонија - државна обврзница DO2016/09-0326</v>
          </cell>
        </row>
        <row r="160">
          <cell r="A160" t="str">
            <v>Р. Македонија - државна обврзница DO2014/17-0724dk</v>
          </cell>
        </row>
        <row r="161">
          <cell r="A161" t="str">
            <v>Р. Македонија - државна обврзница DO2015/38-0925dk</v>
          </cell>
        </row>
        <row r="162">
          <cell r="A162" t="str">
            <v>Р. Македонија - државна обврзница DO2015/39-0930dk</v>
          </cell>
        </row>
        <row r="163">
          <cell r="A163" t="str">
            <v>Р. Македонија - државна обврзница DO2015/46-1225dk</v>
          </cell>
        </row>
        <row r="164">
          <cell r="A164" t="str">
            <v>Р. Македонија - државна обврзница DO2018/04-0133</v>
          </cell>
        </row>
        <row r="165">
          <cell r="A165" t="str">
            <v>Р. Македонија - државна обврзница DO2018/05-0133dk</v>
          </cell>
        </row>
        <row r="166">
          <cell r="A166" t="str">
            <v>Р. Македонија - државна обврзница DO2015/20-0625</v>
          </cell>
        </row>
        <row r="167">
          <cell r="A167" t="str">
            <v>Р. Македонија - државна обврзница DO2015/21-0625dk</v>
          </cell>
        </row>
        <row r="168">
          <cell r="A168" t="str">
            <v>Р. Македонија - државна обврзница DO2015/22-0630dk</v>
          </cell>
        </row>
        <row r="169">
          <cell r="A169" t="str">
            <v>Р. Македонија - државна обврзница DO2017/05-0132dk</v>
          </cell>
        </row>
        <row r="170">
          <cell r="A170" t="str">
            <v>Р. Македонија - државна обврзница DO2015/08-0230dk</v>
          </cell>
        </row>
        <row r="171">
          <cell r="A171" t="str">
            <v>Р. Македонија - државна обврзница DO2015/12-0325</v>
          </cell>
        </row>
        <row r="172">
          <cell r="A172" t="str">
            <v>Р. Македонија - државна обврзница DO2015/13-0330dk</v>
          </cell>
        </row>
        <row r="173">
          <cell r="A173" t="str">
            <v>Р. Македонија - државна обврзница DO2018/11-0448dk</v>
          </cell>
        </row>
        <row r="174">
          <cell r="A174" t="str">
            <v>Р. Македонија - државна обврзница DO2015/34-0825</v>
          </cell>
        </row>
        <row r="175">
          <cell r="A175" t="str">
            <v>Р. Македонија - државна обврзница DO2015/35-0825dk</v>
          </cell>
        </row>
        <row r="176">
          <cell r="A176" t="str">
            <v>Р. Македонија - државна обврзница DO2015/36-0830dk</v>
          </cell>
        </row>
        <row r="177">
          <cell r="A177" t="str">
            <v>Р. Македонија - државна обврзница DO2021/02-0123</v>
          </cell>
        </row>
        <row r="178">
          <cell r="A178" t="str">
            <v>Р. Македонија - државна обврзница DO2016/04-0131dk</v>
          </cell>
        </row>
        <row r="179">
          <cell r="A179" t="str">
            <v>Р. Македонија - државна обврзница DO2019/04-0234</v>
          </cell>
          <cell r="B179">
            <v>101</v>
          </cell>
        </row>
        <row r="180">
          <cell r="A180" t="str">
            <v>Р. Македонија - државна обврзница DO2016/16-0731dk</v>
          </cell>
        </row>
        <row r="181">
          <cell r="A181" t="str">
            <v>Р. Македонија - државна обврзница DO2015/03-0125</v>
          </cell>
        </row>
        <row r="182">
          <cell r="A182" t="str">
            <v>Р. Македонија - државна обврзница DO2015/04-0125dk</v>
          </cell>
        </row>
        <row r="183">
          <cell r="A183" t="str">
            <v>Р. Македонија - државна обврзница DO2017/18-0632dk</v>
          </cell>
        </row>
        <row r="184">
          <cell r="A184" t="str">
            <v>Р. Македонија - државна обврзница DO2016/22-0931dk</v>
          </cell>
        </row>
        <row r="185">
          <cell r="A185" t="str">
            <v>Р. Македонија - државна обврзница DO2015/41-1030dk</v>
          </cell>
        </row>
        <row r="186">
          <cell r="A186" t="str">
            <v>Р. Македонија - државна обврзница DO2020/10-1035</v>
          </cell>
        </row>
        <row r="187">
          <cell r="A187" t="str">
            <v>Р. Македонија - државна обврзница DO2020/01-0150dk</v>
          </cell>
        </row>
        <row r="188">
          <cell r="A188" t="str">
            <v>Р. Македонија - државна обврзница DO2017/11-0332dk</v>
          </cell>
        </row>
        <row r="189">
          <cell r="A189" t="str">
            <v>Р. Македонија - државна обврзница DO2020/04-0450dk</v>
          </cell>
        </row>
        <row r="190">
          <cell r="A190" t="str">
            <v>Р. Македонија - државна обврзница DO2015/29-0730dk</v>
          </cell>
        </row>
        <row r="191">
          <cell r="A191" t="str">
            <v>Р. Македонија - државна обврзница DO2014/30-1024dk</v>
          </cell>
        </row>
        <row r="192">
          <cell r="A192" t="str">
            <v>Р. Македонија - државна обврзница DO2017/37-1132dk</v>
          </cell>
        </row>
        <row r="193">
          <cell r="A193" t="str">
            <v>Р. Македонија - државна обврзница DO2019/02-0149dk</v>
          </cell>
        </row>
        <row r="194">
          <cell r="A194" t="str">
            <v>Р. Македонија - државна обврзница DO2016/10-0331dk</v>
          </cell>
        </row>
        <row r="195">
          <cell r="A195" t="str">
            <v>Р. Македонија - државна обврзница DO2019/14-1049dk</v>
          </cell>
          <cell r="B195">
            <v>103.5</v>
          </cell>
        </row>
        <row r="196">
          <cell r="A196" t="str">
            <v>Р. Македонија - државна обврзница DO2020/17-1222</v>
          </cell>
        </row>
        <row r="197">
          <cell r="A197" t="str">
            <v>Р. Македонија - државна обврзница DO2020/18-1222dk</v>
          </cell>
        </row>
        <row r="198">
          <cell r="A198" t="str">
            <v>Р. Македонија - државна обврзница DO2020/19-1223</v>
          </cell>
        </row>
        <row r="199">
          <cell r="A199" t="str">
            <v>Р. Македонија - државна обврзница DO2020/20-1223dk</v>
          </cell>
        </row>
        <row r="200">
          <cell r="A200" t="str">
            <v>Р. Македонија - денационализација 10</v>
          </cell>
          <cell r="B200">
            <v>99</v>
          </cell>
        </row>
        <row r="201">
          <cell r="A201" t="str">
            <v>Р. Македонија - денационализација 11</v>
          </cell>
        </row>
        <row r="202">
          <cell r="A202" t="str">
            <v>Р. Македонија - денационализација 12</v>
          </cell>
          <cell r="B202">
            <v>99.5</v>
          </cell>
        </row>
        <row r="203">
          <cell r="A203" t="str">
            <v>Р. Македонија - денационализација 13</v>
          </cell>
          <cell r="B203">
            <v>99.7</v>
          </cell>
        </row>
        <row r="204">
          <cell r="A204" t="str">
            <v>Р. Македонија - денационализација 14</v>
          </cell>
          <cell r="B204">
            <v>99</v>
          </cell>
        </row>
        <row r="205">
          <cell r="A205" t="str">
            <v>Р. Македонија - денационализација 15</v>
          </cell>
          <cell r="B205">
            <v>99</v>
          </cell>
        </row>
        <row r="206">
          <cell r="A206" t="str">
            <v>Р. Македонија - денационализација 16</v>
          </cell>
          <cell r="B206">
            <v>100.5</v>
          </cell>
        </row>
        <row r="207">
          <cell r="A207" t="str">
            <v>Р. Македонија - денационализација 17</v>
          </cell>
          <cell r="B207">
            <v>99.5</v>
          </cell>
        </row>
        <row r="208">
          <cell r="A208" t="str">
            <v>Р. Македонија - денационализација 18</v>
          </cell>
          <cell r="B208">
            <v>99.5</v>
          </cell>
        </row>
        <row r="209">
          <cell r="A209" t="str">
            <v>Р. Македонија - денационализација 19</v>
          </cell>
          <cell r="B209">
            <v>99.9</v>
          </cell>
        </row>
        <row r="210">
          <cell r="A210" t="str">
            <v>ТТК банка АД Скопје - корпоративна обврзница I емисија</v>
          </cell>
          <cell r="B210">
            <v>100</v>
          </cell>
        </row>
        <row r="211">
          <cell r="A211" t="str">
            <v>ТТК банка АД Скопје - корпоративна обврзница II емисија</v>
          </cell>
        </row>
        <row r="212">
          <cell r="A212" t="str">
            <v>Берзанска котација - други хартии од вредност</v>
          </cell>
        </row>
        <row r="213">
          <cell r="A213" t="str">
            <v>Универзална Инвестициона Банка Скопје - перпетуални обврзници</v>
          </cell>
          <cell r="B213">
            <v>101.5</v>
          </cell>
        </row>
        <row r="214">
          <cell r="A214" t="str">
            <v>Задолжителна котација - обични акции</v>
          </cell>
        </row>
        <row r="215">
          <cell r="A215" t="str">
            <v>Адинг Скопје</v>
          </cell>
          <cell r="B215">
            <v>750</v>
          </cell>
        </row>
        <row r="216">
          <cell r="A216" t="str">
            <v>Агромеханика Скопје</v>
          </cell>
          <cell r="B216">
            <v>300</v>
          </cell>
        </row>
        <row r="217">
          <cell r="A217" t="str">
            <v>Ангропромет-Тиквешанка Кавадарци</v>
          </cell>
          <cell r="B217">
            <v>750</v>
          </cell>
        </row>
        <row r="218">
          <cell r="A218" t="str">
            <v>Аутомакедонија Скопје</v>
          </cell>
          <cell r="B218">
            <v>2292</v>
          </cell>
        </row>
        <row r="219">
          <cell r="A219" t="str">
            <v>Рудници Бањани Скопје</v>
          </cell>
          <cell r="B219">
            <v>603</v>
          </cell>
        </row>
        <row r="220">
          <cell r="A220" t="str">
            <v>Кристал 1923 АД Велес</v>
          </cell>
          <cell r="B220">
            <v>147</v>
          </cell>
        </row>
        <row r="221">
          <cell r="A221" t="str">
            <v>БИМ Свети Николе</v>
          </cell>
        </row>
        <row r="222">
          <cell r="A222" t="str">
            <v>ФЗЦ 11 Октомври Куманово</v>
          </cell>
          <cell r="B222">
            <v>400</v>
          </cell>
        </row>
        <row r="223">
          <cell r="A223" t="str">
            <v>Централна кооперативна банка Скопје</v>
          </cell>
        </row>
        <row r="224">
          <cell r="A224" t="str">
            <v>Дебарски бањи Дебар</v>
          </cell>
        </row>
        <row r="225">
          <cell r="A225" t="str">
            <v>Димко Митрев Велес</v>
          </cell>
          <cell r="B225">
            <v>185</v>
          </cell>
        </row>
        <row r="226">
          <cell r="A226" t="str">
            <v>Единство Струмица</v>
          </cell>
          <cell r="B226">
            <v>303</v>
          </cell>
        </row>
        <row r="227">
          <cell r="A227" t="str">
            <v>Европа Скопје</v>
          </cell>
        </row>
        <row r="228">
          <cell r="A228" t="str">
            <v>Факом Скопје</v>
          </cell>
          <cell r="B228">
            <v>7200</v>
          </cell>
        </row>
        <row r="229">
          <cell r="A229" t="str">
            <v>Фустеларко Борец Битола</v>
          </cell>
          <cell r="B229">
            <v>1500</v>
          </cell>
        </row>
        <row r="230">
          <cell r="A230" t="str">
            <v>Герас Цунев конфекција Струмица</v>
          </cell>
          <cell r="B230">
            <v>500</v>
          </cell>
        </row>
        <row r="231">
          <cell r="A231" t="str">
            <v>Герас Цунев трговија Струмица</v>
          </cell>
          <cell r="B231">
            <v>500</v>
          </cell>
        </row>
        <row r="232">
          <cell r="A232" t="str">
            <v>Грозд Струмица</v>
          </cell>
          <cell r="B232">
            <v>2250</v>
          </cell>
        </row>
        <row r="233">
          <cell r="A233" t="str">
            <v>Градски Трговски Центар Скопје</v>
          </cell>
        </row>
        <row r="234">
          <cell r="A234" t="str">
            <v>Интерпромет Тетово</v>
          </cell>
          <cell r="B234">
            <v>4500</v>
          </cell>
        </row>
        <row r="235">
          <cell r="A235" t="str">
            <v>Осигурување Македонија АД Скопје - Виена Иншуренс Груп</v>
          </cell>
          <cell r="B235">
            <v>1261</v>
          </cell>
        </row>
        <row r="236">
          <cell r="A236" t="str">
            <v>Кланица со ладилник Струмица</v>
          </cell>
        </row>
        <row r="237">
          <cell r="A237" t="str">
            <v>Фруктал МАК Скопје</v>
          </cell>
        </row>
        <row r="238">
          <cell r="A238" t="str">
            <v>Карпош Скопје</v>
          </cell>
        </row>
        <row r="239">
          <cell r="A239" t="str">
            <v>Лотарија на Македонија Скопје</v>
          </cell>
        </row>
        <row r="240">
          <cell r="A240" t="str">
            <v>Пелистерка АД Скопје</v>
          </cell>
        </row>
        <row r="241">
          <cell r="A241" t="str">
            <v>Макпромет Штип</v>
          </cell>
        </row>
        <row r="242">
          <cell r="A242" t="str">
            <v>Мермерен комбинат Прилеп</v>
          </cell>
        </row>
        <row r="243">
          <cell r="A243" t="str">
            <v>Мода Свети Николе</v>
          </cell>
        </row>
        <row r="244">
          <cell r="A244" t="str">
            <v>Вабтек МЗТ Скопје</v>
          </cell>
        </row>
        <row r="245">
          <cell r="A245" t="str">
            <v>МЗТ Пумпи Скопје</v>
          </cell>
        </row>
        <row r="246">
          <cell r="A246" t="str">
            <v>Огражден Струмица</v>
          </cell>
        </row>
        <row r="247">
          <cell r="A247" t="str">
            <v>Нова стоковна куќа Струмица</v>
          </cell>
        </row>
        <row r="248">
          <cell r="A248" t="str">
            <v>Оилко КДА Скопје</v>
          </cell>
        </row>
        <row r="249">
          <cell r="A249" t="str">
            <v>ОКТА Скопје</v>
          </cell>
        </row>
        <row r="250">
          <cell r="A250" t="str">
            <v>Оранжерии Хамзали Струмица</v>
          </cell>
        </row>
        <row r="251">
          <cell r="A251" t="str">
            <v>Пекабеско Скопје</v>
          </cell>
        </row>
        <row r="252">
          <cell r="A252" t="str">
            <v>Попова Кула Демир Капија</v>
          </cell>
        </row>
        <row r="253">
          <cell r="A253" t="str">
            <v>Прилепска Пиварница Прилеп</v>
          </cell>
        </row>
        <row r="254">
          <cell r="A254" t="str">
            <v>Раде Кончар Скопје</v>
          </cell>
        </row>
        <row r="255">
          <cell r="A255" t="str">
            <v>РЖ Економика Скопје</v>
          </cell>
        </row>
        <row r="256">
          <cell r="A256" t="str">
            <v>Либерти АД Скопје</v>
          </cell>
        </row>
        <row r="257">
          <cell r="A257" t="str">
            <v>РЖ Техничка контрола Скопје</v>
          </cell>
        </row>
        <row r="258">
          <cell r="A258" t="str">
            <v>РЖ Уготур Скопје</v>
          </cell>
        </row>
        <row r="259">
          <cell r="A259" t="str">
            <v>Современ дом Прилеп</v>
          </cell>
        </row>
        <row r="260">
          <cell r="A260" t="str">
            <v>Силекс Кратово</v>
          </cell>
        </row>
        <row r="261">
          <cell r="A261" t="str">
            <v>Сковин Скопје</v>
          </cell>
        </row>
        <row r="262">
          <cell r="A262" t="str">
            <v>Славеј Скопје</v>
          </cell>
        </row>
        <row r="263">
          <cell r="A263" t="str">
            <v>Струмичко поле с.Василево</v>
          </cell>
        </row>
        <row r="264">
          <cell r="A264" t="str">
            <v>Сигурносно стакло Прилеп</v>
          </cell>
        </row>
        <row r="265">
          <cell r="A265" t="str">
            <v>Стопанска банка Скопје</v>
          </cell>
        </row>
        <row r="266">
          <cell r="A266" t="str">
            <v>Стокопромет Скопје</v>
          </cell>
        </row>
        <row r="267">
          <cell r="A267" t="str">
            <v>Тајмиште Кичево</v>
          </cell>
        </row>
        <row r="268">
          <cell r="A268" t="str">
            <v>ТЕАЛ-Алумина Тетово</v>
          </cell>
        </row>
        <row r="269">
          <cell r="A269" t="str">
            <v>Технокомерц Скопје</v>
          </cell>
        </row>
        <row r="270">
          <cell r="A270" t="str">
            <v>Македонски Телеком Скопје</v>
          </cell>
        </row>
        <row r="271">
          <cell r="A271" t="str">
            <v>ГД-Тиквеш Кавадарци</v>
          </cell>
        </row>
        <row r="272">
          <cell r="A272" t="str">
            <v>НЛБ Банка АД Скопје</v>
          </cell>
        </row>
        <row r="273">
          <cell r="A273" t="str">
            <v>Трудбеник Охрид</v>
          </cell>
        </row>
        <row r="274">
          <cell r="A274" t="str">
            <v>Транскоп-Патнички сооб. Битола</v>
          </cell>
        </row>
        <row r="275">
          <cell r="A275" t="str">
            <v>Трготекстил малопродажба Скопје</v>
          </cell>
        </row>
        <row r="276">
          <cell r="A276" t="str">
            <v>Универзална Инвестициона Банка Скопје</v>
          </cell>
        </row>
        <row r="277">
          <cell r="A277" t="str">
            <v>Цементарница УСЈЕ Скопје</v>
          </cell>
        </row>
        <row r="278">
          <cell r="A278" t="str">
            <v>Триглав осигурување Скопје</v>
          </cell>
        </row>
        <row r="279">
          <cell r="A279" t="str">
            <v>Ветекс Велес</v>
          </cell>
        </row>
        <row r="280">
          <cell r="A280" t="str">
            <v>ЖАС Скопје</v>
          </cell>
        </row>
        <row r="281">
          <cell r="A281" t="str">
            <v>Жито Караорман Кичево</v>
          </cell>
        </row>
        <row r="282">
          <cell r="A282" t="str">
            <v>Жито Полог Тетово</v>
          </cell>
        </row>
        <row r="283">
          <cell r="A283" t="str">
            <v>Задолжителна котација - приоритетни акции</v>
          </cell>
        </row>
        <row r="284">
          <cell r="A284" t="str">
            <v>Стопанска банка Скопје</v>
          </cell>
        </row>
        <row r="285">
          <cell r="A285" t="str">
            <v>Редовен пазар</v>
          </cell>
        </row>
        <row r="286">
          <cell r="A286" t="str">
            <v>Пазар на акционерски друштва со посебни обврски за известување - обични акции</v>
          </cell>
        </row>
        <row r="287">
          <cell r="A287" t="str">
            <v>Агросервис Скопје</v>
          </cell>
        </row>
        <row r="288">
          <cell r="A288" t="str">
            <v>Отекс Охрид</v>
          </cell>
        </row>
        <row r="289">
          <cell r="A289" t="str">
            <v>Слободен пазар - обични акции</v>
          </cell>
        </row>
        <row r="290">
          <cell r="A290" t="str">
            <v>Бутел Погребен сервис АД Скопје</v>
          </cell>
        </row>
        <row r="291">
          <cell r="A291" t="str">
            <v>ИДЕВЕЛОП Скопје - долгорочно суспендирано од котација</v>
          </cell>
        </row>
        <row r="292">
          <cell r="A292" t="str">
            <v>Квасара Битола</v>
          </cell>
        </row>
        <row r="293">
          <cell r="A293" t="str">
            <v>АрцелорМиттал (ХРМ) АД Скопје - долгорочно суспендирано од котација</v>
          </cell>
        </row>
        <row r="294">
          <cell r="A294" t="str">
            <v>Таска АД Кавадарци</v>
          </cell>
        </row>
        <row r="295">
          <cell r="A295" t="str">
            <v>Вкупен промет на сите пазарни сегменти: 13.716.233,00</v>
          </cell>
        </row>
        <row r="296">
          <cell r="A296" t="str">
            <v>МБИ10</v>
          </cell>
        </row>
        <row r="297">
          <cell r="A297" t="str">
            <v>ОМБ</v>
          </cell>
        </row>
        <row r="298">
          <cell r="A298" t="str">
            <v>1 EUR = 61,6454 МКД</v>
          </cell>
        </row>
      </sheetData>
      <sheetData sheetId="1"/>
      <sheetData sheetId="2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  <cell r="B11">
            <v>1118.95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  <cell r="B16">
            <v>250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Тетекс Тетово</v>
          </cell>
        </row>
        <row r="28">
          <cell r="A28" t="str">
            <v>Тутунски комбинат Прилеп</v>
          </cell>
        </row>
        <row r="29">
          <cell r="A29" t="str">
            <v>ВВ Тиквеш АД Кавадарци</v>
          </cell>
        </row>
        <row r="30">
          <cell r="A30" t="str">
            <v>ТТК Банка АД Скопје</v>
          </cell>
        </row>
        <row r="31">
          <cell r="A31" t="str">
            <v>Витаминка Прилеп</v>
          </cell>
        </row>
        <row r="32">
          <cell r="A32" t="str">
            <v>Жито Лукс Скопје</v>
          </cell>
        </row>
        <row r="33">
          <cell r="A33" t="str">
            <v>ЗК Пелагонија Битола</v>
          </cell>
        </row>
        <row r="34">
          <cell r="A34" t="str">
            <v>Берзанска котација - приоритетни акции</v>
          </cell>
        </row>
        <row r="35">
          <cell r="A35" t="str">
            <v>Скопски пазар Скопје</v>
          </cell>
        </row>
        <row r="36">
          <cell r="A36" t="str">
            <v>Жито лукс Скопје</v>
          </cell>
        </row>
        <row r="37">
          <cell r="A37" t="str">
            <v>Берзанска котација - обврзници</v>
          </cell>
        </row>
        <row r="38">
          <cell r="A38" t="str">
            <v>Централна кооперативна банка АД Скопје - конвертибилни обврзници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DO2018/25-1133dk</v>
          </cell>
        </row>
        <row r="41">
          <cell r="A41" t="str">
            <v>Р. Македонија - државна обврзница DO2016/28-1231dk</v>
          </cell>
        </row>
        <row r="42">
          <cell r="A42" t="str">
            <v>Р. Македонија - државна обврзница DO2014/10-0524dk</v>
          </cell>
        </row>
        <row r="43">
          <cell r="A43" t="str">
            <v>Р. Македонија - државна обврзница DO2014/23-1024</v>
          </cell>
        </row>
        <row r="44">
          <cell r="A44" t="str">
            <v>Р. Македонија - државна обврзница DO2017/35-1132dk</v>
          </cell>
        </row>
        <row r="45">
          <cell r="A45" t="str">
            <v>Р. Македонија - државна обврзница DO2014/16-0724dk</v>
          </cell>
        </row>
        <row r="46">
          <cell r="A46" t="str">
            <v>Р. Македонија - државна обврзница DO2016/26-1131dk</v>
          </cell>
        </row>
        <row r="47">
          <cell r="A47" t="str">
            <v>Р. Македонија - државна обврзница DO2020/14-1223</v>
          </cell>
        </row>
        <row r="48">
          <cell r="A48" t="str">
            <v>Р. Македонија - државна обврзница DO2015/44-1230dk</v>
          </cell>
        </row>
        <row r="49">
          <cell r="A49" t="str">
            <v>Р. Македонија - државна обврзница DO2020/15-1235dk</v>
          </cell>
        </row>
        <row r="50">
          <cell r="A50" t="str">
            <v>Р. Македонија - државна обврзница DO2017/14-0532dk</v>
          </cell>
        </row>
        <row r="51">
          <cell r="A51" t="str">
            <v>Р. Македонија - државна обврзница DO2015/19-0630dk</v>
          </cell>
        </row>
        <row r="52">
          <cell r="A52" t="str">
            <v>Р. Македонија - државна обврзница DO2014/19-0924dk</v>
          </cell>
        </row>
        <row r="53">
          <cell r="A53" t="str">
            <v>Р. Македонија - државна обврзница DO2018/21-1021dk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DO2020/03-0325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државна обврзница DO2017/30-1032dk</v>
          </cell>
        </row>
        <row r="58">
          <cell r="A58" t="str">
            <v>Р. Македонија - државна обврзница DO2020/11-1122</v>
          </cell>
        </row>
        <row r="59">
          <cell r="A59" t="str">
            <v>Р. Македонија - државна обврзница DO2020/12-1125</v>
          </cell>
        </row>
        <row r="60">
          <cell r="A60" t="str">
            <v>Р. Македонија - државна обврзница DO2019/16-1234dk</v>
          </cell>
        </row>
        <row r="61">
          <cell r="A61" t="str">
            <v>Р. Македонија - државна обврзница DO2017/12-0432dk</v>
          </cell>
        </row>
        <row r="62">
          <cell r="A62" t="str">
            <v>Р. Македонија - државна обврзница DO2017/19-0732dk</v>
          </cell>
        </row>
        <row r="63">
          <cell r="A63" t="str">
            <v>Р. Македонија - државна обврзница DO2015/30-0825dk</v>
          </cell>
        </row>
        <row r="64">
          <cell r="A64" t="str">
            <v>Р. Македонија - државна обврзница DO2015/31-0830dk</v>
          </cell>
        </row>
        <row r="65">
          <cell r="A65" t="str">
            <v>Р. Македонија - државна обврзница DO2020/07-0850dk</v>
          </cell>
        </row>
        <row r="66">
          <cell r="A66" t="str">
            <v>Р. Македонија - државна обврзница DO2019/05-0324</v>
          </cell>
        </row>
        <row r="67">
          <cell r="A67" t="str">
            <v>Р. Македонија - државна обврзница DO2016/11-0426dk</v>
          </cell>
        </row>
        <row r="68">
          <cell r="A68" t="str">
            <v>Р. Македонија - државна обврзница DO2015/17-0530dk</v>
          </cell>
        </row>
        <row r="69">
          <cell r="A69" t="str">
            <v>Р. Македонија - државна обврзница DO2018/12-0633</v>
          </cell>
        </row>
        <row r="70">
          <cell r="A70" t="str">
            <v>Р. Македонија - државна обврзница DO2017/26-0932dk</v>
          </cell>
        </row>
        <row r="71">
          <cell r="A71" t="str">
            <v>Р. Македонија - државна обврзница DO2019/15-1134</v>
          </cell>
        </row>
        <row r="72">
          <cell r="A72" t="str">
            <v>Р. Македонија - државна обврзница DO2017/38-1232dk</v>
          </cell>
        </row>
        <row r="73">
          <cell r="A73" t="str">
            <v>Р. Македонија - државна обврзница DO2018/10-0333dk</v>
          </cell>
        </row>
        <row r="74">
          <cell r="A74" t="str">
            <v>Р. Македонија - државна обврзница DO2017/16-0632dk</v>
          </cell>
        </row>
        <row r="75">
          <cell r="A75" t="str">
            <v>Р. Македонија - државна обврзница DO2016/15-0731dk</v>
          </cell>
        </row>
        <row r="76">
          <cell r="A76" t="str">
            <v>Р. Македонија - државна обврзница DO2019/11-0834dk</v>
          </cell>
        </row>
        <row r="77">
          <cell r="A77" t="str">
            <v>Р. Македонија - државна обврзница DO2015/40-1030dk</v>
          </cell>
        </row>
        <row r="78">
          <cell r="A78" t="str">
            <v>Р. Македонија - државна обврзница DO2017/08-0332dk</v>
          </cell>
        </row>
        <row r="79">
          <cell r="A79" t="str">
            <v>Р. Македонија - државна обврзница DO2016/13-0631dk</v>
          </cell>
        </row>
        <row r="80">
          <cell r="A80" t="str">
            <v>Р. Македонија - државна обврзница DO2015/23-0725</v>
          </cell>
        </row>
        <row r="81">
          <cell r="A81" t="str">
            <v>Р. Македонија - државна обврзница DO2015/24-0725dk</v>
          </cell>
        </row>
        <row r="82">
          <cell r="A82" t="str">
            <v>Р. Македонија - државна обврзница DO2015/25-0730dk</v>
          </cell>
        </row>
        <row r="83">
          <cell r="A83" t="str">
            <v>Р. Македонија - државна обврзница DO2018/16-0821</v>
          </cell>
        </row>
        <row r="84">
          <cell r="A84" t="str">
            <v>Р. Македонија - државна обврзница DO2018/17-0833dk</v>
          </cell>
        </row>
        <row r="85">
          <cell r="A85" t="str">
            <v>Р. Македонија - државна обврзница DO2017/21-0822dk</v>
          </cell>
        </row>
        <row r="86">
          <cell r="A86" t="str">
            <v>Р. Македонија - државна обврзница DO2017/22-0832dk</v>
          </cell>
        </row>
        <row r="87">
          <cell r="A87" t="str">
            <v>Р. Македонија - државна обврзница DO2018/01-0121</v>
          </cell>
        </row>
        <row r="88">
          <cell r="A88" t="str">
            <v>Р. Македонија - државна обврзница DO2018/02-0128</v>
          </cell>
        </row>
        <row r="89">
          <cell r="A89" t="str">
            <v>Р. Македонија - државна обврзница DO2018/03-0133dk</v>
          </cell>
        </row>
        <row r="90">
          <cell r="A90" t="str">
            <v>Р. Македонија - државна обврзница DO2016/05-0226</v>
          </cell>
        </row>
        <row r="91">
          <cell r="A91" t="str">
            <v>Р. Македонија - државна обврзница DO2016/06-0226dk</v>
          </cell>
        </row>
        <row r="92">
          <cell r="A92" t="str">
            <v>Р. Македонија - државна обврзница DO2016/07-0231dk</v>
          </cell>
        </row>
        <row r="93">
          <cell r="A93" t="str">
            <v>Р. Македонија - државна обврзница DO2017/02-0132dk</v>
          </cell>
        </row>
        <row r="94">
          <cell r="A94" t="str">
            <v>Р. Македонија - државна обврзница DO2015/05-0230dk</v>
          </cell>
        </row>
        <row r="95">
          <cell r="A95" t="str">
            <v>Р. Македонија - државна обврзница DO2015/09-0325</v>
          </cell>
        </row>
        <row r="96">
          <cell r="A96" t="str">
            <v>Р. Македонија - државна обврзница DO2015/10-0330dk</v>
          </cell>
        </row>
        <row r="97">
          <cell r="A97" t="str">
            <v>Р. Македонија - државна обврзница DO2020/02-0235</v>
          </cell>
        </row>
        <row r="98">
          <cell r="A98" t="str">
            <v>Р. Македонија - државна обврзница DO2016/01-0126dk</v>
          </cell>
        </row>
        <row r="99">
          <cell r="A99" t="str">
            <v>Р. Македонија - државна обврзница DO2016/02-0131dk</v>
          </cell>
        </row>
        <row r="100">
          <cell r="A100" t="str">
            <v>Р. Македонија - државна обврзница DO2019/03-0224dk</v>
          </cell>
        </row>
        <row r="101">
          <cell r="A101" t="str">
            <v>Р. Македонија - државна обврзница DO2016/12-0431dk</v>
          </cell>
        </row>
        <row r="102">
          <cell r="A102" t="str">
            <v>Р. Македонија - државна обврзница DO2020/05-0522</v>
          </cell>
        </row>
        <row r="103">
          <cell r="A103" t="str">
            <v>Р. Македонија - државна обврзница DO2016/23-1031dk</v>
          </cell>
        </row>
        <row r="104">
          <cell r="A104" t="str">
            <v>Р. Македонија - државна обврзница DO2018/06-0221</v>
          </cell>
        </row>
        <row r="105">
          <cell r="A105" t="str">
            <v>Р. Македонија - државна обврзница DO2018/07-0223</v>
          </cell>
        </row>
        <row r="106">
          <cell r="A106" t="str">
            <v>Р. Македонија - државна обврзница DO2018/08-0233dk</v>
          </cell>
        </row>
        <row r="107">
          <cell r="A107" t="str">
            <v>Р. Македонија - државна обврзница DO2020/08-1030</v>
          </cell>
        </row>
        <row r="108">
          <cell r="A108" t="str">
            <v>Р. Македонија - државна обврзница DO2020/09-1030dk</v>
          </cell>
        </row>
        <row r="109">
          <cell r="A109" t="str">
            <v>Р. Македонија - државна обврзница DO2017/06-0232dk</v>
          </cell>
        </row>
        <row r="110">
          <cell r="A110" t="str">
            <v>Р. Македонија - државна обврзница DO2015/15-0430dk</v>
          </cell>
        </row>
        <row r="111">
          <cell r="A111" t="str">
            <v>Р. Македонија - државна обврзница DO2019/08-0524</v>
          </cell>
        </row>
        <row r="112">
          <cell r="A112" t="str">
            <v>Р. Македонија - државна обврзница DO2019/09-0534</v>
          </cell>
        </row>
        <row r="113">
          <cell r="A113" t="str">
            <v>Р. Македонија - државна обврзница DO2014/27-1024</v>
          </cell>
        </row>
        <row r="114">
          <cell r="A114" t="str">
            <v>Р. Македонија - државна обврзница DO2014/28-1024dk</v>
          </cell>
        </row>
        <row r="115">
          <cell r="A115" t="str">
            <v>Р. Македонија - државна обврзница DO2019/01-0121</v>
          </cell>
        </row>
        <row r="116">
          <cell r="A116" t="str">
            <v>Р. Македонија - државна обврзница DO2016/08-0331dk</v>
          </cell>
        </row>
        <row r="117">
          <cell r="A117" t="str">
            <v>Р. Македонија - државна обврзница DO2017/23-0822dk</v>
          </cell>
        </row>
        <row r="118">
          <cell r="A118" t="str">
            <v>Р. Македонија - државна обврзница DO2017/24-0832dk</v>
          </cell>
        </row>
        <row r="119">
          <cell r="A119" t="str">
            <v>Р. Македонија - државна обврзница DO2015/37-0930dk</v>
          </cell>
        </row>
        <row r="120">
          <cell r="A120" t="str">
            <v>Р. Македонија - државна обврзница DO2019/13-1024</v>
          </cell>
        </row>
        <row r="121">
          <cell r="A121" t="str">
            <v>Р. Македонија - државна обврзница DO2020/16-1222dk</v>
          </cell>
        </row>
        <row r="122">
          <cell r="A122" t="str">
            <v>Р. Македонија - државна обврзница DO2015/45-1225dk</v>
          </cell>
        </row>
        <row r="123">
          <cell r="A123" t="str">
            <v>Р. Македонија - државна обврзница DO2019/06-0449dk</v>
          </cell>
        </row>
        <row r="124">
          <cell r="A124" t="str">
            <v>Р. Македонија - државна обврзница DO2020/06-0635</v>
          </cell>
        </row>
        <row r="125">
          <cell r="A125" t="str">
            <v>Р. Македонија - државна обврзница DO2019/10-0749dk</v>
          </cell>
        </row>
        <row r="126">
          <cell r="A126" t="str">
            <v>Р. Македонија - државна обврзница DO2016/17-0826</v>
          </cell>
        </row>
        <row r="127">
          <cell r="A127" t="str">
            <v>Р. Македонија - државна обврзница DO2016/18-0826dk</v>
          </cell>
        </row>
        <row r="128">
          <cell r="A128" t="str">
            <v>Р. Македонија - државна обврзница DO2016/19-0831dk</v>
          </cell>
        </row>
        <row r="129">
          <cell r="A129" t="str">
            <v>Р. Македонија - државна обврзница DO2018/23-1048dk</v>
          </cell>
        </row>
        <row r="130">
          <cell r="A130" t="str">
            <v>Р. Македонија - државна обврзница DO2018/14-0723</v>
          </cell>
        </row>
        <row r="131">
          <cell r="A131" t="str">
            <v>Р. Македонија - државна обврзница DO2018/15-0748dk</v>
          </cell>
        </row>
        <row r="132">
          <cell r="A132" t="str">
            <v>Р. Македонија - државна обврзница DO2019/12-0934</v>
          </cell>
        </row>
        <row r="133">
          <cell r="A133" t="str">
            <v>Р. Македонија - државна обврзница DO2017/32-1032dk</v>
          </cell>
        </row>
        <row r="134">
          <cell r="A134" t="str">
            <v>Р. Македонија - државна обврзница DO2020/13-1123dk</v>
          </cell>
        </row>
        <row r="135">
          <cell r="A135" t="str">
            <v>Р. Македонија - државна обврзница DO2015/42-1125dk</v>
          </cell>
        </row>
        <row r="136">
          <cell r="A136" t="str">
            <v>Р. Македонија - државна обврзница DO2015/43-1130dk</v>
          </cell>
        </row>
        <row r="137">
          <cell r="A137" t="str">
            <v>Р. Македонија - државна обврзница DO2017/20-0732dk</v>
          </cell>
        </row>
        <row r="138">
          <cell r="A138" t="str">
            <v>Р. Македонија - државна обврзница DO2015/32-0825</v>
          </cell>
        </row>
        <row r="139">
          <cell r="A139" t="str">
            <v>Р. Македонија - државна обврзница DO2015/33-0830dk</v>
          </cell>
        </row>
        <row r="140">
          <cell r="A140" t="str">
            <v>Р. Македонија - државна обврзница DO2018/18-0921</v>
          </cell>
        </row>
        <row r="141">
          <cell r="A141" t="str">
            <v>Р. Македонија - државна обврзница DO2018/19-0933</v>
          </cell>
        </row>
        <row r="142">
          <cell r="A142" t="str">
            <v>Р. Македонија - државна обврзница DO2018/20-0933dk</v>
          </cell>
        </row>
        <row r="143">
          <cell r="A143" t="str">
            <v>Р. Македонија - државна обврзница DO2015/18-0525dk</v>
          </cell>
        </row>
        <row r="144">
          <cell r="A144" t="str">
            <v>Р. Македонија - државна обврзница DO2018/13-0633dk</v>
          </cell>
        </row>
        <row r="145">
          <cell r="A145" t="str">
            <v>Р. Македонија - државна обврзница DO2014/18-0824dk</v>
          </cell>
        </row>
        <row r="146">
          <cell r="A146" t="str">
            <v>Р. Македонија - државна обврзница DO2017/27-0932dk</v>
          </cell>
        </row>
        <row r="147">
          <cell r="A147" t="str">
            <v>Р. Македонија - државна обврзница DO2016/03-0131dk</v>
          </cell>
        </row>
        <row r="148">
          <cell r="A148" t="str">
            <v>Р. Македонија - државна обврзница DO2017/17-0632dk</v>
          </cell>
        </row>
        <row r="149">
          <cell r="A149" t="str">
            <v>Р. Македонија - државна обврзница DO2016/21-0931dk</v>
          </cell>
        </row>
        <row r="150">
          <cell r="A150" t="str">
            <v>Р. Македонија - државна обврзница DO2018/27-1133dk</v>
          </cell>
          <cell r="B150">
            <v>106.8</v>
          </cell>
        </row>
        <row r="151">
          <cell r="A151" t="str">
            <v>Р. Македонија - државна обврзница DO2016/29-1231dk</v>
          </cell>
        </row>
        <row r="152">
          <cell r="A152" t="str">
            <v>Р. Македонија - државна обврзница DO2014/02-0124</v>
          </cell>
        </row>
        <row r="153">
          <cell r="A153" t="str">
            <v>Р. Македонија - државна обврзница DO2014/03-0124dk</v>
          </cell>
        </row>
        <row r="154">
          <cell r="A154" t="str">
            <v>Р. Македонија - државна обврзница DO2017/10-0332dk</v>
          </cell>
        </row>
        <row r="155">
          <cell r="A155" t="str">
            <v>Р. Македонија - државна обврзница DO2016/14-0631dk</v>
          </cell>
        </row>
        <row r="156">
          <cell r="A156" t="str">
            <v>Р. Македонија - државна обврзница DO2015/27-0725dk</v>
          </cell>
        </row>
        <row r="157">
          <cell r="A157" t="str">
            <v>Р. Македонија - државна обврзница DO2015/28-0730dk</v>
          </cell>
        </row>
        <row r="158">
          <cell r="A158" t="str">
            <v>Р. Македонија - државна обврзница DO2017/36-1132dk</v>
          </cell>
        </row>
        <row r="159">
          <cell r="A159" t="str">
            <v>Р. Македонија - државна обврзница DO2016/09-0326</v>
          </cell>
        </row>
        <row r="160">
          <cell r="A160" t="str">
            <v>Р. Македонија - државна обврзница DO2014/17-0724dk</v>
          </cell>
        </row>
        <row r="161">
          <cell r="A161" t="str">
            <v>Р. Македонија - државна обврзница DO2015/38-0925dk</v>
          </cell>
        </row>
        <row r="162">
          <cell r="A162" t="str">
            <v>Р. Македонија - државна обврзница DO2015/39-0930dk</v>
          </cell>
        </row>
        <row r="163">
          <cell r="A163" t="str">
            <v>Р. Македонија - државна обврзница DO2015/46-1225dk</v>
          </cell>
        </row>
        <row r="164">
          <cell r="A164" t="str">
            <v>Р. Македонија - државна обврзница DO2018/04-0133</v>
          </cell>
        </row>
        <row r="165">
          <cell r="A165" t="str">
            <v>Р. Македонија - државна обврзница DO2018/05-0133dk</v>
          </cell>
        </row>
        <row r="166">
          <cell r="A166" t="str">
            <v>Р. Македонија - државна обврзница DO2015/20-0625</v>
          </cell>
        </row>
        <row r="167">
          <cell r="A167" t="str">
            <v>Р. Македонија - државна обврзница DO2015/21-0625dk</v>
          </cell>
        </row>
        <row r="168">
          <cell r="A168" t="str">
            <v>Р. Македонија - државна обврзница DO2015/22-0630dk</v>
          </cell>
        </row>
        <row r="169">
          <cell r="A169" t="str">
            <v>Р. Македонија - државна обврзница DO2017/05-0132dk</v>
          </cell>
        </row>
        <row r="170">
          <cell r="A170" t="str">
            <v>Р. Македонија - државна обврзница DO2015/08-0230dk</v>
          </cell>
        </row>
        <row r="171">
          <cell r="A171" t="str">
            <v>Р. Македонија - државна обврзница DO2015/12-0325</v>
          </cell>
        </row>
        <row r="172">
          <cell r="A172" t="str">
            <v>Р. Македонија - државна обврзница DO2015/13-0330dk</v>
          </cell>
        </row>
        <row r="173">
          <cell r="A173" t="str">
            <v>Р. Македонија - државна обврзница DO2018/11-0448dk</v>
          </cell>
        </row>
        <row r="174">
          <cell r="A174" t="str">
            <v>Р. Македонија - државна обврзница DO2015/34-0825</v>
          </cell>
        </row>
        <row r="175">
          <cell r="A175" t="str">
            <v>Р. Македонија - државна обврзница DO2015/35-0825dk</v>
          </cell>
        </row>
        <row r="176">
          <cell r="A176" t="str">
            <v>Р. Македонија - државна обврзница DO2015/36-0830dk</v>
          </cell>
        </row>
        <row r="177">
          <cell r="A177" t="str">
            <v>Р. Македонија - државна обврзница DO2016/04-0131dk</v>
          </cell>
        </row>
        <row r="178">
          <cell r="A178" t="str">
            <v>Р. Македонија - државна обврзница DO2019/04-0234</v>
          </cell>
          <cell r="B178">
            <v>101</v>
          </cell>
        </row>
        <row r="179">
          <cell r="A179" t="str">
            <v>Р. Македонија - државна обврзница DO2016/16-0731dk</v>
          </cell>
        </row>
        <row r="180">
          <cell r="A180" t="str">
            <v>Р. Македонија - државна обврзница DO2015/03-0125</v>
          </cell>
        </row>
        <row r="181">
          <cell r="A181" t="str">
            <v>Р. Македонија - државна обврзница DO2015/04-0125dk</v>
          </cell>
        </row>
        <row r="182">
          <cell r="A182" t="str">
            <v>Р. Македонија - државна обврзница DO2017/18-0632dk</v>
          </cell>
        </row>
        <row r="183">
          <cell r="A183" t="str">
            <v>Р. Македонија - државна обврзница DO2016/22-0931dk</v>
          </cell>
        </row>
        <row r="184">
          <cell r="A184" t="str">
            <v>Р. Македонија - државна обврзница DO2015/41-1030dk</v>
          </cell>
        </row>
        <row r="185">
          <cell r="A185" t="str">
            <v>Р. Македонија - државна обврзница DO2020/10-1035</v>
          </cell>
        </row>
        <row r="186">
          <cell r="A186" t="str">
            <v>Р. Македонија - државна обврзница DO2020/01-0150dk</v>
          </cell>
        </row>
        <row r="187">
          <cell r="A187" t="str">
            <v>Р. Македонија - државна обврзница DO2017/11-0332dk</v>
          </cell>
        </row>
        <row r="188">
          <cell r="A188" t="str">
            <v>Р. Македонија - државна обврзница DO2020/04-0450dk</v>
          </cell>
        </row>
        <row r="189">
          <cell r="A189" t="str">
            <v>Р. Македонија - државна обврзница DO2015/29-0730dk</v>
          </cell>
        </row>
        <row r="190">
          <cell r="A190" t="str">
            <v>Р. Македонија - државна обврзница DO2014/30-1024dk</v>
          </cell>
        </row>
        <row r="191">
          <cell r="A191" t="str">
            <v>Р. Македонија - државна обврзница DO2017/37-1132dk</v>
          </cell>
        </row>
        <row r="192">
          <cell r="A192" t="str">
            <v>Р. Македонија - државна обврзница DO2019/02-0149dk</v>
          </cell>
        </row>
        <row r="193">
          <cell r="A193" t="str">
            <v>Р. Македонија - државна обврзница DO2016/10-0331dk</v>
          </cell>
        </row>
        <row r="194">
          <cell r="A194" t="str">
            <v>Р. Македонија - државна обврзница DO2019/14-1049dk</v>
          </cell>
          <cell r="B194">
            <v>103.5</v>
          </cell>
        </row>
        <row r="195">
          <cell r="A195" t="str">
            <v>Р. Македонија - денационализација 10</v>
          </cell>
          <cell r="B195">
            <v>99</v>
          </cell>
        </row>
        <row r="196">
          <cell r="A196" t="str">
            <v>Р. Македонија - денационализација 11</v>
          </cell>
          <cell r="B196">
            <v>99.7</v>
          </cell>
        </row>
        <row r="197">
          <cell r="A197" t="str">
            <v>Р. Македонија - денационализација 12</v>
          </cell>
          <cell r="B197">
            <v>99.5</v>
          </cell>
        </row>
        <row r="198">
          <cell r="A198" t="str">
            <v>Р. Македонија - денационализација 13</v>
          </cell>
          <cell r="B198">
            <v>99</v>
          </cell>
        </row>
        <row r="199">
          <cell r="A199" t="str">
            <v>Р. Македонија - денационализација 14</v>
          </cell>
          <cell r="B199">
            <v>99</v>
          </cell>
        </row>
        <row r="200">
          <cell r="A200" t="str">
            <v>Р. Македонија - денационализација 15</v>
          </cell>
          <cell r="B200">
            <v>99</v>
          </cell>
        </row>
        <row r="201">
          <cell r="A201" t="str">
            <v>Р. Македонија - денационализација 16</v>
          </cell>
          <cell r="B201">
            <v>99</v>
          </cell>
        </row>
        <row r="202">
          <cell r="A202" t="str">
            <v>Р. Македонија - денационализација 17</v>
          </cell>
        </row>
        <row r="203">
          <cell r="A203" t="str">
            <v>Р. Македонија - денационализација 18</v>
          </cell>
          <cell r="B203">
            <v>99</v>
          </cell>
        </row>
        <row r="204">
          <cell r="A204" t="str">
            <v>ТТК банка АД Скопје - корпоративна обврзница I емисија</v>
          </cell>
          <cell r="B204">
            <v>100</v>
          </cell>
        </row>
        <row r="205">
          <cell r="A205" t="str">
            <v>ТТК банка АД Скопје - корпоративна обврзница II емисија</v>
          </cell>
        </row>
        <row r="206">
          <cell r="A206" t="str">
            <v>Берзанска котација - други хартии од вредност</v>
          </cell>
        </row>
        <row r="207">
          <cell r="A207" t="str">
            <v>Универзална Инвестициона Банка Скопје - перпетуални обврзници</v>
          </cell>
          <cell r="B207">
            <v>101.5</v>
          </cell>
        </row>
        <row r="208">
          <cell r="A208" t="str">
            <v>Задолжителна котација - обични акции</v>
          </cell>
        </row>
        <row r="209">
          <cell r="A209" t="str">
            <v>Адинг Скопје</v>
          </cell>
          <cell r="B209">
            <v>679</v>
          </cell>
        </row>
        <row r="210">
          <cell r="A210" t="str">
            <v>Агроплод Ресен</v>
          </cell>
          <cell r="B210">
            <v>11900</v>
          </cell>
        </row>
        <row r="211">
          <cell r="A211" t="str">
            <v>Агромеханика Скопје</v>
          </cell>
          <cell r="B211">
            <v>300</v>
          </cell>
        </row>
        <row r="212">
          <cell r="A212" t="str">
            <v>Ангропромет-Тиквешанка Кавадарци</v>
          </cell>
        </row>
        <row r="213">
          <cell r="A213" t="str">
            <v>Аутомакедонија Скопје</v>
          </cell>
          <cell r="B213">
            <v>2160</v>
          </cell>
        </row>
        <row r="214">
          <cell r="A214" t="str">
            <v>Рудници Бањани Скопје</v>
          </cell>
          <cell r="B214">
            <v>603</v>
          </cell>
        </row>
        <row r="215">
          <cell r="A215" t="str">
            <v>Кристал 1923 АД Велес</v>
          </cell>
          <cell r="B215">
            <v>149</v>
          </cell>
        </row>
        <row r="216">
          <cell r="A216" t="str">
            <v>БИМ Свети Николе</v>
          </cell>
          <cell r="B216">
            <v>12300</v>
          </cell>
        </row>
        <row r="217">
          <cell r="A217" t="str">
            <v>Благој Туфанов Радовиш</v>
          </cell>
          <cell r="B217">
            <v>100</v>
          </cell>
        </row>
        <row r="218">
          <cell r="A218" t="str">
            <v>ФЗЦ 11 Октомври Куманово</v>
          </cell>
          <cell r="B218">
            <v>400</v>
          </cell>
        </row>
        <row r="219">
          <cell r="A219" t="str">
            <v>Централна кооперативна банка Скопје</v>
          </cell>
          <cell r="B219">
            <v>700</v>
          </cell>
        </row>
        <row r="220">
          <cell r="A220" t="str">
            <v>Дебарски бањи Дебар</v>
          </cell>
          <cell r="B220">
            <v>1550</v>
          </cell>
        </row>
        <row r="221">
          <cell r="A221" t="str">
            <v>Димко Митрев Велес</v>
          </cell>
          <cell r="B221">
            <v>185</v>
          </cell>
        </row>
        <row r="222">
          <cell r="A222" t="str">
            <v>Единство Струмица</v>
          </cell>
        </row>
        <row r="223">
          <cell r="A223" t="str">
            <v>Европа Скопје</v>
          </cell>
          <cell r="B223">
            <v>3301</v>
          </cell>
        </row>
        <row r="224">
          <cell r="A224" t="str">
            <v>Факом Скопје</v>
          </cell>
        </row>
        <row r="225">
          <cell r="A225" t="str">
            <v>Фустеларко Борец Битола</v>
          </cell>
        </row>
        <row r="226">
          <cell r="A226" t="str">
            <v>Герас Цунев конфекција Струмица</v>
          </cell>
          <cell r="B226">
            <v>500</v>
          </cell>
        </row>
        <row r="227">
          <cell r="A227" t="str">
            <v>Герас Цунев трговија Струмица</v>
          </cell>
          <cell r="B227">
            <v>500</v>
          </cell>
        </row>
        <row r="228">
          <cell r="A228" t="str">
            <v>Грозд Струмица</v>
          </cell>
          <cell r="B228">
            <v>2250</v>
          </cell>
        </row>
        <row r="229">
          <cell r="A229" t="str">
            <v>Градски Трговски Центар Скопје</v>
          </cell>
        </row>
        <row r="230">
          <cell r="A230" t="str">
            <v>ИДЕВЕЛОП Скопје</v>
          </cell>
          <cell r="B230">
            <v>20</v>
          </cell>
        </row>
        <row r="231">
          <cell r="A231" t="str">
            <v>Интерпромет Тетово</v>
          </cell>
          <cell r="B231">
            <v>1500</v>
          </cell>
        </row>
        <row r="232">
          <cell r="A232" t="str">
            <v>Осигурување Македонија АД Скопје - Виена Иншуренс Груп</v>
          </cell>
          <cell r="B232">
            <v>1261</v>
          </cell>
        </row>
        <row r="233">
          <cell r="A233" t="str">
            <v>Кланица со ладилник Струмица</v>
          </cell>
        </row>
        <row r="234">
          <cell r="A234" t="str">
            <v>Фруктал МАК Скопје</v>
          </cell>
        </row>
        <row r="235">
          <cell r="A235" t="str">
            <v>Карпош Скопје</v>
          </cell>
        </row>
        <row r="236">
          <cell r="A236" t="str">
            <v>Карбо-Нова</v>
          </cell>
        </row>
        <row r="237">
          <cell r="A237" t="str">
            <v>Лотарија на Македонија Скопје</v>
          </cell>
        </row>
        <row r="238">
          <cell r="A238" t="str">
            <v>Пелистерка АД Скопје</v>
          </cell>
          <cell r="B238">
            <v>2400</v>
          </cell>
        </row>
        <row r="239">
          <cell r="A239" t="str">
            <v>Макпромет Штип</v>
          </cell>
          <cell r="B239">
            <v>570</v>
          </cell>
        </row>
        <row r="240">
          <cell r="A240" t="str">
            <v>Мермерен комбинат Прилеп</v>
          </cell>
        </row>
        <row r="241">
          <cell r="A241" t="str">
            <v>Мода Свети Николе</v>
          </cell>
        </row>
        <row r="242">
          <cell r="A242" t="str">
            <v>Вабтек МЗТ Скопје</v>
          </cell>
        </row>
        <row r="243">
          <cell r="A243" t="str">
            <v>МЗТ Пумпи Скопје</v>
          </cell>
        </row>
        <row r="244">
          <cell r="A244" t="str">
            <v>Огражден Струмица</v>
          </cell>
        </row>
        <row r="245">
          <cell r="A245" t="str">
            <v>Нова стоковна куќа Струмица</v>
          </cell>
        </row>
        <row r="246">
          <cell r="A246" t="str">
            <v>Оилко КДА Скопје</v>
          </cell>
        </row>
        <row r="247">
          <cell r="A247" t="str">
            <v>ОКТА Скопје</v>
          </cell>
        </row>
        <row r="248">
          <cell r="A248" t="str">
            <v>Оранжерии Хамзали Струмица</v>
          </cell>
        </row>
        <row r="249">
          <cell r="A249" t="str">
            <v>Пекабеско Скопје</v>
          </cell>
        </row>
        <row r="250">
          <cell r="A250" t="str">
            <v>Попова Кула Демир Капија</v>
          </cell>
        </row>
        <row r="251">
          <cell r="A251" t="str">
            <v>Прилепска Пиварница Прилеп</v>
          </cell>
        </row>
        <row r="252">
          <cell r="A252" t="str">
            <v>Раде Кончар Скопје</v>
          </cell>
        </row>
        <row r="253">
          <cell r="A253" t="str">
            <v>РЖ Економика Скопје</v>
          </cell>
        </row>
        <row r="254">
          <cell r="A254" t="str">
            <v>Арцелормиттал Скопје (ХРМ) Скопје</v>
          </cell>
        </row>
        <row r="255">
          <cell r="A255" t="str">
            <v>Либерти АД Скопје</v>
          </cell>
        </row>
        <row r="256">
          <cell r="A256" t="str">
            <v>РЖ Техничка контрола Скопје</v>
          </cell>
        </row>
        <row r="257">
          <cell r="A257" t="str">
            <v>РЖ Уготур Скопје</v>
          </cell>
        </row>
        <row r="258">
          <cell r="A258" t="str">
            <v>Современ дом Прилеп</v>
          </cell>
        </row>
        <row r="259">
          <cell r="A259" t="str">
            <v>Силекс Кратово</v>
          </cell>
        </row>
        <row r="260">
          <cell r="A260" t="str">
            <v>Сковин Скопје</v>
          </cell>
        </row>
        <row r="261">
          <cell r="A261" t="str">
            <v>Славеј Скопје</v>
          </cell>
        </row>
        <row r="262">
          <cell r="A262" t="str">
            <v>Струмичко поле с.Василево</v>
          </cell>
        </row>
        <row r="263">
          <cell r="A263" t="str">
            <v>Сигурносно стакло Прилеп</v>
          </cell>
        </row>
        <row r="264">
          <cell r="A264" t="str">
            <v>Стопанска банка Скопје</v>
          </cell>
        </row>
        <row r="265">
          <cell r="A265" t="str">
            <v>Стокопромет Скопје</v>
          </cell>
        </row>
        <row r="266">
          <cell r="A266" t="str">
            <v>Тајмиште Кичево</v>
          </cell>
        </row>
        <row r="267">
          <cell r="A267" t="str">
            <v>ТЕАЛ-Алумина Тетово</v>
          </cell>
        </row>
        <row r="268">
          <cell r="A268" t="str">
            <v>Технокомерц Скопје</v>
          </cell>
        </row>
        <row r="269">
          <cell r="A269" t="str">
            <v>Македонски Телеком Скопје</v>
          </cell>
        </row>
        <row r="270">
          <cell r="A270" t="str">
            <v>ГД-Тиквеш Кавадарци</v>
          </cell>
        </row>
        <row r="271">
          <cell r="A271" t="str">
            <v>НЛБ Банка АД Скопје</v>
          </cell>
        </row>
        <row r="272">
          <cell r="A272" t="str">
            <v>Трудбеник Охрид</v>
          </cell>
        </row>
        <row r="273">
          <cell r="A273" t="str">
            <v>Транскоп-Патнички сооб. Битола</v>
          </cell>
        </row>
        <row r="274">
          <cell r="A274" t="str">
            <v>Трготекстил малопродажба Скопје</v>
          </cell>
        </row>
        <row r="275">
          <cell r="A275" t="str">
            <v>Универзална Инвестициона Банка Скопје</v>
          </cell>
        </row>
        <row r="276">
          <cell r="A276" t="str">
            <v>Цементарница УСЈЕ Скопје</v>
          </cell>
        </row>
        <row r="277">
          <cell r="A277" t="str">
            <v>Триглав осигурување Скопје</v>
          </cell>
        </row>
        <row r="278">
          <cell r="A278" t="str">
            <v>Ветекс Велес</v>
          </cell>
        </row>
        <row r="279">
          <cell r="A279" t="str">
            <v>ЖАС Скопје</v>
          </cell>
        </row>
        <row r="280">
          <cell r="A280" t="str">
            <v>Жито Караорман Кичево</v>
          </cell>
        </row>
        <row r="281">
          <cell r="A281" t="str">
            <v>Жито Полог Тетово</v>
          </cell>
        </row>
        <row r="282">
          <cell r="A282" t="str">
            <v>Задолжителна котација - приоритетни акции</v>
          </cell>
        </row>
        <row r="283">
          <cell r="A283" t="str">
            <v>Стопанска банка Скопје</v>
          </cell>
        </row>
        <row r="284">
          <cell r="A284" t="str">
            <v>Редовен пазар</v>
          </cell>
        </row>
        <row r="285">
          <cell r="A285" t="str">
            <v>Пазар на акционерски друштва со посебни обврски за известување - обични акции</v>
          </cell>
        </row>
        <row r="286">
          <cell r="A286" t="str">
            <v>Агросервис Скопје</v>
          </cell>
        </row>
        <row r="287">
          <cell r="A287" t="str">
            <v>Шпаркасе банка Македонија АД Скопје</v>
          </cell>
        </row>
        <row r="288">
          <cell r="A288" t="str">
            <v>ЗЕМ Промет Скопје</v>
          </cell>
        </row>
        <row r="289">
          <cell r="A289" t="str">
            <v>Слободен пазар - обични акции</v>
          </cell>
        </row>
        <row r="290">
          <cell r="A290" t="str">
            <v>Караорман Скопје</v>
          </cell>
        </row>
        <row r="291">
          <cell r="A291" t="str">
            <v>Квасара Битола</v>
          </cell>
        </row>
        <row r="292">
          <cell r="A292" t="str">
            <v>Златара Рубин Скопје</v>
          </cell>
        </row>
        <row r="293">
          <cell r="A293" t="str">
            <v>БЛОКОВИ</v>
          </cell>
        </row>
        <row r="294">
          <cell r="A294" t="str">
            <v>Официјален пазар</v>
          </cell>
        </row>
        <row r="295">
          <cell r="A295" t="str">
            <v>Берзанска котација - обични акции</v>
          </cell>
        </row>
        <row r="296">
          <cell r="A296" t="str">
            <v>ЗК Пелагонија Битола</v>
          </cell>
        </row>
        <row r="297">
          <cell r="A297" t="str">
            <v>Вкупен промет на сите пазарни сегменти: 39.862.092,00</v>
          </cell>
        </row>
        <row r="298">
          <cell r="A298" t="str">
            <v>МБИ10</v>
          </cell>
        </row>
        <row r="299">
          <cell r="A299" t="str">
            <v>ОМБ</v>
          </cell>
        </row>
        <row r="300">
          <cell r="A300" t="str">
            <v>1 EUR = 61,6954 МКД</v>
          </cell>
        </row>
      </sheetData>
      <sheetData sheetId="1"/>
      <sheetData sheetId="2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  <cell r="B8">
            <v>12500.05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Тетекс Тетово</v>
          </cell>
        </row>
        <row r="28">
          <cell r="A28" t="str">
            <v>Тутунски комбинат Прилеп</v>
          </cell>
        </row>
        <row r="29">
          <cell r="A29" t="str">
            <v>ВВ Тиквеш АД Кавадарци</v>
          </cell>
          <cell r="B29">
            <v>4502</v>
          </cell>
        </row>
        <row r="30">
          <cell r="A30" t="str">
            <v>ТТК Банка АД Скопје</v>
          </cell>
        </row>
        <row r="31">
          <cell r="A31" t="str">
            <v>Витаминка Прилеп</v>
          </cell>
        </row>
        <row r="32">
          <cell r="A32" t="str">
            <v>Жито Лукс Скопје</v>
          </cell>
        </row>
        <row r="33">
          <cell r="A33" t="str">
            <v>ЗК Пелагонија Битола</v>
          </cell>
        </row>
        <row r="34">
          <cell r="A34" t="str">
            <v>Берзанска котација - приоритетни акции</v>
          </cell>
        </row>
        <row r="35">
          <cell r="A35" t="str">
            <v>Скопски пазар Скопје</v>
          </cell>
        </row>
        <row r="36">
          <cell r="A36" t="str">
            <v>Жито лукс Скопје</v>
          </cell>
        </row>
        <row r="37">
          <cell r="A37" t="str">
            <v>Берзанска котација - обврзници</v>
          </cell>
        </row>
        <row r="38">
          <cell r="A38" t="str">
            <v>Централна кооперативна банка АД Скопје - конвертибилни обврзници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DO2018/24-1120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DO2017/34-1120</v>
          </cell>
        </row>
        <row r="46">
          <cell r="A46" t="str">
            <v>Р. Македонија - државна обврзница DO2017/35-1132dk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DO2017/14-0532dk</v>
          </cell>
        </row>
        <row r="51">
          <cell r="A51" t="str">
            <v>Р. Македонија - државна обврзница DO2015/19-0630dk</v>
          </cell>
        </row>
        <row r="52">
          <cell r="A52" t="str">
            <v>Р. Македонија - државна обврзница DO2014/19-0924dk</v>
          </cell>
        </row>
        <row r="53">
          <cell r="A53" t="str">
            <v>Р. Македонија - државна обврзница DO2018/21-1021dk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DO2020/03-0325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државна обврзница DO2017/29-1020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DO2019/16-1234dk</v>
          </cell>
        </row>
        <row r="60">
          <cell r="A60" t="str">
            <v>Р. Македонија - државна обврзница DO2017/12-0432dk</v>
          </cell>
        </row>
        <row r="61">
          <cell r="A61" t="str">
            <v>Р. Македонија - државна обврзница DO2017/19-0732dk</v>
          </cell>
        </row>
        <row r="62">
          <cell r="A62" t="str">
            <v>Р. Македонија - државна обврзница DO2015/30-0825dk</v>
          </cell>
        </row>
        <row r="63">
          <cell r="A63" t="str">
            <v>Р. Македонија - државна обврзница DO2015/31-0830dk</v>
          </cell>
        </row>
        <row r="64">
          <cell r="A64" t="str">
            <v>Р. Македонија - државна обврзница DO2020/07-0850dk</v>
          </cell>
        </row>
        <row r="65">
          <cell r="A65" t="str">
            <v>Р. Македонија - државна обврзница DO2018/28-1220dk</v>
          </cell>
        </row>
        <row r="66">
          <cell r="A66" t="str">
            <v>Р. Македонија - државна обврзница DO2019/05-0324</v>
          </cell>
        </row>
        <row r="67">
          <cell r="A67" t="str">
            <v>Р. Македонија - државна обврзница DO2016/11-0426dk</v>
          </cell>
        </row>
        <row r="68">
          <cell r="A68" t="str">
            <v>Р. Македонија - државна обврзница DO2015/17-0530dk</v>
          </cell>
        </row>
        <row r="69">
          <cell r="A69" t="str">
            <v>Р. Македонија - државна обврзница DO2018/12-0633</v>
          </cell>
        </row>
        <row r="70">
          <cell r="A70" t="str">
            <v>Р. Македонија - државна обврзница DO2017/26-0932dk</v>
          </cell>
        </row>
        <row r="71">
          <cell r="A71" t="str">
            <v>Р. Македонија - државна обврзница DO2019/15-1134</v>
          </cell>
        </row>
        <row r="72">
          <cell r="A72" t="str">
            <v>Р. Македонија - државна обврзница DO2017/38-1232dk</v>
          </cell>
        </row>
        <row r="73">
          <cell r="A73" t="str">
            <v>Р. Македонија - државна обврзница DO2018/10-0333dk</v>
          </cell>
        </row>
        <row r="74">
          <cell r="A74" t="str">
            <v>Р. Македонија - државна обврзница DO2017/16-0632dk</v>
          </cell>
        </row>
        <row r="75">
          <cell r="A75" t="str">
            <v>Р. Македонија - државна обврзница DO2016/15-0731dk</v>
          </cell>
        </row>
        <row r="76">
          <cell r="A76" t="str">
            <v>Р. Македонија - државна обврзница DO2019/11-0834dk</v>
          </cell>
        </row>
        <row r="77">
          <cell r="A77" t="str">
            <v>Р. Македонија - државна обврзница DO2015/40-1030dk</v>
          </cell>
        </row>
        <row r="78">
          <cell r="A78" t="str">
            <v>Р. Македонија - државна обврзница DO2017/08-0332dk</v>
          </cell>
        </row>
        <row r="79">
          <cell r="A79" t="str">
            <v>Р. Македонија - државна обврзница DO2016/13-0631dk</v>
          </cell>
        </row>
        <row r="80">
          <cell r="A80" t="str">
            <v>Р. Македонија - државна обврзница DO2015/23-0725</v>
          </cell>
        </row>
        <row r="81">
          <cell r="A81" t="str">
            <v>Р. Македонија - државна обврзница DO2015/24-0725dk</v>
          </cell>
        </row>
        <row r="82">
          <cell r="A82" t="str">
            <v>Р. Македонија - државна обврзница DO2015/25-0730dk</v>
          </cell>
        </row>
        <row r="83">
          <cell r="A83" t="str">
            <v>Р. Македонија - државна обврзница DO2018/16-0821</v>
          </cell>
        </row>
        <row r="84">
          <cell r="A84" t="str">
            <v>Р. Македонија - државна обврзница DO2018/17-0833dk</v>
          </cell>
        </row>
        <row r="85">
          <cell r="A85" t="str">
            <v>Р. Македонија - државна обврзница DO2017/21-0822dk</v>
          </cell>
        </row>
        <row r="86">
          <cell r="A86" t="str">
            <v>Р. Македонија - државна обврзница DO2017/22-0832dk</v>
          </cell>
        </row>
        <row r="87">
          <cell r="A87" t="str">
            <v>Р. Македонија - државна обврзница DO2018/01-0121</v>
          </cell>
        </row>
        <row r="88">
          <cell r="A88" t="str">
            <v>Р. Македонија - државна обврзница DO2018/02-0128</v>
          </cell>
        </row>
        <row r="89">
          <cell r="A89" t="str">
            <v>Р. Македонија - државна обврзница DO2018/03-0133dk</v>
          </cell>
        </row>
        <row r="90">
          <cell r="A90" t="str">
            <v>Р. Македонија - државна обврзница DO2016/05-0226</v>
          </cell>
        </row>
        <row r="91">
          <cell r="A91" t="str">
            <v>Р. Македонија - државна обврзница DO2016/06-0226dk</v>
          </cell>
        </row>
        <row r="92">
          <cell r="A92" t="str">
            <v>Р. Македонија - државна обврзница DO2016/07-0231dk</v>
          </cell>
        </row>
        <row r="93">
          <cell r="A93" t="str">
            <v>Р. Македонија - државна обврзница DO2017/02-0132dk</v>
          </cell>
        </row>
        <row r="94">
          <cell r="A94" t="str">
            <v>Р. Македонија - државна обврзница DO2015/05-0230dk</v>
          </cell>
        </row>
        <row r="95">
          <cell r="A95" t="str">
            <v>Р. Македонија - државна обврзница DO2015/09-0325</v>
          </cell>
        </row>
        <row r="96">
          <cell r="A96" t="str">
            <v>Р. Македонија - државна обврзница DO2015/10-0330dk</v>
          </cell>
        </row>
        <row r="97">
          <cell r="A97" t="str">
            <v>Р. Македонија - државна обврзница DO2020/02-0235</v>
          </cell>
        </row>
        <row r="98">
          <cell r="A98" t="str">
            <v>Р. Македонија - државна обврзница DO2016/01-0126dk</v>
          </cell>
        </row>
        <row r="99">
          <cell r="A99" t="str">
            <v>Р. Македонија - државна обврзница DO2016/02-0131dk</v>
          </cell>
        </row>
        <row r="100">
          <cell r="A100" t="str">
            <v>Р. Македонија - државна обврзница DO2019/03-0224dk</v>
          </cell>
        </row>
        <row r="101">
          <cell r="A101" t="str">
            <v>Р. Македонија - државна обврзница DO2016/12-0431dk</v>
          </cell>
        </row>
        <row r="102">
          <cell r="A102" t="str">
            <v>Р. Македонија - државна обврзница DO2020/05-0522</v>
          </cell>
        </row>
        <row r="103">
          <cell r="A103" t="str">
            <v>Р. Македонија - државна обврзница DO2016/23-1031dk</v>
          </cell>
        </row>
        <row r="104">
          <cell r="A104" t="str">
            <v>Р. Македонија - државна обврзница DO2018/06-0221</v>
          </cell>
        </row>
        <row r="105">
          <cell r="A105" t="str">
            <v>Р. Македонија - државна обврзница DO2018/07-0223</v>
          </cell>
        </row>
        <row r="106">
          <cell r="A106" t="str">
            <v>Р. Македонија - државна обврзница DO2018/08-0233dk</v>
          </cell>
        </row>
        <row r="107">
          <cell r="A107" t="str">
            <v>Р. Македонија - државна обврзница DO2017/06-0232dk</v>
          </cell>
        </row>
        <row r="108">
          <cell r="A108" t="str">
            <v>Р. Македонија - државна обврзница DO2015/15-0430dk</v>
          </cell>
        </row>
        <row r="109">
          <cell r="A109" t="str">
            <v>Р. Македонија - државна обврзница DO2019/08-0524</v>
          </cell>
        </row>
        <row r="110">
          <cell r="A110" t="str">
            <v>Р. Македонија - државна обврзница DO2019/09-0534</v>
          </cell>
        </row>
        <row r="111">
          <cell r="A111" t="str">
            <v>Р. Македонија - државна обврзница DO2014/27-1024</v>
          </cell>
        </row>
        <row r="112">
          <cell r="A112" t="str">
            <v>Р. Македонија - државна обврзница DO2014/28-1024dk</v>
          </cell>
        </row>
        <row r="113">
          <cell r="A113" t="str">
            <v>Р. Македонија - државна обврзница DO2019/01-0121</v>
          </cell>
        </row>
        <row r="114">
          <cell r="A114" t="str">
            <v>Р. Македонија - државна обврзница DO2016/08-0331dk</v>
          </cell>
        </row>
        <row r="115">
          <cell r="A115" t="str">
            <v>Р. Македонија - државна обврзница DO2017/23-0822dk</v>
          </cell>
        </row>
        <row r="116">
          <cell r="A116" t="str">
            <v>Р. Македонија - државна обврзница DO2017/24-0832dk</v>
          </cell>
        </row>
        <row r="117">
          <cell r="A117" t="str">
            <v>Р. Македонија - државна обврзница DO2015/37-0930dk</v>
          </cell>
        </row>
        <row r="118">
          <cell r="A118" t="str">
            <v>Р. Македонија - државна обврзница DO2019/13-1024</v>
          </cell>
        </row>
        <row r="119">
          <cell r="A119" t="str">
            <v>Р. Македонија - државна обврзница DO2015/45-1225dk</v>
          </cell>
        </row>
        <row r="120">
          <cell r="A120" t="str">
            <v>Р. Македонија - државна обврзница DO2019/06-0449dk</v>
          </cell>
        </row>
        <row r="121">
          <cell r="A121" t="str">
            <v>Р. Македонија - државна обврзница DO2020/06-0635</v>
          </cell>
        </row>
        <row r="122">
          <cell r="A122" t="str">
            <v>Р. Македонија - државна обврзница DO2019/10-0749dk</v>
          </cell>
        </row>
        <row r="123">
          <cell r="A123" t="str">
            <v>Р. Македонија - државна обврзница DO2016/17-0826</v>
          </cell>
        </row>
        <row r="124">
          <cell r="A124" t="str">
            <v>Р. Македонија - државна обврзница DO2016/18-0826dk</v>
          </cell>
        </row>
        <row r="125">
          <cell r="A125" t="str">
            <v>Р. Македонија - државна обврзница DO2016/19-0831dk</v>
          </cell>
        </row>
        <row r="126">
          <cell r="A126" t="str">
            <v>Р. Македонија - државна обврзница DO2018/22-1020dk</v>
          </cell>
        </row>
        <row r="127">
          <cell r="A127" t="str">
            <v>Р. Македонија - државна обврзница DO2018/23-1048dk</v>
          </cell>
        </row>
        <row r="128">
          <cell r="A128" t="str">
            <v>Р. Македонија - државна обврзница DO2018/14-0723</v>
          </cell>
        </row>
        <row r="129">
          <cell r="A129" t="str">
            <v>Р. Македонија - државна обврзница DO2018/15-0748dk</v>
          </cell>
        </row>
        <row r="130">
          <cell r="A130" t="str">
            <v>Р. Македонија - државна обврзница DO2019/12-0934</v>
          </cell>
          <cell r="B130">
            <v>100</v>
          </cell>
        </row>
        <row r="131">
          <cell r="A131" t="str">
            <v>Р. Македонија - државна обврзница DO2017/32-1032dk</v>
          </cell>
        </row>
        <row r="132">
          <cell r="A132" t="str">
            <v>Р. Македонија - државна обврзница DO2015/42-1125dk</v>
          </cell>
        </row>
        <row r="133">
          <cell r="A133" t="str">
            <v>Р. Македонија - државна обврзница DO2015/43-1130dk</v>
          </cell>
        </row>
        <row r="134">
          <cell r="A134" t="str">
            <v>Р. Македонија - државна обврзница DO2017/20-0732dk</v>
          </cell>
        </row>
        <row r="135">
          <cell r="A135" t="str">
            <v>Р. Македонија - државна обврзница DO2015/32-0825</v>
          </cell>
        </row>
        <row r="136">
          <cell r="A136" t="str">
            <v>Р. Македонија - државна обврзница DO2015/33-0830dk</v>
          </cell>
        </row>
        <row r="137">
          <cell r="A137" t="str">
            <v>Р. Македонија - државна обврзница DO2018/18-0921</v>
          </cell>
        </row>
        <row r="138">
          <cell r="A138" t="str">
            <v>Р. Македонија - државна обврзница DO2018/19-0933</v>
          </cell>
        </row>
        <row r="139">
          <cell r="A139" t="str">
            <v>Р. Македонија - државна обврзница DO2018/20-0933dk</v>
          </cell>
        </row>
        <row r="140">
          <cell r="A140" t="str">
            <v>Р. Македонија - државна обврзница DO2015/18-0525dk</v>
          </cell>
        </row>
        <row r="141">
          <cell r="A141" t="str">
            <v>Р. Македонија - државна обврзница DO2018/13-0633dk</v>
          </cell>
        </row>
        <row r="142">
          <cell r="A142" t="str">
            <v>Р. Македонија - државна обврзница DO2014/18-0824dk</v>
          </cell>
        </row>
        <row r="143">
          <cell r="A143" t="str">
            <v>Р. Македонија - државна обврзница DO2017/27-0932dk</v>
          </cell>
        </row>
        <row r="144">
          <cell r="A144" t="str">
            <v>Р. Македонија - државна обврзница DO2016/03-0131dk</v>
          </cell>
        </row>
        <row r="145">
          <cell r="A145" t="str">
            <v>Р. Македонија - државна обврзница DO2017/17-0632dk</v>
          </cell>
        </row>
        <row r="146">
          <cell r="A146" t="str">
            <v>Р. Македонија - државна обврзница DO2016/21-0931dk</v>
          </cell>
        </row>
        <row r="147">
          <cell r="A147" t="str">
            <v>Р. Македонија - државна обврзница DO2018/26-1120dk</v>
          </cell>
        </row>
        <row r="148">
          <cell r="A148" t="str">
            <v>Р. Македонија - државна обврзница DO2018/27-1133dk</v>
          </cell>
          <cell r="B148">
            <v>106.8</v>
          </cell>
        </row>
        <row r="149">
          <cell r="A149" t="str">
            <v>Р. Македонија - државна обврзница DO2016/29-1231dk</v>
          </cell>
        </row>
        <row r="150">
          <cell r="A150" t="str">
            <v>Р. Македонија - државна обврзница DO2014/02-0124</v>
          </cell>
        </row>
        <row r="151">
          <cell r="A151" t="str">
            <v>Р. Македонија - државна обврзница DO2014/03-0124dk</v>
          </cell>
        </row>
        <row r="152">
          <cell r="A152" t="str">
            <v>Р. Македонија - државна обврзница DO2017/10-0332dk</v>
          </cell>
        </row>
        <row r="153">
          <cell r="A153" t="str">
            <v>Р. Македонија - државна обврзница DO2016/14-0631dk</v>
          </cell>
        </row>
        <row r="154">
          <cell r="A154" t="str">
            <v>Р. Македонија - државна обврзница DO2015/27-0725dk</v>
          </cell>
        </row>
        <row r="155">
          <cell r="A155" t="str">
            <v>Р. Македонија - државна обврзница DO2015/28-0730dk</v>
          </cell>
        </row>
        <row r="156">
          <cell r="A156" t="str">
            <v>Р. Македонија - државна обврзница DO2017/36-1132dk</v>
          </cell>
        </row>
        <row r="157">
          <cell r="A157" t="str">
            <v>Р. Македонија - државна обврзница DO2016/09-0326</v>
          </cell>
        </row>
        <row r="158">
          <cell r="A158" t="str">
            <v>Р. Македонија - државна обврзница DO2014/17-0724dk</v>
          </cell>
        </row>
        <row r="159">
          <cell r="A159" t="str">
            <v>Р. Македонија - државна обврзница DO2015/38-0925dk</v>
          </cell>
        </row>
        <row r="160">
          <cell r="A160" t="str">
            <v>Р. Македонија - државна обврзница DO2015/39-0930dk</v>
          </cell>
        </row>
        <row r="161">
          <cell r="A161" t="str">
            <v>Р. Македонија - државна обврзница DO2015/46-1225dk</v>
          </cell>
        </row>
        <row r="162">
          <cell r="A162" t="str">
            <v>Р. Македонија - државна обврзница DO2018/04-0133</v>
          </cell>
        </row>
        <row r="163">
          <cell r="A163" t="str">
            <v>Р. Македонија - државна обврзница DO2018/05-0133dk</v>
          </cell>
        </row>
        <row r="164">
          <cell r="A164" t="str">
            <v>Р. Македонија - државна обврзница DO2015/20-0625</v>
          </cell>
        </row>
        <row r="165">
          <cell r="A165" t="str">
            <v>Р. Македонија - државна обврзница DO2015/21-0625dk</v>
          </cell>
        </row>
        <row r="166">
          <cell r="A166" t="str">
            <v>Р. Македонија - државна обврзница DO2015/22-0630dk</v>
          </cell>
        </row>
        <row r="167">
          <cell r="A167" t="str">
            <v>Р. Македонија - државна обврзница DO2017/05-0132dk</v>
          </cell>
        </row>
        <row r="168">
          <cell r="A168" t="str">
            <v>Р. Македонија - државна обврзница DO2015/08-0230dk</v>
          </cell>
        </row>
        <row r="169">
          <cell r="A169" t="str">
            <v>Р. Македонија - државна обврзница DO2015/12-0325</v>
          </cell>
        </row>
        <row r="170">
          <cell r="A170" t="str">
            <v>Р. Македонија - државна обврзница DO2015/13-0330dk</v>
          </cell>
        </row>
        <row r="171">
          <cell r="A171" t="str">
            <v>Р. Македонија - државна обврзница DO2018/11-0448dk</v>
          </cell>
        </row>
        <row r="172">
          <cell r="A172" t="str">
            <v>Р. Македонија - државна обврзница DO2015/34-0825</v>
          </cell>
        </row>
        <row r="173">
          <cell r="A173" t="str">
            <v>Р. Македонија - државна обврзница DO2015/35-0825dk</v>
          </cell>
        </row>
        <row r="174">
          <cell r="A174" t="str">
            <v>Р. Македонија - државна обврзница DO2015/36-0830dk</v>
          </cell>
        </row>
        <row r="175">
          <cell r="A175" t="str">
            <v>Р. Македонија - државна обврзница DO2018/29-1220dk</v>
          </cell>
        </row>
        <row r="176">
          <cell r="A176" t="str">
            <v>Р. Македонија - државна обврзница DO2016/04-0131dk</v>
          </cell>
        </row>
        <row r="177">
          <cell r="A177" t="str">
            <v>Р. Македонија - државна обврзница DO2019/04-0234</v>
          </cell>
          <cell r="B177">
            <v>101</v>
          </cell>
        </row>
        <row r="178">
          <cell r="A178" t="str">
            <v>Р. Македонија - државна обврзница DO2016/16-0731dk</v>
          </cell>
        </row>
        <row r="179">
          <cell r="A179" t="str">
            <v>Р. Македонија - државна обврзница DO2015/03-0125</v>
          </cell>
        </row>
        <row r="180">
          <cell r="A180" t="str">
            <v>Р. Македонија - државна обврзница DO2015/04-0125dk</v>
          </cell>
        </row>
        <row r="181">
          <cell r="A181" t="str">
            <v>Р. Македонија - државна обврзница DO2017/18-0632dk</v>
          </cell>
        </row>
        <row r="182">
          <cell r="A182" t="str">
            <v>Р. Македонија - државна обврзница DO2016/22-0931dk</v>
          </cell>
        </row>
        <row r="183">
          <cell r="A183" t="str">
            <v>Р. Македонија - државна обврзница DO2015/41-1030dk</v>
          </cell>
        </row>
        <row r="184">
          <cell r="A184" t="str">
            <v>Р. Македонија - државна обврзница DO2020/01-0150dk</v>
          </cell>
        </row>
        <row r="185">
          <cell r="A185" t="str">
            <v>Р. Македонија - државна обврзница DO2017/11-0332dk</v>
          </cell>
        </row>
        <row r="186">
          <cell r="A186" t="str">
            <v>Р. Македонија - државна обврзница DO2020/04-0450dk</v>
          </cell>
        </row>
        <row r="187">
          <cell r="A187" t="str">
            <v>Р. Македонија - државна обврзница DO2015/29-0730dk</v>
          </cell>
        </row>
        <row r="188">
          <cell r="A188" t="str">
            <v>Р. Македонија - државна обврзница DO2014/30-1024dk</v>
          </cell>
        </row>
        <row r="189">
          <cell r="A189" t="str">
            <v>Р. Македонија - државна обврзница DO2017/37-1132dk</v>
          </cell>
        </row>
        <row r="190">
          <cell r="A190" t="str">
            <v>Р. Македонија - државна обврзница DO2019/02-0149dk</v>
          </cell>
        </row>
        <row r="191">
          <cell r="A191" t="str">
            <v>Р. Македонија - државна обврзница DO2016/10-0331dk</v>
          </cell>
        </row>
        <row r="192">
          <cell r="A192" t="str">
            <v>Р. Македонија - државна обврзница DO2019/14-1049dk</v>
          </cell>
        </row>
        <row r="193">
          <cell r="A193" t="str">
            <v>Р. Македонија - денационализација 10</v>
          </cell>
          <cell r="B193">
            <v>99</v>
          </cell>
        </row>
        <row r="194">
          <cell r="A194" t="str">
            <v>Р. Македонија - денационализација 11</v>
          </cell>
          <cell r="B194">
            <v>99</v>
          </cell>
        </row>
        <row r="195">
          <cell r="A195" t="str">
            <v>Р. Македонија - денационализација 12</v>
          </cell>
          <cell r="B195">
            <v>99.5</v>
          </cell>
        </row>
        <row r="196">
          <cell r="A196" t="str">
            <v>Р. Македонија - денационализација 13</v>
          </cell>
          <cell r="B196">
            <v>99</v>
          </cell>
        </row>
        <row r="197">
          <cell r="A197" t="str">
            <v>Р. Македонија - денационализација 14</v>
          </cell>
          <cell r="B197">
            <v>99.2</v>
          </cell>
        </row>
        <row r="198">
          <cell r="A198" t="str">
            <v>Р. Македонија - денационализација 15</v>
          </cell>
          <cell r="B198">
            <v>99</v>
          </cell>
        </row>
        <row r="199">
          <cell r="A199" t="str">
            <v>Р. Македонија - денационализација 16</v>
          </cell>
          <cell r="B199">
            <v>99</v>
          </cell>
        </row>
        <row r="200">
          <cell r="A200" t="str">
            <v>Р. Македонија - денационализација 17</v>
          </cell>
          <cell r="B200">
            <v>99</v>
          </cell>
        </row>
        <row r="201">
          <cell r="A201" t="str">
            <v>Р. Македонија - денационализација 18</v>
          </cell>
          <cell r="B201">
            <v>99</v>
          </cell>
        </row>
        <row r="202">
          <cell r="A202" t="str">
            <v>ТТК банка АД Скопје - корпоративна обврзница I емисија</v>
          </cell>
        </row>
        <row r="203">
          <cell r="A203" t="str">
            <v>ТТК банка АД Скопје - корпоративна обврзница II емисија</v>
          </cell>
        </row>
        <row r="204">
          <cell r="A204" t="str">
            <v>Берзанска котација - други хартии од вредност</v>
          </cell>
        </row>
        <row r="205">
          <cell r="A205" t="str">
            <v>Универзална Инвестициона Банка Скопје - перпетуални обврзници</v>
          </cell>
          <cell r="B205">
            <v>101.5</v>
          </cell>
        </row>
        <row r="206">
          <cell r="A206" t="str">
            <v>Задолжителна котација - обични акции</v>
          </cell>
        </row>
        <row r="207">
          <cell r="A207" t="str">
            <v>Адинг Скопје</v>
          </cell>
          <cell r="B207">
            <v>618</v>
          </cell>
        </row>
        <row r="208">
          <cell r="A208" t="str">
            <v>Агроплод Ресен</v>
          </cell>
          <cell r="B208">
            <v>11900</v>
          </cell>
        </row>
        <row r="209">
          <cell r="A209" t="str">
            <v>Агромеханика Скопје</v>
          </cell>
          <cell r="B209">
            <v>300</v>
          </cell>
        </row>
        <row r="210">
          <cell r="A210" t="str">
            <v>Ангропромет-Тиквешанка Кавадарци</v>
          </cell>
          <cell r="B210">
            <v>750</v>
          </cell>
        </row>
        <row r="211">
          <cell r="A211" t="str">
            <v>Аутомакедонија Скопје</v>
          </cell>
          <cell r="B211">
            <v>2100</v>
          </cell>
        </row>
        <row r="212">
          <cell r="A212" t="str">
            <v>Рудници Бањани Скопје</v>
          </cell>
        </row>
        <row r="213">
          <cell r="A213" t="str">
            <v>Кристал 1923 АД Велес</v>
          </cell>
          <cell r="B213">
            <v>150</v>
          </cell>
        </row>
        <row r="214">
          <cell r="A214" t="str">
            <v>БИМ Свети Николе</v>
          </cell>
        </row>
        <row r="215">
          <cell r="A215" t="str">
            <v>Благој Туфанов Радовиш</v>
          </cell>
        </row>
        <row r="216">
          <cell r="A216" t="str">
            <v>ФЗЦ 11 Октомври Куманово</v>
          </cell>
          <cell r="B216">
            <v>600</v>
          </cell>
        </row>
        <row r="217">
          <cell r="A217" t="str">
            <v>Централна кооперативна банка Скопје</v>
          </cell>
          <cell r="B217">
            <v>700</v>
          </cell>
        </row>
        <row r="218">
          <cell r="A218" t="str">
            <v>Дебарски бањи Дебар</v>
          </cell>
        </row>
        <row r="219">
          <cell r="A219" t="str">
            <v>Димко Митрев Велес</v>
          </cell>
          <cell r="B219">
            <v>185</v>
          </cell>
        </row>
        <row r="220">
          <cell r="A220" t="str">
            <v>Единство Струмица</v>
          </cell>
          <cell r="B220">
            <v>303</v>
          </cell>
        </row>
        <row r="221">
          <cell r="A221" t="str">
            <v>Европа Скопје</v>
          </cell>
        </row>
        <row r="222">
          <cell r="A222" t="str">
            <v>Факом Скопје</v>
          </cell>
          <cell r="B222">
            <v>7200</v>
          </cell>
        </row>
        <row r="223">
          <cell r="A223" t="str">
            <v>Фустеларко Борец Битола</v>
          </cell>
          <cell r="B223">
            <v>1200</v>
          </cell>
        </row>
        <row r="224">
          <cell r="A224" t="str">
            <v>Герас Цунев конфекција Струмица</v>
          </cell>
        </row>
        <row r="225">
          <cell r="A225" t="str">
            <v>Герас Цунев трговија Струмица</v>
          </cell>
        </row>
        <row r="226">
          <cell r="A226" t="str">
            <v>Грозд Струмица</v>
          </cell>
        </row>
        <row r="227">
          <cell r="A227" t="str">
            <v>Градски Трговски Центар Скопје</v>
          </cell>
        </row>
        <row r="228">
          <cell r="A228" t="str">
            <v>ИДЕВЕЛОП Скопје</v>
          </cell>
        </row>
        <row r="229">
          <cell r="A229" t="str">
            <v>Интерпромет Тетово</v>
          </cell>
        </row>
        <row r="230">
          <cell r="A230" t="str">
            <v>Осигурување Македонија АД Скопје - Виена Иншуренс Груп</v>
          </cell>
        </row>
        <row r="231">
          <cell r="A231" t="str">
            <v>Кланица со ладилник Струмица</v>
          </cell>
        </row>
        <row r="232">
          <cell r="A232" t="str">
            <v>Фруктал МАК Скопје</v>
          </cell>
        </row>
        <row r="233">
          <cell r="A233" t="str">
            <v>Карпош Скопје</v>
          </cell>
        </row>
        <row r="234">
          <cell r="A234" t="str">
            <v>Карбо-Нова</v>
          </cell>
        </row>
        <row r="235">
          <cell r="A235" t="str">
            <v>Лотарија на Македонија Скопје</v>
          </cell>
        </row>
        <row r="236">
          <cell r="A236" t="str">
            <v>Пелистерка АД Скопје</v>
          </cell>
        </row>
        <row r="237">
          <cell r="A237" t="str">
            <v>Макпромет Штип</v>
          </cell>
        </row>
        <row r="238">
          <cell r="A238" t="str">
            <v>Мермерен комбинат Прилеп</v>
          </cell>
        </row>
        <row r="239">
          <cell r="A239" t="str">
            <v>Мода Свети Николе</v>
          </cell>
        </row>
        <row r="240">
          <cell r="A240" t="str">
            <v>Вабтек МЗТ Скопје</v>
          </cell>
        </row>
        <row r="241">
          <cell r="A241" t="str">
            <v>МЗТ Пумпи Скопје</v>
          </cell>
        </row>
        <row r="242">
          <cell r="A242" t="str">
            <v>Огражден Струмица</v>
          </cell>
        </row>
        <row r="243">
          <cell r="A243" t="str">
            <v>Нова стоковна куќа Струмица</v>
          </cell>
        </row>
        <row r="244">
          <cell r="A244" t="str">
            <v>Оилко КДА Скопје</v>
          </cell>
        </row>
        <row r="245">
          <cell r="A245" t="str">
            <v>ОКТА Скопје</v>
          </cell>
        </row>
        <row r="246">
          <cell r="A246" t="str">
            <v>Оранжерии Хамзали Струмица</v>
          </cell>
        </row>
        <row r="247">
          <cell r="A247" t="str">
            <v>Пекабеско Скопје</v>
          </cell>
        </row>
        <row r="248">
          <cell r="A248" t="str">
            <v>Попова Кула Демир Капија</v>
          </cell>
        </row>
        <row r="249">
          <cell r="A249" t="str">
            <v>Прилепска Пиварница Прилеп</v>
          </cell>
        </row>
        <row r="250">
          <cell r="A250" t="str">
            <v>Раде Кончар Скопје</v>
          </cell>
        </row>
        <row r="251">
          <cell r="A251" t="str">
            <v>РЖ Економика Скопје</v>
          </cell>
        </row>
        <row r="252">
          <cell r="A252" t="str">
            <v>Арцелормиттал Скопје (ХРМ) Скопје</v>
          </cell>
        </row>
        <row r="253">
          <cell r="A253" t="str">
            <v>Либерти АД Скопје</v>
          </cell>
        </row>
        <row r="254">
          <cell r="A254" t="str">
            <v>РЖ Техничка контрола Скопје</v>
          </cell>
        </row>
        <row r="255">
          <cell r="A255" t="str">
            <v>РЖ Уготур Скопје</v>
          </cell>
        </row>
        <row r="256">
          <cell r="A256" t="str">
            <v>Современ дом Прилеп</v>
          </cell>
        </row>
        <row r="257">
          <cell r="A257" t="str">
            <v>Силекс Кратово</v>
          </cell>
        </row>
        <row r="258">
          <cell r="A258" t="str">
            <v>Сковин Скопје</v>
          </cell>
        </row>
        <row r="259">
          <cell r="A259" t="str">
            <v>Славеј Скопје</v>
          </cell>
        </row>
        <row r="260">
          <cell r="A260" t="str">
            <v>Струмичко поле с.Василево</v>
          </cell>
        </row>
        <row r="261">
          <cell r="A261" t="str">
            <v>Сигурносно стакло Прилеп</v>
          </cell>
        </row>
        <row r="262">
          <cell r="A262" t="str">
            <v>Стопанска банка Скопје</v>
          </cell>
        </row>
        <row r="263">
          <cell r="A263" t="str">
            <v>Стокопромет Скопје</v>
          </cell>
        </row>
        <row r="264">
          <cell r="A264" t="str">
            <v>Тајмиште Кичево</v>
          </cell>
        </row>
        <row r="265">
          <cell r="A265" t="str">
            <v>ТЕАЛ-Алумина Тетово</v>
          </cell>
        </row>
        <row r="266">
          <cell r="A266" t="str">
            <v>Технокомерц Скопје</v>
          </cell>
        </row>
        <row r="267">
          <cell r="A267" t="str">
            <v>Македонски Телеком Скопје</v>
          </cell>
        </row>
        <row r="268">
          <cell r="A268" t="str">
            <v>ГД-Тиквеш Кавадарци</v>
          </cell>
        </row>
        <row r="269">
          <cell r="A269" t="str">
            <v>НЛБ Банка АД Скопје</v>
          </cell>
        </row>
        <row r="270">
          <cell r="A270" t="str">
            <v>Трудбеник Охрид</v>
          </cell>
        </row>
        <row r="271">
          <cell r="A271" t="str">
            <v>Транскоп-Патнички сооб. Битола</v>
          </cell>
        </row>
        <row r="272">
          <cell r="A272" t="str">
            <v>Трготекстил малопродажба Скопје</v>
          </cell>
        </row>
        <row r="273">
          <cell r="A273" t="str">
            <v>Универзална Инвестициона Банка Скопје</v>
          </cell>
        </row>
        <row r="274">
          <cell r="A274" t="str">
            <v>Цементарница УСЈЕ Скопје</v>
          </cell>
        </row>
        <row r="275">
          <cell r="A275" t="str">
            <v>Триглав осигурување Скопје</v>
          </cell>
        </row>
        <row r="276">
          <cell r="A276" t="str">
            <v>Ветекс Велес</v>
          </cell>
        </row>
        <row r="277">
          <cell r="A277" t="str">
            <v>ЖАС Скопје</v>
          </cell>
        </row>
        <row r="278">
          <cell r="A278" t="str">
            <v>Жито Караорман Кичево</v>
          </cell>
        </row>
        <row r="279">
          <cell r="A279" t="str">
            <v>Жито Полог Тетово</v>
          </cell>
        </row>
        <row r="280">
          <cell r="A280" t="str">
            <v>Задолжителна котација - приоритетни акции</v>
          </cell>
        </row>
        <row r="281">
          <cell r="A281" t="str">
            <v>Стопанска банка Скопје</v>
          </cell>
        </row>
        <row r="282">
          <cell r="A282" t="str">
            <v>Редовен пазар</v>
          </cell>
        </row>
        <row r="283">
          <cell r="A283" t="str">
            <v>Пазар на акционерски друштва со посебни обврски за известување - обични акции</v>
          </cell>
        </row>
        <row r="284">
          <cell r="A284" t="str">
            <v>Агросервис Скопје</v>
          </cell>
        </row>
        <row r="285">
          <cell r="A285" t="str">
            <v>Отекс Охрид</v>
          </cell>
        </row>
        <row r="286">
          <cell r="A286" t="str">
            <v>Слободен пазар - обични акции</v>
          </cell>
        </row>
        <row r="287">
          <cell r="A287" t="str">
            <v>Караорман Скопје</v>
          </cell>
        </row>
        <row r="288">
          <cell r="A288" t="str">
            <v>Квасара Битола</v>
          </cell>
        </row>
        <row r="289">
          <cell r="A289" t="str">
            <v>Вкупен промет на сите пазарни сегменти: 9.319.069,00</v>
          </cell>
        </row>
        <row r="290">
          <cell r="A290" t="str">
            <v>МБИ10</v>
          </cell>
        </row>
        <row r="291">
          <cell r="A291" t="str">
            <v>ОМБ</v>
          </cell>
        </row>
        <row r="292">
          <cell r="A292" t="str">
            <v>1 EUR = 61,6950 МКД</v>
          </cell>
        </row>
      </sheetData>
      <sheetData sheetId="1"/>
      <sheetData sheetId="2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  <cell r="B8">
            <v>12834.57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Тетекс Тетово</v>
          </cell>
        </row>
        <row r="28">
          <cell r="A28" t="str">
            <v>Тутунски комбинат Прилеп</v>
          </cell>
        </row>
        <row r="29">
          <cell r="A29" t="str">
            <v>ВВ Тиквеш АД Кавадарци</v>
          </cell>
          <cell r="B29">
            <v>4502</v>
          </cell>
        </row>
        <row r="30">
          <cell r="A30" t="str">
            <v>ТТК Банка АД Скопје</v>
          </cell>
        </row>
        <row r="31">
          <cell r="A31" t="str">
            <v>Витаминка Прилеп</v>
          </cell>
        </row>
        <row r="32">
          <cell r="A32" t="str">
            <v>Жито Лукс Скопје</v>
          </cell>
        </row>
        <row r="33">
          <cell r="A33" t="str">
            <v>ЗК Пелагонија Битола</v>
          </cell>
        </row>
        <row r="34">
          <cell r="A34" t="str">
            <v>Берзанска котација - приоритетни акции</v>
          </cell>
        </row>
        <row r="35">
          <cell r="A35" t="str">
            <v>Скопски пазар Скопје</v>
          </cell>
        </row>
        <row r="36">
          <cell r="A36" t="str">
            <v>Жито лукс Скопје</v>
          </cell>
        </row>
        <row r="37">
          <cell r="A37" t="str">
            <v>Берзанска котација - обврзници</v>
          </cell>
        </row>
        <row r="38">
          <cell r="A38" t="str">
            <v>Централна кооперативна банка АД Скопје - конвертибилни обврзници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DO2018/24-1120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DO2017/34-1120</v>
          </cell>
        </row>
        <row r="46">
          <cell r="A46" t="str">
            <v>Р. Македонија - државна обврзница DO2017/35-1132dk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DO2017/14-0532dk</v>
          </cell>
        </row>
        <row r="51">
          <cell r="A51" t="str">
            <v>Р. Македонија - државна обврзница DO2015/19-0630dk</v>
          </cell>
        </row>
        <row r="52">
          <cell r="A52" t="str">
            <v>Р. Македонија - државна обврзница DO2014/19-0924dk</v>
          </cell>
        </row>
        <row r="53">
          <cell r="A53" t="str">
            <v>Р. Македонија - државна обврзница DO2018/21-1021dk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DO2020/03-0325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државна обврзница DO2017/29-1020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DO2019/16-1234dk</v>
          </cell>
        </row>
        <row r="60">
          <cell r="A60" t="str">
            <v>Р. Македонија - државна обврзница DO2017/12-0432dk</v>
          </cell>
        </row>
        <row r="61">
          <cell r="A61" t="str">
            <v>Р. Македонија - државна обврзница DO2017/19-0732dk</v>
          </cell>
        </row>
        <row r="62">
          <cell r="A62" t="str">
            <v>Р. Македонија - државна обврзница DO2015/30-0825dk</v>
          </cell>
        </row>
        <row r="63">
          <cell r="A63" t="str">
            <v>Р. Македонија - државна обврзница DO2015/31-0830dk</v>
          </cell>
        </row>
        <row r="64">
          <cell r="A64" t="str">
            <v>Р. Македонија - државна обврзница DO2020/07-0850dk</v>
          </cell>
        </row>
        <row r="65">
          <cell r="A65" t="str">
            <v>Р. Македонија - државна обврзница DO2018/28-1220dk</v>
          </cell>
        </row>
        <row r="66">
          <cell r="A66" t="str">
            <v>Р. Македонија - државна обврзница DO2019/05-0324</v>
          </cell>
        </row>
        <row r="67">
          <cell r="A67" t="str">
            <v>Р. Македонија - државна обврзница DO2016/11-0426dk</v>
          </cell>
        </row>
        <row r="68">
          <cell r="A68" t="str">
            <v>Р. Македонија - државна обврзница DO2015/17-0530dk</v>
          </cell>
        </row>
        <row r="69">
          <cell r="A69" t="str">
            <v>Р. Македонија - државна обврзница DO2018/12-0633</v>
          </cell>
        </row>
        <row r="70">
          <cell r="A70" t="str">
            <v>Р. Македонија - државна обврзница DO2017/26-0932dk</v>
          </cell>
        </row>
        <row r="71">
          <cell r="A71" t="str">
            <v>Р. Македонија - државна обврзница DO2019/15-1134</v>
          </cell>
        </row>
        <row r="72">
          <cell r="A72" t="str">
            <v>Р. Македонија - државна обврзница DO2017/38-1232dk</v>
          </cell>
        </row>
        <row r="73">
          <cell r="A73" t="str">
            <v>Р. Македонија - државна обврзница DO2018/10-0333dk</v>
          </cell>
        </row>
        <row r="74">
          <cell r="A74" t="str">
            <v>Р. Македонија - државна обврзница DO2017/16-0632dk</v>
          </cell>
        </row>
        <row r="75">
          <cell r="A75" t="str">
            <v>Р. Македонија - државна обврзница DO2016/15-0731dk</v>
          </cell>
        </row>
        <row r="76">
          <cell r="A76" t="str">
            <v>Р. Македонија - државна обврзница DO2019/11-0834dk</v>
          </cell>
        </row>
        <row r="77">
          <cell r="A77" t="str">
            <v>Р. Македонија - државна обврзница DO2015/40-1030dk</v>
          </cell>
        </row>
        <row r="78">
          <cell r="A78" t="str">
            <v>Р. Македонија - државна обврзница DO2017/08-0332dk</v>
          </cell>
        </row>
        <row r="79">
          <cell r="A79" t="str">
            <v>Р. Македонија - државна обврзница DO2016/13-0631dk</v>
          </cell>
        </row>
        <row r="80">
          <cell r="A80" t="str">
            <v>Р. Македонија - државна обврзница DO2015/23-0725</v>
          </cell>
        </row>
        <row r="81">
          <cell r="A81" t="str">
            <v>Р. Македонија - државна обврзница DO2015/24-0725dk</v>
          </cell>
        </row>
        <row r="82">
          <cell r="A82" t="str">
            <v>Р. Македонија - државна обврзница DO2015/25-0730dk</v>
          </cell>
        </row>
        <row r="83">
          <cell r="A83" t="str">
            <v>Р. Македонија - државна обврзница DO2018/16-0821</v>
          </cell>
        </row>
        <row r="84">
          <cell r="A84" t="str">
            <v>Р. Македонија - државна обврзница DO2018/17-0833dk</v>
          </cell>
        </row>
        <row r="85">
          <cell r="A85" t="str">
            <v>Р. Македонија - државна обврзница DO2017/21-0822dk</v>
          </cell>
        </row>
        <row r="86">
          <cell r="A86" t="str">
            <v>Р. Македонија - државна обврзница DO2017/22-0832dk</v>
          </cell>
        </row>
        <row r="87">
          <cell r="A87" t="str">
            <v>Р. Македонија - државна обврзница DO2018/01-0121</v>
          </cell>
        </row>
        <row r="88">
          <cell r="A88" t="str">
            <v>Р. Македонија - државна обврзница DO2018/02-0128</v>
          </cell>
        </row>
        <row r="89">
          <cell r="A89" t="str">
            <v>Р. Македонија - државна обврзница DO2018/03-0133dk</v>
          </cell>
        </row>
        <row r="90">
          <cell r="A90" t="str">
            <v>Р. Македонија - државна обврзница DO2016/05-0226</v>
          </cell>
        </row>
        <row r="91">
          <cell r="A91" t="str">
            <v>Р. Македонија - државна обврзница DO2016/06-0226dk</v>
          </cell>
        </row>
        <row r="92">
          <cell r="A92" t="str">
            <v>Р. Македонија - државна обврзница DO2016/07-0231dk</v>
          </cell>
        </row>
        <row r="93">
          <cell r="A93" t="str">
            <v>Р. Македонија - државна обврзница DO2017/02-0132dk</v>
          </cell>
        </row>
        <row r="94">
          <cell r="A94" t="str">
            <v>Р. Македонија - државна обврзница DO2015/05-0230dk</v>
          </cell>
        </row>
        <row r="95">
          <cell r="A95" t="str">
            <v>Р. Македонија - државна обврзница DO2015/09-0325</v>
          </cell>
        </row>
        <row r="96">
          <cell r="A96" t="str">
            <v>Р. Македонија - државна обврзница DO2015/10-0330dk</v>
          </cell>
        </row>
        <row r="97">
          <cell r="A97" t="str">
            <v>Р. Македонија - државна обврзница DO2020/02-0235</v>
          </cell>
        </row>
        <row r="98">
          <cell r="A98" t="str">
            <v>Р. Македонија - државна обврзница DO2016/01-0126dk</v>
          </cell>
        </row>
        <row r="99">
          <cell r="A99" t="str">
            <v>Р. Македонија - државна обврзница DO2016/02-0131dk</v>
          </cell>
        </row>
        <row r="100">
          <cell r="A100" t="str">
            <v>Р. Македонија - државна обврзница DO2019/03-0224dk</v>
          </cell>
        </row>
        <row r="101">
          <cell r="A101" t="str">
            <v>Р. Македонија - државна обврзница DO2016/12-0431dk</v>
          </cell>
        </row>
        <row r="102">
          <cell r="A102" t="str">
            <v>Р. Македонија - државна обврзница DO2020/05-0522</v>
          </cell>
        </row>
        <row r="103">
          <cell r="A103" t="str">
            <v>Р. Македонија - државна обврзница DO2016/23-1031dk</v>
          </cell>
        </row>
        <row r="104">
          <cell r="A104" t="str">
            <v>Р. Македонија - државна обврзница DO2018/06-0221</v>
          </cell>
        </row>
        <row r="105">
          <cell r="A105" t="str">
            <v>Р. Македонија - државна обврзница DO2018/07-0223</v>
          </cell>
        </row>
        <row r="106">
          <cell r="A106" t="str">
            <v>Р. Македонија - државна обврзница DO2018/08-0233dk</v>
          </cell>
        </row>
        <row r="107">
          <cell r="A107" t="str">
            <v>Р. Македонија - државна обврзница DO2017/06-0232dk</v>
          </cell>
        </row>
        <row r="108">
          <cell r="A108" t="str">
            <v>Р. Македонија - државна обврзница DO2015/15-0430dk</v>
          </cell>
        </row>
        <row r="109">
          <cell r="A109" t="str">
            <v>Р. Македонија - државна обврзница DO2019/08-0524</v>
          </cell>
        </row>
        <row r="110">
          <cell r="A110" t="str">
            <v>Р. Македонија - државна обврзница DO2019/09-0534</v>
          </cell>
        </row>
        <row r="111">
          <cell r="A111" t="str">
            <v>Р. Македонија - државна обврзница DO2014/27-1024</v>
          </cell>
        </row>
        <row r="112">
          <cell r="A112" t="str">
            <v>Р. Македонија - државна обврзница DO2014/28-1024dk</v>
          </cell>
        </row>
        <row r="113">
          <cell r="A113" t="str">
            <v>Р. Македонија - државна обврзница DO2019/01-0121</v>
          </cell>
        </row>
        <row r="114">
          <cell r="A114" t="str">
            <v>Р. Македонија - државна обврзница DO2016/08-0331dk</v>
          </cell>
        </row>
        <row r="115">
          <cell r="A115" t="str">
            <v>Р. Македонија - државна обврзница DO2017/23-0822dk</v>
          </cell>
        </row>
        <row r="116">
          <cell r="A116" t="str">
            <v>Р. Македонија - државна обврзница DO2017/24-0832dk</v>
          </cell>
        </row>
        <row r="117">
          <cell r="A117" t="str">
            <v>Р. Македонија - државна обврзница DO2015/37-0930dk</v>
          </cell>
        </row>
        <row r="118">
          <cell r="A118" t="str">
            <v>Р. Македонија - државна обврзница DO2019/13-1024</v>
          </cell>
        </row>
        <row r="119">
          <cell r="A119" t="str">
            <v>Р. Македонија - државна обврзница DO2015/45-1225dk</v>
          </cell>
        </row>
        <row r="120">
          <cell r="A120" t="str">
            <v>Р. Македонија - државна обврзница DO2019/06-0449dk</v>
          </cell>
        </row>
        <row r="121">
          <cell r="A121" t="str">
            <v>Р. Македонија - државна обврзница DO2020/06-0635</v>
          </cell>
        </row>
        <row r="122">
          <cell r="A122" t="str">
            <v>Р. Македонија - државна обврзница DO2019/10-0749dk</v>
          </cell>
        </row>
        <row r="123">
          <cell r="A123" t="str">
            <v>Р. Македонија - државна обврзница DO2016/17-0826</v>
          </cell>
        </row>
        <row r="124">
          <cell r="A124" t="str">
            <v>Р. Македонија - државна обврзница DO2016/18-0826dk</v>
          </cell>
        </row>
        <row r="125">
          <cell r="A125" t="str">
            <v>Р. Македонија - државна обврзница DO2016/19-0831dk</v>
          </cell>
        </row>
        <row r="126">
          <cell r="A126" t="str">
            <v>Р. Македонија - државна обврзница DO2018/22-1020dk</v>
          </cell>
        </row>
        <row r="127">
          <cell r="A127" t="str">
            <v>Р. Македонија - државна обврзница DO2018/23-1048dk</v>
          </cell>
        </row>
        <row r="128">
          <cell r="A128" t="str">
            <v>Р. Македонија - државна обврзница DO2018/14-0723</v>
          </cell>
        </row>
        <row r="129">
          <cell r="A129" t="str">
            <v>Р. Македонија - државна обврзница DO2018/15-0748dk</v>
          </cell>
        </row>
        <row r="130">
          <cell r="A130" t="str">
            <v>Р. Македонија - државна обврзница DO2019/12-0934</v>
          </cell>
          <cell r="B130">
            <v>100</v>
          </cell>
        </row>
        <row r="131">
          <cell r="A131" t="str">
            <v>Р. Македонија - државна обврзница DO2017/32-1032dk</v>
          </cell>
        </row>
        <row r="132">
          <cell r="A132" t="str">
            <v>Р. Македонија - државна обврзница DO2015/42-1125dk</v>
          </cell>
        </row>
        <row r="133">
          <cell r="A133" t="str">
            <v>Р. Македонија - државна обврзница DO2015/43-1130dk</v>
          </cell>
        </row>
        <row r="134">
          <cell r="A134" t="str">
            <v>Р. Македонија - државна обврзница DO2017/20-0732dk</v>
          </cell>
        </row>
        <row r="135">
          <cell r="A135" t="str">
            <v>Р. Македонија - државна обврзница DO2015/32-0825</v>
          </cell>
        </row>
        <row r="136">
          <cell r="A136" t="str">
            <v>Р. Македонија - државна обврзница DO2015/33-0830dk</v>
          </cell>
        </row>
        <row r="137">
          <cell r="A137" t="str">
            <v>Р. Македонија - државна обврзница DO2018/18-0921</v>
          </cell>
        </row>
        <row r="138">
          <cell r="A138" t="str">
            <v>Р. Македонија - државна обврзница DO2018/19-0933</v>
          </cell>
        </row>
        <row r="139">
          <cell r="A139" t="str">
            <v>Р. Македонија - државна обврзница DO2018/20-0933dk</v>
          </cell>
        </row>
        <row r="140">
          <cell r="A140" t="str">
            <v>Р. Македонија - државна обврзница DO2015/18-0525dk</v>
          </cell>
        </row>
        <row r="141">
          <cell r="A141" t="str">
            <v>Р. Македонија - државна обврзница DO2018/13-0633dk</v>
          </cell>
        </row>
        <row r="142">
          <cell r="A142" t="str">
            <v>Р. Македонија - државна обврзница DO2014/18-0824dk</v>
          </cell>
        </row>
        <row r="143">
          <cell r="A143" t="str">
            <v>Р. Македонија - државна обврзница DO2017/27-0932dk</v>
          </cell>
        </row>
        <row r="144">
          <cell r="A144" t="str">
            <v>Р. Македонија - државна обврзница DO2016/03-0131dk</v>
          </cell>
        </row>
        <row r="145">
          <cell r="A145" t="str">
            <v>Р. Македонија - државна обврзница DO2017/17-0632dk</v>
          </cell>
        </row>
        <row r="146">
          <cell r="A146" t="str">
            <v>Р. Македонија - државна обврзница DO2016/21-0931dk</v>
          </cell>
        </row>
        <row r="147">
          <cell r="A147" t="str">
            <v>Р. Македонија - државна обврзница DO2018/26-1120dk</v>
          </cell>
        </row>
        <row r="148">
          <cell r="A148" t="str">
            <v>Р. Македонија - државна обврзница DO2018/27-1133dk</v>
          </cell>
          <cell r="B148">
            <v>106.8</v>
          </cell>
        </row>
        <row r="149">
          <cell r="A149" t="str">
            <v>Р. Македонија - државна обврзница DO2016/29-1231dk</v>
          </cell>
        </row>
        <row r="150">
          <cell r="A150" t="str">
            <v>Р. Македонија - државна обврзница DO2014/02-0124</v>
          </cell>
        </row>
        <row r="151">
          <cell r="A151" t="str">
            <v>Р. Македонија - државна обврзница DO2014/03-0124dk</v>
          </cell>
        </row>
        <row r="152">
          <cell r="A152" t="str">
            <v>Р. Македонија - државна обврзница DO2017/10-0332dk</v>
          </cell>
        </row>
        <row r="153">
          <cell r="A153" t="str">
            <v>Р. Македонија - државна обврзница DO2016/14-0631dk</v>
          </cell>
        </row>
        <row r="154">
          <cell r="A154" t="str">
            <v>Р. Македонија - државна обврзница DO2015/27-0725dk</v>
          </cell>
        </row>
        <row r="155">
          <cell r="A155" t="str">
            <v>Р. Македонија - државна обврзница DO2015/28-0730dk</v>
          </cell>
        </row>
        <row r="156">
          <cell r="A156" t="str">
            <v>Р. Македонија - државна обврзница DO2017/36-1132dk</v>
          </cell>
        </row>
        <row r="157">
          <cell r="A157" t="str">
            <v>Р. Македонија - државна обврзница DO2016/09-0326</v>
          </cell>
        </row>
        <row r="158">
          <cell r="A158" t="str">
            <v>Р. Македонија - државна обврзница DO2014/17-0724dk</v>
          </cell>
        </row>
        <row r="159">
          <cell r="A159" t="str">
            <v>Р. Македонија - државна обврзница DO2015/38-0925dk</v>
          </cell>
        </row>
        <row r="160">
          <cell r="A160" t="str">
            <v>Р. Македонија - државна обврзница DO2015/39-0930dk</v>
          </cell>
        </row>
        <row r="161">
          <cell r="A161" t="str">
            <v>Р. Македонија - државна обврзница DO2015/46-1225dk</v>
          </cell>
        </row>
        <row r="162">
          <cell r="A162" t="str">
            <v>Р. Македонија - државна обврзница DO2018/04-0133</v>
          </cell>
        </row>
        <row r="163">
          <cell r="A163" t="str">
            <v>Р. Македонија - државна обврзница DO2018/05-0133dk</v>
          </cell>
        </row>
        <row r="164">
          <cell r="A164" t="str">
            <v>Р. Македонија - државна обврзница DO2015/20-0625</v>
          </cell>
        </row>
        <row r="165">
          <cell r="A165" t="str">
            <v>Р. Македонија - државна обврзница DO2015/21-0625dk</v>
          </cell>
        </row>
        <row r="166">
          <cell r="A166" t="str">
            <v>Р. Македонија - државна обврзница DO2015/22-0630dk</v>
          </cell>
        </row>
        <row r="167">
          <cell r="A167" t="str">
            <v>Р. Македонија - државна обврзница DO2017/05-0132dk</v>
          </cell>
        </row>
        <row r="168">
          <cell r="A168" t="str">
            <v>Р. Македонија - државна обврзница DO2015/08-0230dk</v>
          </cell>
        </row>
        <row r="169">
          <cell r="A169" t="str">
            <v>Р. Македонија - државна обврзница DO2015/12-0325</v>
          </cell>
        </row>
        <row r="170">
          <cell r="A170" t="str">
            <v>Р. Македонија - државна обврзница DO2015/13-0330dk</v>
          </cell>
        </row>
        <row r="171">
          <cell r="A171" t="str">
            <v>Р. Македонија - државна обврзница DO2018/11-0448dk</v>
          </cell>
        </row>
        <row r="172">
          <cell r="A172" t="str">
            <v>Р. Македонија - државна обврзница DO2015/34-0825</v>
          </cell>
        </row>
        <row r="173">
          <cell r="A173" t="str">
            <v>Р. Македонија - државна обврзница DO2015/35-0825dk</v>
          </cell>
        </row>
        <row r="174">
          <cell r="A174" t="str">
            <v>Р. Македонија - државна обврзница DO2015/36-0830dk</v>
          </cell>
        </row>
        <row r="175">
          <cell r="A175" t="str">
            <v>Р. Македонија - државна обврзница DO2018/29-1220dk</v>
          </cell>
        </row>
        <row r="176">
          <cell r="A176" t="str">
            <v>Р. Македонија - државна обврзница DO2016/04-0131dk</v>
          </cell>
        </row>
        <row r="177">
          <cell r="A177" t="str">
            <v>Р. Македонија - државна обврзница DO2019/04-0234</v>
          </cell>
          <cell r="B177">
            <v>101</v>
          </cell>
        </row>
        <row r="178">
          <cell r="A178" t="str">
            <v>Р. Македонија - државна обврзница DO2016/16-0731dk</v>
          </cell>
        </row>
        <row r="179">
          <cell r="A179" t="str">
            <v>Р. Македонија - државна обврзница DO2015/03-0125</v>
          </cell>
        </row>
        <row r="180">
          <cell r="A180" t="str">
            <v>Р. Македонија - државна обврзница DO2015/04-0125dk</v>
          </cell>
        </row>
        <row r="181">
          <cell r="A181" t="str">
            <v>Р. Македонија - државна обврзница DO2017/18-0632dk</v>
          </cell>
        </row>
        <row r="182">
          <cell r="A182" t="str">
            <v>Р. Македонија - државна обврзница DO2016/22-0931dk</v>
          </cell>
        </row>
        <row r="183">
          <cell r="A183" t="str">
            <v>Р. Македонија - државна обврзница DO2015/41-1030dk</v>
          </cell>
        </row>
        <row r="184">
          <cell r="A184" t="str">
            <v>Р. Македонија - државна обврзница DO2020/01-0150dk</v>
          </cell>
        </row>
        <row r="185">
          <cell r="A185" t="str">
            <v>Р. Македонија - државна обврзница DO2017/11-0332dk</v>
          </cell>
        </row>
        <row r="186">
          <cell r="A186" t="str">
            <v>Р. Македонија - државна обврзница DO2020/04-0450dk</v>
          </cell>
        </row>
        <row r="187">
          <cell r="A187" t="str">
            <v>Р. Македонија - државна обврзница DO2015/29-0730dk</v>
          </cell>
        </row>
        <row r="188">
          <cell r="A188" t="str">
            <v>Р. Македонија - државна обврзница DO2014/30-1024dk</v>
          </cell>
        </row>
        <row r="189">
          <cell r="A189" t="str">
            <v>Р. Македонија - државна обврзница DO2017/37-1132dk</v>
          </cell>
        </row>
        <row r="190">
          <cell r="A190" t="str">
            <v>Р. Македонија - државна обврзница DO2019/02-0149dk</v>
          </cell>
        </row>
        <row r="191">
          <cell r="A191" t="str">
            <v>Р. Македонија - државна обврзница DO2016/10-0331dk</v>
          </cell>
        </row>
        <row r="192">
          <cell r="A192" t="str">
            <v>Р. Македонија - државна обврзница DO2019/14-1049dk</v>
          </cell>
        </row>
        <row r="193">
          <cell r="A193" t="str">
            <v>Р. Македонија - денационализација 10</v>
          </cell>
          <cell r="B193">
            <v>99</v>
          </cell>
        </row>
        <row r="194">
          <cell r="A194" t="str">
            <v>Р. Македонија - денационализација 11</v>
          </cell>
          <cell r="B194">
            <v>99</v>
          </cell>
        </row>
        <row r="195">
          <cell r="A195" t="str">
            <v>Р. Македонија - денационализација 12</v>
          </cell>
          <cell r="B195">
            <v>99.5</v>
          </cell>
        </row>
        <row r="196">
          <cell r="A196" t="str">
            <v>Р. Македонија - денационализација 13</v>
          </cell>
          <cell r="B196">
            <v>99</v>
          </cell>
        </row>
        <row r="197">
          <cell r="A197" t="str">
            <v>Р. Македонија - денационализација 14</v>
          </cell>
          <cell r="B197">
            <v>99.2</v>
          </cell>
        </row>
        <row r="198">
          <cell r="A198" t="str">
            <v>Р. Македонија - денационализација 15</v>
          </cell>
          <cell r="B198">
            <v>99</v>
          </cell>
        </row>
        <row r="199">
          <cell r="A199" t="str">
            <v>Р. Македонија - денационализација 16</v>
          </cell>
          <cell r="B199">
            <v>99</v>
          </cell>
        </row>
        <row r="200">
          <cell r="A200" t="str">
            <v>Р. Македонија - денационализација 17</v>
          </cell>
          <cell r="B200">
            <v>99</v>
          </cell>
        </row>
        <row r="201">
          <cell r="A201" t="str">
            <v>Р. Македонија - денационализација 18</v>
          </cell>
          <cell r="B201">
            <v>99</v>
          </cell>
        </row>
        <row r="202">
          <cell r="A202" t="str">
            <v>ТТК банка АД Скопје - корпоративна обврзница I емисија</v>
          </cell>
        </row>
        <row r="203">
          <cell r="A203" t="str">
            <v>ТТК банка АД Скопје - корпоративна обврзница II емисија</v>
          </cell>
        </row>
        <row r="204">
          <cell r="A204" t="str">
            <v>Берзанска котација - други хартии од вредност</v>
          </cell>
        </row>
        <row r="205">
          <cell r="A205" t="str">
            <v>Универзална Инвестициона Банка Скопје - перпетуални обврзници</v>
          </cell>
          <cell r="B205">
            <v>101.5</v>
          </cell>
        </row>
        <row r="206">
          <cell r="A206" t="str">
            <v>Задолжителна котација - обични акции</v>
          </cell>
        </row>
        <row r="207">
          <cell r="A207" t="str">
            <v>Адинг Скопје</v>
          </cell>
          <cell r="B207">
            <v>618</v>
          </cell>
        </row>
        <row r="208">
          <cell r="A208" t="str">
            <v>Агроплод Ресен</v>
          </cell>
          <cell r="B208">
            <v>11900</v>
          </cell>
        </row>
        <row r="209">
          <cell r="A209" t="str">
            <v>Агромеханика Скопје</v>
          </cell>
          <cell r="B209">
            <v>300</v>
          </cell>
        </row>
        <row r="210">
          <cell r="A210" t="str">
            <v>Ангропромет-Тиквешанка Кавадарци</v>
          </cell>
          <cell r="B210">
            <v>750</v>
          </cell>
        </row>
        <row r="211">
          <cell r="A211" t="str">
            <v>Аутомакедонија Скопје</v>
          </cell>
          <cell r="B211">
            <v>2100</v>
          </cell>
        </row>
        <row r="212">
          <cell r="A212" t="str">
            <v>Рудници Бањани Скопје</v>
          </cell>
        </row>
        <row r="213">
          <cell r="A213" t="str">
            <v>Кристал 1923 АД Велес</v>
          </cell>
          <cell r="B213">
            <v>150</v>
          </cell>
        </row>
        <row r="214">
          <cell r="A214" t="str">
            <v>БИМ Свети Николе</v>
          </cell>
        </row>
        <row r="215">
          <cell r="A215" t="str">
            <v>Благој Туфанов Радовиш</v>
          </cell>
        </row>
        <row r="216">
          <cell r="A216" t="str">
            <v>ФЗЦ 11 Октомври Куманово</v>
          </cell>
          <cell r="B216">
            <v>600</v>
          </cell>
        </row>
        <row r="217">
          <cell r="A217" t="str">
            <v>Централна кооперативна банка Скопје</v>
          </cell>
          <cell r="B217">
            <v>700</v>
          </cell>
        </row>
        <row r="218">
          <cell r="A218" t="str">
            <v>Дебарски бањи Дебар</v>
          </cell>
        </row>
        <row r="219">
          <cell r="A219" t="str">
            <v>Димко Митрев Велес</v>
          </cell>
          <cell r="B219">
            <v>185</v>
          </cell>
        </row>
        <row r="220">
          <cell r="A220" t="str">
            <v>Единство Струмица</v>
          </cell>
          <cell r="B220">
            <v>303</v>
          </cell>
        </row>
        <row r="221">
          <cell r="A221" t="str">
            <v>Европа Скопје</v>
          </cell>
        </row>
        <row r="222">
          <cell r="A222" t="str">
            <v>Факом Скопје</v>
          </cell>
          <cell r="B222">
            <v>7200</v>
          </cell>
        </row>
        <row r="223">
          <cell r="A223" t="str">
            <v>Фустеларко Борец Битола</v>
          </cell>
          <cell r="B223">
            <v>1200</v>
          </cell>
        </row>
        <row r="224">
          <cell r="A224" t="str">
            <v>Герас Цунев конфекција Струмица</v>
          </cell>
        </row>
        <row r="225">
          <cell r="A225" t="str">
            <v>Герас Цунев трговија Струмица</v>
          </cell>
        </row>
        <row r="226">
          <cell r="A226" t="str">
            <v>Грозд Струмица</v>
          </cell>
        </row>
        <row r="227">
          <cell r="A227" t="str">
            <v>Градски Трговски Центар Скопје</v>
          </cell>
        </row>
        <row r="228">
          <cell r="A228" t="str">
            <v>ИДЕВЕЛОП Скопје</v>
          </cell>
        </row>
        <row r="229">
          <cell r="A229" t="str">
            <v>Интерпромет Тетово</v>
          </cell>
        </row>
        <row r="230">
          <cell r="A230" t="str">
            <v>Осигурување Македонија АД Скопје - Виена Иншуренс Груп</v>
          </cell>
        </row>
        <row r="231">
          <cell r="A231" t="str">
            <v>Кланица со ладилник Струмица</v>
          </cell>
        </row>
        <row r="232">
          <cell r="A232" t="str">
            <v>Фруктал МАК Скопје</v>
          </cell>
        </row>
        <row r="233">
          <cell r="A233" t="str">
            <v>Карпош Скопје</v>
          </cell>
        </row>
        <row r="234">
          <cell r="A234" t="str">
            <v>Карбо-Нова</v>
          </cell>
        </row>
        <row r="235">
          <cell r="A235" t="str">
            <v>Лотарија на Македонија Скопје</v>
          </cell>
        </row>
        <row r="236">
          <cell r="A236" t="str">
            <v>Пелистерка АД Скопје</v>
          </cell>
        </row>
        <row r="237">
          <cell r="A237" t="str">
            <v>Макпромет Штип</v>
          </cell>
        </row>
        <row r="238">
          <cell r="A238" t="str">
            <v>Мермерен комбинат Прилеп</v>
          </cell>
        </row>
        <row r="239">
          <cell r="A239" t="str">
            <v>Мода Свети Николе</v>
          </cell>
        </row>
        <row r="240">
          <cell r="A240" t="str">
            <v>Вабтек МЗТ Скопје</v>
          </cell>
        </row>
        <row r="241">
          <cell r="A241" t="str">
            <v>МЗТ Пумпи Скопје</v>
          </cell>
        </row>
        <row r="242">
          <cell r="A242" t="str">
            <v>Огражден Струмица</v>
          </cell>
        </row>
        <row r="243">
          <cell r="A243" t="str">
            <v>Нова стоковна куќа Струмица</v>
          </cell>
        </row>
        <row r="244">
          <cell r="A244" t="str">
            <v>Оилко КДА Скопје</v>
          </cell>
        </row>
        <row r="245">
          <cell r="A245" t="str">
            <v>ОКТА Скопје</v>
          </cell>
        </row>
        <row r="246">
          <cell r="A246" t="str">
            <v>Оранжерии Хамзали Струмица</v>
          </cell>
        </row>
        <row r="247">
          <cell r="A247" t="str">
            <v>Пекабеско Скопје</v>
          </cell>
        </row>
        <row r="248">
          <cell r="A248" t="str">
            <v>Попова Кула Демир Капија</v>
          </cell>
        </row>
        <row r="249">
          <cell r="A249" t="str">
            <v>Прилепска Пиварница Прилеп</v>
          </cell>
        </row>
        <row r="250">
          <cell r="A250" t="str">
            <v>Раде Кончар Скопје</v>
          </cell>
        </row>
        <row r="251">
          <cell r="A251" t="str">
            <v>РЖ Економика Скопје</v>
          </cell>
        </row>
        <row r="252">
          <cell r="A252" t="str">
            <v>Арцелормиттал Скопје (ХРМ) Скопје</v>
          </cell>
        </row>
        <row r="253">
          <cell r="A253" t="str">
            <v>Либерти АД Скопје</v>
          </cell>
        </row>
        <row r="254">
          <cell r="A254" t="str">
            <v>РЖ Техничка контрола Скопје</v>
          </cell>
        </row>
        <row r="255">
          <cell r="A255" t="str">
            <v>РЖ Уготур Скопје</v>
          </cell>
        </row>
        <row r="256">
          <cell r="A256" t="str">
            <v>Современ дом Прилеп</v>
          </cell>
        </row>
        <row r="257">
          <cell r="A257" t="str">
            <v>Силекс Кратово</v>
          </cell>
        </row>
        <row r="258">
          <cell r="A258" t="str">
            <v>Сковин Скопје</v>
          </cell>
        </row>
        <row r="259">
          <cell r="A259" t="str">
            <v>Славеј Скопје</v>
          </cell>
        </row>
        <row r="260">
          <cell r="A260" t="str">
            <v>Струмичко поле с.Василево</v>
          </cell>
        </row>
        <row r="261">
          <cell r="A261" t="str">
            <v>Сигурносно стакло Прилеп</v>
          </cell>
        </row>
        <row r="262">
          <cell r="A262" t="str">
            <v>Стопанска банка Скопје</v>
          </cell>
        </row>
        <row r="263">
          <cell r="A263" t="str">
            <v>Стокопромет Скопје</v>
          </cell>
        </row>
        <row r="264">
          <cell r="A264" t="str">
            <v>Тајмиште Кичево</v>
          </cell>
        </row>
        <row r="265">
          <cell r="A265" t="str">
            <v>ТЕАЛ-Алумина Тетово</v>
          </cell>
        </row>
        <row r="266">
          <cell r="A266" t="str">
            <v>Технокомерц Скопје</v>
          </cell>
        </row>
        <row r="267">
          <cell r="A267" t="str">
            <v>Македонски Телеком Скопје</v>
          </cell>
        </row>
        <row r="268">
          <cell r="A268" t="str">
            <v>ГД-Тиквеш Кавадарци</v>
          </cell>
        </row>
        <row r="269">
          <cell r="A269" t="str">
            <v>НЛБ Банка АД Скопје</v>
          </cell>
        </row>
        <row r="270">
          <cell r="A270" t="str">
            <v>Трудбеник Охрид</v>
          </cell>
        </row>
        <row r="271">
          <cell r="A271" t="str">
            <v>Транскоп-Патнички сооб. Битола</v>
          </cell>
        </row>
        <row r="272">
          <cell r="A272" t="str">
            <v>Трготекстил малопродажба Скопје</v>
          </cell>
        </row>
        <row r="273">
          <cell r="A273" t="str">
            <v>Универзална Инвестициона Банка Скопје</v>
          </cell>
        </row>
        <row r="274">
          <cell r="A274" t="str">
            <v>Цементарница УСЈЕ Скопје</v>
          </cell>
        </row>
        <row r="275">
          <cell r="A275" t="str">
            <v>Триглав осигурување Скопје</v>
          </cell>
        </row>
        <row r="276">
          <cell r="A276" t="str">
            <v>Ветекс Велес</v>
          </cell>
        </row>
        <row r="277">
          <cell r="A277" t="str">
            <v>ЖАС Скопје</v>
          </cell>
        </row>
        <row r="278">
          <cell r="A278" t="str">
            <v>Жито Караорман Кичево</v>
          </cell>
        </row>
        <row r="279">
          <cell r="A279" t="str">
            <v>Жито Полог Тетово</v>
          </cell>
        </row>
        <row r="280">
          <cell r="A280" t="str">
            <v>Задолжителна котација - приоритетни акции</v>
          </cell>
        </row>
        <row r="281">
          <cell r="A281" t="str">
            <v>Стопанска банка Скопје</v>
          </cell>
        </row>
        <row r="282">
          <cell r="A282" t="str">
            <v>Редовен пазар</v>
          </cell>
        </row>
        <row r="283">
          <cell r="A283" t="str">
            <v>Пазар на акционерски друштва со посебни обврски за известување - обични акции</v>
          </cell>
        </row>
        <row r="284">
          <cell r="A284" t="str">
            <v>Агросервис Скопје</v>
          </cell>
        </row>
        <row r="285">
          <cell r="A285" t="str">
            <v>Отекс Охрид</v>
          </cell>
        </row>
        <row r="286">
          <cell r="A286" t="str">
            <v>Слободен пазар - обични акции</v>
          </cell>
        </row>
        <row r="287">
          <cell r="A287" t="str">
            <v>Текстил Елма Прилеп</v>
          </cell>
        </row>
        <row r="288">
          <cell r="A288" t="str">
            <v>Квасара Битола</v>
          </cell>
        </row>
        <row r="289">
          <cell r="A289" t="str">
            <v>Вкупен промет на сите пазарни сегменти: 63.031.772,00</v>
          </cell>
        </row>
        <row r="290">
          <cell r="A290" t="str">
            <v>МБИ10</v>
          </cell>
        </row>
        <row r="291">
          <cell r="A291" t="str">
            <v>ОМБ</v>
          </cell>
        </row>
        <row r="292">
          <cell r="A292" t="str">
            <v>1 EUR = 61,6950 МКД</v>
          </cell>
        </row>
      </sheetData>
      <sheetData sheetId="1"/>
      <sheetData sheetId="2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  <cell r="B9">
            <v>6200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Тетекс Тетово</v>
          </cell>
        </row>
        <row r="28">
          <cell r="A28" t="str">
            <v>Тутунски комбинат Прилеп</v>
          </cell>
        </row>
        <row r="29">
          <cell r="A29" t="str">
            <v>ВВ Тиквеш АД Кавадарци</v>
          </cell>
        </row>
        <row r="30">
          <cell r="A30" t="str">
            <v>ТТК Банка АД Скопје</v>
          </cell>
          <cell r="B30">
            <v>1170</v>
          </cell>
        </row>
        <row r="31">
          <cell r="A31" t="str">
            <v>Витаминка Прилеп</v>
          </cell>
        </row>
        <row r="32">
          <cell r="A32" t="str">
            <v>Жито Лукс Скопје</v>
          </cell>
        </row>
        <row r="33">
          <cell r="A33" t="str">
            <v>ЗК Пелагонија Битола</v>
          </cell>
        </row>
        <row r="34">
          <cell r="A34" t="str">
            <v>Берзанска котација - приоритетни акции</v>
          </cell>
        </row>
        <row r="35">
          <cell r="A35" t="str">
            <v>Скопски пазар Скопје</v>
          </cell>
        </row>
        <row r="36">
          <cell r="A36" t="str">
            <v>Жито лукс Скопје</v>
          </cell>
        </row>
        <row r="37">
          <cell r="A37" t="str">
            <v>Берзанска котација - обврзници</v>
          </cell>
        </row>
        <row r="38">
          <cell r="A38" t="str">
            <v>Централна кооперативна банка АД Скопје - конвертибилни обврзници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DO2018/24-1120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DO2017/34-1120</v>
          </cell>
        </row>
        <row r="46">
          <cell r="A46" t="str">
            <v>Р. Македонија - државна обврзница DO2017/35-1132dk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DO2017/14-0532dk</v>
          </cell>
        </row>
        <row r="51">
          <cell r="A51" t="str">
            <v>Р. Македонија - државна обврзница DO2015/19-0630dk</v>
          </cell>
        </row>
        <row r="52">
          <cell r="A52" t="str">
            <v>Р. Македонија - државна обврзница DO2014/19-0924dk</v>
          </cell>
        </row>
        <row r="53">
          <cell r="A53" t="str">
            <v>Р. Македонија - државна обврзница DO2018/21-1021dk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DO2020/03-0325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државна обврзница DO2017/29-1020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DO2019/16-1234dk</v>
          </cell>
        </row>
        <row r="60">
          <cell r="A60" t="str">
            <v>Р. Македонија - државна обврзница DO2017/12-0432dk</v>
          </cell>
        </row>
        <row r="61">
          <cell r="A61" t="str">
            <v>Р. Македонија - државна обврзница DO2017/19-0732dk</v>
          </cell>
        </row>
        <row r="62">
          <cell r="A62" t="str">
            <v>Р. Македонија - државна обврзница DO2015/30-0825dk</v>
          </cell>
        </row>
        <row r="63">
          <cell r="A63" t="str">
            <v>Р. Македонија - државна обврзница DO2015/31-0830dk</v>
          </cell>
        </row>
        <row r="64">
          <cell r="A64" t="str">
            <v>Р. Македонија - државна обврзница DO2018/28-1220dk</v>
          </cell>
        </row>
        <row r="65">
          <cell r="A65" t="str">
            <v>Р. Македонија - државна обврзница DO2019/05-0324</v>
          </cell>
        </row>
        <row r="66">
          <cell r="A66" t="str">
            <v>Р. Македонија - државна обврзница DO2016/11-0426dk</v>
          </cell>
        </row>
        <row r="67">
          <cell r="A67" t="str">
            <v>Р. Македонија - државна обврзница DO2015/17-0530dk</v>
          </cell>
        </row>
        <row r="68">
          <cell r="A68" t="str">
            <v>Р. Македонија - државна обврзница DO2018/12-0633</v>
          </cell>
        </row>
        <row r="69">
          <cell r="A69" t="str">
            <v>Р. Македонија - државна обврзница DO2017/26-0932dk</v>
          </cell>
        </row>
        <row r="70">
          <cell r="A70" t="str">
            <v>Р. Македонија - државна обврзница DO2019/15-1134</v>
          </cell>
        </row>
        <row r="71">
          <cell r="A71" t="str">
            <v>Р. Македонија - државна обврзница DO2017/38-1232dk</v>
          </cell>
        </row>
        <row r="72">
          <cell r="A72" t="str">
            <v>Р. Македонија - државна обврзница DO2018/10-0333dk</v>
          </cell>
        </row>
        <row r="73">
          <cell r="A73" t="str">
            <v>Р. Македонија - државна обврзница DO2017/16-0632dk</v>
          </cell>
        </row>
        <row r="74">
          <cell r="A74" t="str">
            <v>Р. Македонија - државна обврзница DO2016/15-0731dk</v>
          </cell>
        </row>
        <row r="75">
          <cell r="A75" t="str">
            <v>Р. Македонија - државна обврзница DO2019/11-0834dk</v>
          </cell>
        </row>
        <row r="76">
          <cell r="A76" t="str">
            <v>Р. Македонија - државна обврзница DO2015/40-1030dk</v>
          </cell>
        </row>
        <row r="77">
          <cell r="A77" t="str">
            <v>Р. Македонија - државна обврзница DO2017/08-0332dk</v>
          </cell>
        </row>
        <row r="78">
          <cell r="A78" t="str">
            <v>Р. Македонија - државна обврзница DO2016/13-0631dk</v>
          </cell>
        </row>
        <row r="79">
          <cell r="A79" t="str">
            <v>Р. Македонија - државна обврзница DO2015/23-0725</v>
          </cell>
        </row>
        <row r="80">
          <cell r="A80" t="str">
            <v>Р. Македонија - државна обврзница DO2015/24-0725dk</v>
          </cell>
        </row>
        <row r="81">
          <cell r="A81" t="str">
            <v>Р. Македонија - државна обврзница DO2015/25-0730dk</v>
          </cell>
        </row>
        <row r="82">
          <cell r="A82" t="str">
            <v>Р. Македонија - државна обврзница DO2018/16-0821</v>
          </cell>
        </row>
        <row r="83">
          <cell r="A83" t="str">
            <v>Р. Македонија - државна обврзница DO2018/17-0833dk</v>
          </cell>
        </row>
        <row r="84">
          <cell r="A84" t="str">
            <v>Р. Македонија - државна обврзница DO2017/21-0822dk</v>
          </cell>
        </row>
        <row r="85">
          <cell r="A85" t="str">
            <v>Р. Македонија - државна обврзница DO2017/22-0832dk</v>
          </cell>
        </row>
        <row r="86">
          <cell r="A86" t="str">
            <v>Р. Македонија - државна обврзница DO2018/01-0121</v>
          </cell>
        </row>
        <row r="87">
          <cell r="A87" t="str">
            <v>Р. Македонија - државна обврзница DO2018/02-0128</v>
          </cell>
        </row>
        <row r="88">
          <cell r="A88" t="str">
            <v>Р. Македонија - државна обврзница DO2018/03-0133dk</v>
          </cell>
        </row>
        <row r="89">
          <cell r="A89" t="str">
            <v>Р. Македонија - државна обврзница DO2016/05-0226</v>
          </cell>
        </row>
        <row r="90">
          <cell r="A90" t="str">
            <v>Р. Македонија - државна обврзница DO2016/06-0226dk</v>
          </cell>
        </row>
        <row r="91">
          <cell r="A91" t="str">
            <v>Р. Македонија - државна обврзница DO2016/07-0231dk</v>
          </cell>
        </row>
        <row r="92">
          <cell r="A92" t="str">
            <v>Р. Македонија - државна обврзница DO2017/02-0132dk</v>
          </cell>
        </row>
        <row r="93">
          <cell r="A93" t="str">
            <v>Р. Македонија - државна обврзница DO2015/05-0230dk</v>
          </cell>
        </row>
        <row r="94">
          <cell r="A94" t="str">
            <v>Р. Македонија - државна обврзница DO2015/09-0325</v>
          </cell>
        </row>
        <row r="95">
          <cell r="A95" t="str">
            <v>Р. Македонија - државна обврзница DO2015/10-0330dk</v>
          </cell>
        </row>
        <row r="96">
          <cell r="A96" t="str">
            <v>Р. Македонија - државна обврзница DO2020/02-0235</v>
          </cell>
        </row>
        <row r="97">
          <cell r="A97" t="str">
            <v>Р. Македонија - државна обврзница DO2016/01-0126dk</v>
          </cell>
        </row>
        <row r="98">
          <cell r="A98" t="str">
            <v>Р. Македонија - државна обврзница DO2016/02-0131dk</v>
          </cell>
        </row>
        <row r="99">
          <cell r="A99" t="str">
            <v>Р. Македонија - државна обврзница DO2019/03-0224dk</v>
          </cell>
        </row>
        <row r="100">
          <cell r="A100" t="str">
            <v>Р. Македонија - државна обврзница DO2016/12-0431dk</v>
          </cell>
        </row>
        <row r="101">
          <cell r="A101" t="str">
            <v>Р. Македонија - државна обврзница DO2020/05-0522</v>
          </cell>
        </row>
        <row r="102">
          <cell r="A102" t="str">
            <v>Р. Македонија - државна обврзница DO2016/23-1031dk</v>
          </cell>
        </row>
        <row r="103">
          <cell r="A103" t="str">
            <v>Р. Македонија - државна обврзница DO2018/06-0221</v>
          </cell>
        </row>
        <row r="104">
          <cell r="A104" t="str">
            <v>Р. Македонија - државна обврзница DO2018/07-0223</v>
          </cell>
        </row>
        <row r="105">
          <cell r="A105" t="str">
            <v>Р. Македонија - државна обврзница DO2018/08-0233dk</v>
          </cell>
        </row>
        <row r="106">
          <cell r="A106" t="str">
            <v>Р. Македонија - државна обврзница DO2017/06-0232dk</v>
          </cell>
        </row>
        <row r="107">
          <cell r="A107" t="str">
            <v>Р. Македонија - државна обврзница DO2015/15-0430dk</v>
          </cell>
        </row>
        <row r="108">
          <cell r="A108" t="str">
            <v>Р. Македонија - државна обврзница DO2019/08-0524</v>
          </cell>
        </row>
        <row r="109">
          <cell r="A109" t="str">
            <v>Р. Македонија - државна обврзница DO2019/09-0534</v>
          </cell>
        </row>
        <row r="110">
          <cell r="A110" t="str">
            <v>Р. Македонија - државна обврзница DO2014/27-1024</v>
          </cell>
        </row>
        <row r="111">
          <cell r="A111" t="str">
            <v>Р. Македонија - државна обврзница DO2014/28-1024dk</v>
          </cell>
        </row>
        <row r="112">
          <cell r="A112" t="str">
            <v>Р. Македонија - државна обврзница DO2019/01-0121</v>
          </cell>
        </row>
        <row r="113">
          <cell r="A113" t="str">
            <v>Р. Македонија - државна обврзница DO2016/08-0331dk</v>
          </cell>
        </row>
        <row r="114">
          <cell r="A114" t="str">
            <v>Р. Македонија - државна обврзница DO2017/23-0822dk</v>
          </cell>
        </row>
        <row r="115">
          <cell r="A115" t="str">
            <v>Р. Македонија - државна обврзница DO2017/24-0832dk</v>
          </cell>
        </row>
        <row r="116">
          <cell r="A116" t="str">
            <v>Р. Македонија - државна обврзница DO2015/37-0930dk</v>
          </cell>
        </row>
        <row r="117">
          <cell r="A117" t="str">
            <v>Р. Македонија - државна обврзница DO2019/13-1024</v>
          </cell>
        </row>
        <row r="118">
          <cell r="A118" t="str">
            <v>Р. Македонија - државна обврзница DO2015/45-1225dk</v>
          </cell>
        </row>
        <row r="119">
          <cell r="A119" t="str">
            <v>Р. Македонија - државна обврзница DO2019/06-0449dk</v>
          </cell>
        </row>
        <row r="120">
          <cell r="A120" t="str">
            <v>Р. Македонија - државна обврзница DO2019/10-0749dk</v>
          </cell>
        </row>
        <row r="121">
          <cell r="A121" t="str">
            <v>Р. Македонија - државна обврзница DO2016/17-0826</v>
          </cell>
        </row>
        <row r="122">
          <cell r="A122" t="str">
            <v>Р. Македонија - државна обврзница DO2016/18-0826dk</v>
          </cell>
        </row>
        <row r="123">
          <cell r="A123" t="str">
            <v>Р. Македонија - државна обврзница DO2016/19-0831dk</v>
          </cell>
        </row>
        <row r="124">
          <cell r="A124" t="str">
            <v>Р. Македонија - државна обврзница DO2018/22-1020dk</v>
          </cell>
        </row>
        <row r="125">
          <cell r="A125" t="str">
            <v>Р. Македонија - државна обврзница DO2018/23-1048dk</v>
          </cell>
        </row>
        <row r="126">
          <cell r="A126" t="str">
            <v>Р. Македонија - државна обврзница DO2018/14-0723</v>
          </cell>
        </row>
        <row r="127">
          <cell r="A127" t="str">
            <v>Р. Македонија - државна обврзница DO2018/15-0748dk</v>
          </cell>
        </row>
        <row r="128">
          <cell r="A128" t="str">
            <v>Р. Македонија - државна обврзница DO2019/12-0934</v>
          </cell>
          <cell r="B128">
            <v>100</v>
          </cell>
        </row>
        <row r="129">
          <cell r="A129" t="str">
            <v>Р. Македонија - државна обврзница DO2017/32-1032dk</v>
          </cell>
        </row>
        <row r="130">
          <cell r="A130" t="str">
            <v>Р. Македонија - државна обврзница DO2015/42-1125dk</v>
          </cell>
        </row>
        <row r="131">
          <cell r="A131" t="str">
            <v>Р. Македонија - државна обврзница DO2015/43-1130dk</v>
          </cell>
        </row>
        <row r="132">
          <cell r="A132" t="str">
            <v>Р. Македонија - државна обврзница DO2017/20-0732dk</v>
          </cell>
        </row>
        <row r="133">
          <cell r="A133" t="str">
            <v>Р. Македонија - државна обврзница DO2015/32-0825</v>
          </cell>
        </row>
        <row r="134">
          <cell r="A134" t="str">
            <v>Р. Македонија - државна обврзница DO2015/33-0830dk</v>
          </cell>
        </row>
        <row r="135">
          <cell r="A135" t="str">
            <v>Р. Македонија - државна обврзница DO2018/18-0921</v>
          </cell>
        </row>
        <row r="136">
          <cell r="A136" t="str">
            <v>Р. Македонија - државна обврзница DO2018/19-0933</v>
          </cell>
        </row>
        <row r="137">
          <cell r="A137" t="str">
            <v>Р. Македонија - државна обврзница DO2018/20-0933dk</v>
          </cell>
        </row>
        <row r="138">
          <cell r="A138" t="str">
            <v>Р. Македонија - државна обврзница DO2015/18-0525dk</v>
          </cell>
        </row>
        <row r="139">
          <cell r="A139" t="str">
            <v>Р. Македонија - државна обврзница DO2018/13-0633dk</v>
          </cell>
        </row>
        <row r="140">
          <cell r="A140" t="str">
            <v>Р. Македонија - државна обврзница DO2014/18-0824dk</v>
          </cell>
        </row>
        <row r="141">
          <cell r="A141" t="str">
            <v>Р. Македонија - државна обврзница DO2017/27-0932dk</v>
          </cell>
        </row>
        <row r="142">
          <cell r="A142" t="str">
            <v>Р. Македонија - државна обврзница DO2016/03-0131dk</v>
          </cell>
        </row>
        <row r="143">
          <cell r="A143" t="str">
            <v>Р. Македонија - државна обврзница DO2017/17-0632dk</v>
          </cell>
        </row>
        <row r="144">
          <cell r="A144" t="str">
            <v>Р. Македонија - државна обврзница DO2016/21-0931dk</v>
          </cell>
        </row>
        <row r="145">
          <cell r="A145" t="str">
            <v>Р. Македонија - државна обврзница DO2018/26-1120dk</v>
          </cell>
        </row>
        <row r="146">
          <cell r="A146" t="str">
            <v>Р. Македонија - државна обврзница DO2018/27-1133dk</v>
          </cell>
          <cell r="B146">
            <v>106.8</v>
          </cell>
        </row>
        <row r="147">
          <cell r="A147" t="str">
            <v>Р. Македонија - државна обврзница DO2016/29-1231dk</v>
          </cell>
        </row>
        <row r="148">
          <cell r="A148" t="str">
            <v>Р. Македонија - државна обврзница DO2014/02-0124</v>
          </cell>
        </row>
        <row r="149">
          <cell r="A149" t="str">
            <v>Р. Македонија - државна обврзница DO2014/03-0124dk</v>
          </cell>
        </row>
        <row r="150">
          <cell r="A150" t="str">
            <v>Р. Македонија - државна обврзница DO2017/10-0332dk</v>
          </cell>
        </row>
        <row r="151">
          <cell r="A151" t="str">
            <v>Р. Македонија - државна обврзница DO2016/14-0631dk</v>
          </cell>
        </row>
        <row r="152">
          <cell r="A152" t="str">
            <v>Р. Македонија - државна обврзница DO2015/27-0725dk</v>
          </cell>
        </row>
        <row r="153">
          <cell r="A153" t="str">
            <v>Р. Македонија - државна обврзница DO2015/28-0730dk</v>
          </cell>
        </row>
        <row r="154">
          <cell r="A154" t="str">
            <v>Р. Македонија - државна обврзница DO2017/36-1132dk</v>
          </cell>
        </row>
        <row r="155">
          <cell r="A155" t="str">
            <v>Р. Македонија - државна обврзница DO2016/09-0326</v>
          </cell>
        </row>
        <row r="156">
          <cell r="A156" t="str">
            <v>Р. Македонија - државна обврзница DO2014/17-0724dk</v>
          </cell>
        </row>
        <row r="157">
          <cell r="A157" t="str">
            <v>Р. Македонија - државна обврзница DO2015/38-0925dk</v>
          </cell>
        </row>
        <row r="158">
          <cell r="A158" t="str">
            <v>Р. Македонија - државна обврзница DO2015/39-0930dk</v>
          </cell>
        </row>
        <row r="159">
          <cell r="A159" t="str">
            <v>Р. Македонија - државна обврзница DO2015/46-1225dk</v>
          </cell>
        </row>
        <row r="160">
          <cell r="A160" t="str">
            <v>Р. Македонија - државна обврзница DO2018/04-0133</v>
          </cell>
        </row>
        <row r="161">
          <cell r="A161" t="str">
            <v>Р. Македонија - државна обврзница DO2018/05-0133dk</v>
          </cell>
        </row>
        <row r="162">
          <cell r="A162" t="str">
            <v>Р. Македонија - државна обврзница DO2015/20-0625</v>
          </cell>
        </row>
        <row r="163">
          <cell r="A163" t="str">
            <v>Р. Македонија - државна обврзница DO2015/21-0625dk</v>
          </cell>
        </row>
        <row r="164">
          <cell r="A164" t="str">
            <v>Р. Македонија - државна обврзница DO2015/22-0630dk</v>
          </cell>
        </row>
        <row r="165">
          <cell r="A165" t="str">
            <v>Р. Македонија - државна обврзница DO2017/05-0132dk</v>
          </cell>
        </row>
        <row r="166">
          <cell r="A166" t="str">
            <v>Р. Македонија - државна обврзница DO2015/08-0230dk</v>
          </cell>
        </row>
        <row r="167">
          <cell r="A167" t="str">
            <v>Р. Македонија - државна обврзница DO2015/12-0325</v>
          </cell>
        </row>
        <row r="168">
          <cell r="A168" t="str">
            <v>Р. Македонија - државна обврзница DO2015/13-0330dk</v>
          </cell>
        </row>
        <row r="169">
          <cell r="A169" t="str">
            <v>Р. Македонија - државна обврзница DO2018/11-0448dk</v>
          </cell>
        </row>
        <row r="170">
          <cell r="A170" t="str">
            <v>Р. Македонија - државна обврзница DO2015/34-0825</v>
          </cell>
        </row>
        <row r="171">
          <cell r="A171" t="str">
            <v>Р. Македонија - државна обврзница DO2015/35-0825dk</v>
          </cell>
        </row>
        <row r="172">
          <cell r="A172" t="str">
            <v>Р. Македонија - државна обврзница DO2015/36-0830dk</v>
          </cell>
        </row>
        <row r="173">
          <cell r="A173" t="str">
            <v>Р. Македонија - државна обврзница DO2018/29-1220dk</v>
          </cell>
        </row>
        <row r="174">
          <cell r="A174" t="str">
            <v>Р. Македонија - државна обврзница DO2016/04-0131dk</v>
          </cell>
        </row>
        <row r="175">
          <cell r="A175" t="str">
            <v>Р. Македонија - државна обврзница DO2019/04-0234</v>
          </cell>
          <cell r="B175">
            <v>101</v>
          </cell>
        </row>
        <row r="176">
          <cell r="A176" t="str">
            <v>Р. Македонија - државна обврзница DO2016/16-0731dk</v>
          </cell>
        </row>
        <row r="177">
          <cell r="A177" t="str">
            <v>Р. Македонија - државна обврзница DO2015/03-0125</v>
          </cell>
        </row>
        <row r="178">
          <cell r="A178" t="str">
            <v>Р. Македонија - државна обврзница DO2015/04-0125dk</v>
          </cell>
        </row>
        <row r="179">
          <cell r="A179" t="str">
            <v>Р. Македонија - државна обврзница DO2017/18-0632dk</v>
          </cell>
        </row>
        <row r="180">
          <cell r="A180" t="str">
            <v>Р. Македонија - државна обврзница DO2016/22-0931dk</v>
          </cell>
        </row>
        <row r="181">
          <cell r="A181" t="str">
            <v>Р. Македонија - државна обврзница DO2015/41-1030dk</v>
          </cell>
        </row>
        <row r="182">
          <cell r="A182" t="str">
            <v>Р. Македонија - државна обврзница DO2020/01-0150dk</v>
          </cell>
        </row>
        <row r="183">
          <cell r="A183" t="str">
            <v>Р. Македонија - државна обврзница DO2017/11-0332dk</v>
          </cell>
        </row>
        <row r="184">
          <cell r="A184" t="str">
            <v>Р. Македонија - државна обврзница DO2020/04-0450dk</v>
          </cell>
        </row>
        <row r="185">
          <cell r="A185" t="str">
            <v>Р. Македонија - државна обврзница DO2015/29-0730dk</v>
          </cell>
        </row>
        <row r="186">
          <cell r="A186" t="str">
            <v>Р. Македонија - државна обврзница DO2014/30-1024dk</v>
          </cell>
        </row>
        <row r="187">
          <cell r="A187" t="str">
            <v>Р. Македонија - државна обврзница DO2017/37-1132dk</v>
          </cell>
        </row>
        <row r="188">
          <cell r="A188" t="str">
            <v>Р. Македонија - државна обврзница DO2019/02-0149dk</v>
          </cell>
        </row>
        <row r="189">
          <cell r="A189" t="str">
            <v>Р. Македонија - државна обврзница DO2016/10-0331dk</v>
          </cell>
        </row>
        <row r="190">
          <cell r="A190" t="str">
            <v>Р. Македонија - државна обврзница DO2019/14-1049dk</v>
          </cell>
          <cell r="B190">
            <v>103.5</v>
          </cell>
        </row>
        <row r="191">
          <cell r="A191" t="str">
            <v>Р. Македонија - денационализација 10</v>
          </cell>
          <cell r="B191">
            <v>99</v>
          </cell>
        </row>
        <row r="192">
          <cell r="A192" t="str">
            <v>Р. Македонија - денационализација 11</v>
          </cell>
        </row>
        <row r="193">
          <cell r="A193" t="str">
            <v>Р. Македонија - денационализација 12</v>
          </cell>
          <cell r="B193">
            <v>99.5</v>
          </cell>
        </row>
        <row r="194">
          <cell r="A194" t="str">
            <v>Р. Македонија - денационализација 13</v>
          </cell>
          <cell r="B194">
            <v>99</v>
          </cell>
        </row>
        <row r="195">
          <cell r="A195" t="str">
            <v>Р. Македонија - денационализација 14</v>
          </cell>
          <cell r="B195">
            <v>99.2</v>
          </cell>
        </row>
        <row r="196">
          <cell r="A196" t="str">
            <v>Р. Македонија - денационализација 15</v>
          </cell>
          <cell r="B196">
            <v>99</v>
          </cell>
        </row>
        <row r="197">
          <cell r="A197" t="str">
            <v>Р. Македонија - денационализација 16</v>
          </cell>
          <cell r="B197">
            <v>98.9</v>
          </cell>
        </row>
        <row r="198">
          <cell r="A198" t="str">
            <v>Р. Македонија - денационализација 17</v>
          </cell>
          <cell r="B198">
            <v>98</v>
          </cell>
        </row>
        <row r="199">
          <cell r="A199" t="str">
            <v>Р. Македонија - денационализација 18</v>
          </cell>
          <cell r="B199">
            <v>99</v>
          </cell>
        </row>
        <row r="200">
          <cell r="A200" t="str">
            <v>ТТК банка АД Скопје - корпоративна обврзница I емисија</v>
          </cell>
        </row>
        <row r="201">
          <cell r="A201" t="str">
            <v>ТТК банка АД Скопје - корпоративна обврзница II емисија</v>
          </cell>
        </row>
        <row r="202">
          <cell r="A202" t="str">
            <v>Берзанска котација - други хартии од вредност</v>
          </cell>
        </row>
        <row r="203">
          <cell r="A203" t="str">
            <v>Универзална Инвестициона Банка Скопје - перпетуални обврзници</v>
          </cell>
          <cell r="B203">
            <v>101.5</v>
          </cell>
        </row>
        <row r="204">
          <cell r="A204" t="str">
            <v>Задолжителна котација - обични акции</v>
          </cell>
        </row>
        <row r="205">
          <cell r="A205" t="str">
            <v>Адинг Скопје</v>
          </cell>
          <cell r="B205">
            <v>618</v>
          </cell>
        </row>
        <row r="206">
          <cell r="A206" t="str">
            <v>Агроплод Ресен</v>
          </cell>
          <cell r="B206">
            <v>11900</v>
          </cell>
        </row>
        <row r="207">
          <cell r="A207" t="str">
            <v>Агромеханика Скопје</v>
          </cell>
          <cell r="B207">
            <v>300</v>
          </cell>
        </row>
        <row r="208">
          <cell r="A208" t="str">
            <v>Ангропромет-Тиквешанка Кавадарци</v>
          </cell>
          <cell r="B208">
            <v>750</v>
          </cell>
        </row>
        <row r="209">
          <cell r="A209" t="str">
            <v>Аутомакедонија Скопје</v>
          </cell>
          <cell r="B209">
            <v>2200</v>
          </cell>
        </row>
        <row r="210">
          <cell r="A210" t="str">
            <v>Рудници Бањани Скопје</v>
          </cell>
          <cell r="B210">
            <v>603</v>
          </cell>
        </row>
        <row r="211">
          <cell r="A211" t="str">
            <v>Благој Ѓорев Велес</v>
          </cell>
          <cell r="B211">
            <v>152</v>
          </cell>
        </row>
        <row r="212">
          <cell r="A212" t="str">
            <v>БИМ Свети Николе</v>
          </cell>
        </row>
        <row r="213">
          <cell r="A213" t="str">
            <v>Благој Туфанов Радовиш</v>
          </cell>
          <cell r="B213">
            <v>100</v>
          </cell>
        </row>
        <row r="214">
          <cell r="A214" t="str">
            <v>ФЗЦ 11 Октомври Куманово</v>
          </cell>
        </row>
        <row r="215">
          <cell r="A215" t="str">
            <v>Централна кооперативна банка Скопје</v>
          </cell>
        </row>
        <row r="216">
          <cell r="A216" t="str">
            <v>Дебарски бањи Дебар</v>
          </cell>
          <cell r="B216">
            <v>1550</v>
          </cell>
        </row>
        <row r="217">
          <cell r="A217" t="str">
            <v>Димко Митрев Велес</v>
          </cell>
        </row>
        <row r="218">
          <cell r="A218" t="str">
            <v>Единство Струмица</v>
          </cell>
          <cell r="B218">
            <v>303</v>
          </cell>
        </row>
        <row r="219">
          <cell r="A219" t="str">
            <v>Европа Скопје</v>
          </cell>
          <cell r="B219">
            <v>3010</v>
          </cell>
        </row>
        <row r="220">
          <cell r="A220" t="str">
            <v>Факом Скопје</v>
          </cell>
        </row>
        <row r="221">
          <cell r="A221" t="str">
            <v>Фустеларко Борец Битола</v>
          </cell>
        </row>
        <row r="222">
          <cell r="A222" t="str">
            <v>Герас Цунев конфекција Струмица</v>
          </cell>
        </row>
        <row r="223">
          <cell r="A223" t="str">
            <v>Герас Цунев трговија Струмица</v>
          </cell>
        </row>
        <row r="224">
          <cell r="A224" t="str">
            <v>Грозд Струмица</v>
          </cell>
        </row>
        <row r="225">
          <cell r="A225" t="str">
            <v>Градски Трговски Центар Скопје</v>
          </cell>
        </row>
        <row r="226">
          <cell r="A226" t="str">
            <v>ИДЕВЕЛОП Скопје</v>
          </cell>
          <cell r="B226">
            <v>20</v>
          </cell>
        </row>
        <row r="227">
          <cell r="A227" t="str">
            <v>Интерпромет Тетово</v>
          </cell>
          <cell r="B227">
            <v>1500</v>
          </cell>
        </row>
        <row r="228">
          <cell r="A228" t="str">
            <v>Осигурување Македонија АД Скопје - Виена Иншуренс Груп</v>
          </cell>
        </row>
        <row r="229">
          <cell r="A229" t="str">
            <v>Кланица со ладилник Струмица</v>
          </cell>
        </row>
        <row r="230">
          <cell r="A230" t="str">
            <v>Фруктал МАК Скопје</v>
          </cell>
        </row>
        <row r="231">
          <cell r="A231" t="str">
            <v>Карпош Скопје</v>
          </cell>
        </row>
        <row r="232">
          <cell r="A232" t="str">
            <v>Карбо-Нова</v>
          </cell>
        </row>
        <row r="233">
          <cell r="A233" t="str">
            <v>Лотарија на Македонија Скопје</v>
          </cell>
        </row>
        <row r="234">
          <cell r="A234" t="str">
            <v>Пелистерка АД Скопје</v>
          </cell>
        </row>
        <row r="235">
          <cell r="A235" t="str">
            <v>Макпромет Штип</v>
          </cell>
        </row>
        <row r="236">
          <cell r="A236" t="str">
            <v>Мермерен комбинат Прилеп</v>
          </cell>
        </row>
        <row r="237">
          <cell r="A237" t="str">
            <v>Мода Свети Николе</v>
          </cell>
        </row>
        <row r="238">
          <cell r="A238" t="str">
            <v>Вабтек МЗТ Скопје</v>
          </cell>
        </row>
        <row r="239">
          <cell r="A239" t="str">
            <v>МЗТ Пумпи Скопје</v>
          </cell>
        </row>
        <row r="240">
          <cell r="A240" t="str">
            <v>Огражден Струмица</v>
          </cell>
        </row>
        <row r="241">
          <cell r="A241" t="str">
            <v>Нова стоковна куќа Струмица</v>
          </cell>
        </row>
        <row r="242">
          <cell r="A242" t="str">
            <v>Оилко КДА Скопје</v>
          </cell>
        </row>
        <row r="243">
          <cell r="A243" t="str">
            <v>ОКТА Скопје</v>
          </cell>
        </row>
        <row r="244">
          <cell r="A244" t="str">
            <v>Оранжерии Хамзали Струмица</v>
          </cell>
        </row>
        <row r="245">
          <cell r="A245" t="str">
            <v>Пекабеско Скопје</v>
          </cell>
        </row>
        <row r="246">
          <cell r="A246" t="str">
            <v>Попова Кула Демир Капија</v>
          </cell>
        </row>
        <row r="247">
          <cell r="A247" t="str">
            <v>Прилепска Пиварница Прилеп</v>
          </cell>
        </row>
        <row r="248">
          <cell r="A248" t="str">
            <v>Раде Кончар Скопје</v>
          </cell>
        </row>
        <row r="249">
          <cell r="A249" t="str">
            <v>РЖ Економика Скопје</v>
          </cell>
        </row>
        <row r="250">
          <cell r="A250" t="str">
            <v>Арцелормиттал Скопје (ХРМ) Скопје</v>
          </cell>
        </row>
        <row r="251">
          <cell r="A251" t="str">
            <v>Либерти АД Скопје</v>
          </cell>
        </row>
        <row r="252">
          <cell r="A252" t="str">
            <v>РЖ Техничка контрола Скопје</v>
          </cell>
        </row>
        <row r="253">
          <cell r="A253" t="str">
            <v>РЖ Уготур Скопје</v>
          </cell>
        </row>
        <row r="254">
          <cell r="A254" t="str">
            <v>Современ дом Прилеп</v>
          </cell>
        </row>
        <row r="255">
          <cell r="A255" t="str">
            <v>Силекс Кратово</v>
          </cell>
        </row>
        <row r="256">
          <cell r="A256" t="str">
            <v>Сковин Скопје</v>
          </cell>
        </row>
        <row r="257">
          <cell r="A257" t="str">
            <v>Славеј Скопје</v>
          </cell>
        </row>
        <row r="258">
          <cell r="A258" t="str">
            <v>Струмичко поле с.Василево</v>
          </cell>
        </row>
        <row r="259">
          <cell r="A259" t="str">
            <v>Сигурносно стакло Прилеп</v>
          </cell>
        </row>
        <row r="260">
          <cell r="A260" t="str">
            <v>Стопанска банка Скопје</v>
          </cell>
        </row>
        <row r="261">
          <cell r="A261" t="str">
            <v>Стокопромет Скопје</v>
          </cell>
        </row>
        <row r="262">
          <cell r="A262" t="str">
            <v>Тајмиште Кичево</v>
          </cell>
        </row>
        <row r="263">
          <cell r="A263" t="str">
            <v>ТЕАЛ-Алумина Тетово</v>
          </cell>
        </row>
        <row r="264">
          <cell r="A264" t="str">
            <v>Технокомерц Скопје</v>
          </cell>
        </row>
        <row r="265">
          <cell r="A265" t="str">
            <v>Македонски Телеком Скопје</v>
          </cell>
        </row>
        <row r="266">
          <cell r="A266" t="str">
            <v>ГД-Тиквеш Кавадарци</v>
          </cell>
        </row>
        <row r="267">
          <cell r="A267" t="str">
            <v>НЛБ Банка АД Скопје</v>
          </cell>
        </row>
        <row r="268">
          <cell r="A268" t="str">
            <v>Трудбеник Охрид</v>
          </cell>
        </row>
        <row r="269">
          <cell r="A269" t="str">
            <v>Транскоп-Патнички сооб. Битола</v>
          </cell>
        </row>
        <row r="270">
          <cell r="A270" t="str">
            <v>Трготекстил малопродажба Скопје</v>
          </cell>
        </row>
        <row r="271">
          <cell r="A271" t="str">
            <v>Универзална Инвестициона Банка Скопје</v>
          </cell>
        </row>
        <row r="272">
          <cell r="A272" t="str">
            <v>Цементарница УСЈЕ Скопје</v>
          </cell>
        </row>
        <row r="273">
          <cell r="A273" t="str">
            <v>Триглав осигурување Скопје</v>
          </cell>
        </row>
        <row r="274">
          <cell r="A274" t="str">
            <v>Ветекс Велес</v>
          </cell>
        </row>
        <row r="275">
          <cell r="A275" t="str">
            <v>ЖАС Скопје</v>
          </cell>
        </row>
        <row r="276">
          <cell r="A276" t="str">
            <v>Жито Караорман Кичево</v>
          </cell>
        </row>
        <row r="277">
          <cell r="A277" t="str">
            <v>Жито Полог Тетово</v>
          </cell>
        </row>
        <row r="278">
          <cell r="A278" t="str">
            <v>Задолжителна котација - приоритетни акции</v>
          </cell>
        </row>
        <row r="279">
          <cell r="A279" t="str">
            <v>Стопанска банка Скопје</v>
          </cell>
        </row>
        <row r="280">
          <cell r="A280" t="str">
            <v>Редовен пазар</v>
          </cell>
        </row>
        <row r="281">
          <cell r="A281" t="str">
            <v>Пазар на акционерски друштва со посебни обврски за известување - обични акции</v>
          </cell>
        </row>
        <row r="282">
          <cell r="A282" t="str">
            <v>Агросервис Скопје</v>
          </cell>
        </row>
        <row r="283">
          <cell r="A283" t="str">
            <v>Слободен пазар - обични акции</v>
          </cell>
        </row>
        <row r="284">
          <cell r="A284" t="str">
            <v>Аитоникс АД Скопје</v>
          </cell>
        </row>
        <row r="285">
          <cell r="A285" t="str">
            <v>Квасара Битола</v>
          </cell>
        </row>
        <row r="286">
          <cell r="A286" t="str">
            <v>БЛОКОВИ</v>
          </cell>
        </row>
        <row r="287">
          <cell r="A287" t="str">
            <v>Официјален пазар</v>
          </cell>
        </row>
        <row r="288">
          <cell r="A288" t="str">
            <v>Супер котација - обични акции</v>
          </cell>
        </row>
        <row r="289">
          <cell r="A289" t="str">
            <v>Комерцијална банка Скопје</v>
          </cell>
        </row>
        <row r="290">
          <cell r="A290" t="str">
            <v>Комерцијална банка Скопје</v>
          </cell>
        </row>
        <row r="291">
          <cell r="A291" t="str">
            <v>Вкупен промет на сите пазарни сегменти: 42.327.803,00</v>
          </cell>
        </row>
        <row r="292">
          <cell r="A292" t="str">
            <v>МБИ10</v>
          </cell>
        </row>
        <row r="293">
          <cell r="A293" t="str">
            <v>ОМБ</v>
          </cell>
        </row>
        <row r="294">
          <cell r="A294" t="str">
            <v>1 EUR = 61,6950 МКД</v>
          </cell>
        </row>
      </sheetData>
      <sheetData sheetId="1"/>
      <sheetData sheetId="2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Тетекс Тетово</v>
          </cell>
        </row>
        <row r="28">
          <cell r="A28" t="str">
            <v>Тутунски комбинат Прилеп</v>
          </cell>
        </row>
        <row r="29">
          <cell r="A29" t="str">
            <v>ВВ Тиквеш АД Кавадарци</v>
          </cell>
        </row>
        <row r="30">
          <cell r="A30" t="str">
            <v>ТТК Банка АД Скопје</v>
          </cell>
        </row>
        <row r="31">
          <cell r="A31" t="str">
            <v>Витаминка Прилеп</v>
          </cell>
        </row>
        <row r="32">
          <cell r="A32" t="str">
            <v>Жито Лукс Скопје</v>
          </cell>
        </row>
        <row r="33">
          <cell r="A33" t="str">
            <v>ЗК Пелагонија Битола</v>
          </cell>
        </row>
        <row r="34">
          <cell r="A34" t="str">
            <v>Берзанска котација - приоритетни акции</v>
          </cell>
        </row>
        <row r="35">
          <cell r="A35" t="str">
            <v>Скопски пазар Скопје</v>
          </cell>
        </row>
        <row r="36">
          <cell r="A36" t="str">
            <v>Жито лукс Скопје</v>
          </cell>
        </row>
        <row r="37">
          <cell r="A37" t="str">
            <v>Берзанска котација - обврзници</v>
          </cell>
        </row>
        <row r="38">
          <cell r="A38" t="str">
            <v>Централна кооперативна банка АД Скопје - конвертибилни обврзници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DO2018/24-1120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DO2017/34-1120</v>
          </cell>
        </row>
        <row r="46">
          <cell r="A46" t="str">
            <v>Р. Македонија - државна обврзница DO2017/35-1132dk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DO2017/14-0532dk</v>
          </cell>
        </row>
        <row r="51">
          <cell r="A51" t="str">
            <v>Р. Македонија - државна обврзница DO2015/19-0630dk</v>
          </cell>
        </row>
        <row r="52">
          <cell r="A52" t="str">
            <v>Р. Македонија - државна обврзница DO2014/19-0924dk</v>
          </cell>
        </row>
        <row r="53">
          <cell r="A53" t="str">
            <v>Р. Македонија - државна обврзница DO2018/21-1021dk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DO2020/03-0325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државна обврзница DO2017/29-1020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DO2019/16-1234dk</v>
          </cell>
        </row>
        <row r="60">
          <cell r="A60" t="str">
            <v>Р. Македонија - државна обврзница DO2017/12-0432dk</v>
          </cell>
        </row>
        <row r="61">
          <cell r="A61" t="str">
            <v>Р. Македонија - државна обврзница DO2017/19-0732dk</v>
          </cell>
        </row>
        <row r="62">
          <cell r="A62" t="str">
            <v>Р. Македонија - државна обврзница DO2015/30-0825dk</v>
          </cell>
        </row>
        <row r="63">
          <cell r="A63" t="str">
            <v>Р. Македонија - државна обврзница DO2015/31-0830dk</v>
          </cell>
        </row>
        <row r="64">
          <cell r="A64" t="str">
            <v>Р. Македонија - државна обврзница DO2018/28-1220dk</v>
          </cell>
        </row>
        <row r="65">
          <cell r="A65" t="str">
            <v>Р. Македонија - државна обврзница DO2019/05-0324</v>
          </cell>
        </row>
        <row r="66">
          <cell r="A66" t="str">
            <v>Р. Македонија - државна обврзница DO2016/11-0426dk</v>
          </cell>
        </row>
        <row r="67">
          <cell r="A67" t="str">
            <v>Р. Македонија - државна обврзница DO2015/17-0530dk</v>
          </cell>
        </row>
        <row r="68">
          <cell r="A68" t="str">
            <v>Р. Македонија - државна обврзница DO2018/12-0633</v>
          </cell>
        </row>
        <row r="69">
          <cell r="A69" t="str">
            <v>Р. Македонија - државна обврзница DO2017/26-0932dk</v>
          </cell>
        </row>
        <row r="70">
          <cell r="A70" t="str">
            <v>Р. Македонија - државна обврзница DO2019/15-1134</v>
          </cell>
        </row>
        <row r="71">
          <cell r="A71" t="str">
            <v>Р. Македонија - државна обврзница DO2017/38-1232dk</v>
          </cell>
        </row>
        <row r="72">
          <cell r="A72" t="str">
            <v>Р. Македонија - државна обврзница DO2018/10-0333dk</v>
          </cell>
        </row>
        <row r="73">
          <cell r="A73" t="str">
            <v>Р. Македонија - државна обврзница DO2017/16-0632dk</v>
          </cell>
        </row>
        <row r="74">
          <cell r="A74" t="str">
            <v>Р. Македонија - државна обврзница DO2016/15-0731dk</v>
          </cell>
        </row>
        <row r="75">
          <cell r="A75" t="str">
            <v>Р. Македонија - државна обврзница DO2019/11-0834dk</v>
          </cell>
        </row>
        <row r="76">
          <cell r="A76" t="str">
            <v>Р. Македонија - државна обврзница DO2015/40-1030dk</v>
          </cell>
        </row>
        <row r="77">
          <cell r="A77" t="str">
            <v>Р. Македонија - државна обврзница DO2017/08-0332dk</v>
          </cell>
        </row>
        <row r="78">
          <cell r="A78" t="str">
            <v>Р. Македонија - државна обврзница DO2016/13-0631dk</v>
          </cell>
        </row>
        <row r="79">
          <cell r="A79" t="str">
            <v>Р. Македонија - државна обврзница DO2015/23-0725</v>
          </cell>
        </row>
        <row r="80">
          <cell r="A80" t="str">
            <v>Р. Македонија - државна обврзница DO2015/24-0725dk</v>
          </cell>
        </row>
        <row r="81">
          <cell r="A81" t="str">
            <v>Р. Македонија - државна обврзница DO2015/25-0730dk</v>
          </cell>
        </row>
        <row r="82">
          <cell r="A82" t="str">
            <v>Р. Македонија - државна обврзница DO2018/16-0821</v>
          </cell>
        </row>
        <row r="83">
          <cell r="A83" t="str">
            <v>Р. Македонија - државна обврзница DO2018/17-0833dk</v>
          </cell>
        </row>
        <row r="84">
          <cell r="A84" t="str">
            <v>Р. Македонија - државна обврзница DO2017/21-0822dk</v>
          </cell>
        </row>
        <row r="85">
          <cell r="A85" t="str">
            <v>Р. Македонија - државна обврзница DO2017/22-0832dk</v>
          </cell>
        </row>
        <row r="86">
          <cell r="A86" t="str">
            <v>Р. Македонија - државна обврзница DO2018/01-0121</v>
          </cell>
        </row>
        <row r="87">
          <cell r="A87" t="str">
            <v>Р. Македонија - државна обврзница DO2018/02-0128</v>
          </cell>
        </row>
        <row r="88">
          <cell r="A88" t="str">
            <v>Р. Македонија - државна обврзница DO2018/03-0133dk</v>
          </cell>
        </row>
        <row r="89">
          <cell r="A89" t="str">
            <v>Р. Македонија - државна обврзница DO2016/05-0226</v>
          </cell>
        </row>
        <row r="90">
          <cell r="A90" t="str">
            <v>Р. Македонија - државна обврзница DO2016/06-0226dk</v>
          </cell>
        </row>
        <row r="91">
          <cell r="A91" t="str">
            <v>Р. Македонија - државна обврзница DO2016/07-0231dk</v>
          </cell>
        </row>
        <row r="92">
          <cell r="A92" t="str">
            <v>Р. Македонија - државна обврзница DO2017/02-0132dk</v>
          </cell>
        </row>
        <row r="93">
          <cell r="A93" t="str">
            <v>Р. Македонија - државна обврзница DO2015/05-0230dk</v>
          </cell>
        </row>
        <row r="94">
          <cell r="A94" t="str">
            <v>Р. Македонија - државна обврзница DO2015/09-0325</v>
          </cell>
        </row>
        <row r="95">
          <cell r="A95" t="str">
            <v>Р. Македонија - државна обврзница DO2015/10-0330dk</v>
          </cell>
        </row>
        <row r="96">
          <cell r="A96" t="str">
            <v>Р. Македонија - државна обврзница DO2020/02-0235</v>
          </cell>
        </row>
        <row r="97">
          <cell r="A97" t="str">
            <v>Р. Македонија - државна обврзница DO2016/01-0126dk</v>
          </cell>
        </row>
        <row r="98">
          <cell r="A98" t="str">
            <v>Р. Македонија - државна обврзница DO2016/02-0131dk</v>
          </cell>
        </row>
        <row r="99">
          <cell r="A99" t="str">
            <v>Р. Македонија - државна обврзница DO2019/03-0224dk</v>
          </cell>
        </row>
        <row r="100">
          <cell r="A100" t="str">
            <v>Р. Македонија - државна обврзница DO2016/12-0431dk</v>
          </cell>
        </row>
        <row r="101">
          <cell r="A101" t="str">
            <v>Р. Македонија - државна обврзница DO2016/23-1031dk</v>
          </cell>
        </row>
        <row r="102">
          <cell r="A102" t="str">
            <v>Р. Македонија - државна обврзница DO2018/06-0221</v>
          </cell>
        </row>
        <row r="103">
          <cell r="A103" t="str">
            <v>Р. Македонија - државна обврзница DO2018/07-0223</v>
          </cell>
        </row>
        <row r="104">
          <cell r="A104" t="str">
            <v>Р. Македонија - државна обврзница DO2018/08-0233dk</v>
          </cell>
        </row>
        <row r="105">
          <cell r="A105" t="str">
            <v>Р. Македонија - државна обврзница DO2017/06-0232dk</v>
          </cell>
        </row>
        <row r="106">
          <cell r="A106" t="str">
            <v>Р. Македонија - државна обврзница DO2015/15-0430dk</v>
          </cell>
        </row>
        <row r="107">
          <cell r="A107" t="str">
            <v>Р. Македонија - државна обврзница DO2019/08-0524</v>
          </cell>
        </row>
        <row r="108">
          <cell r="A108" t="str">
            <v>Р. Македонија - државна обврзница DO2019/09-0534</v>
          </cell>
        </row>
        <row r="109">
          <cell r="A109" t="str">
            <v>Р. Македонија - државна обврзница DO2014/27-1024</v>
          </cell>
        </row>
        <row r="110">
          <cell r="A110" t="str">
            <v>Р. Македонија - државна обврзница DO2014/28-1024dk</v>
          </cell>
        </row>
        <row r="111">
          <cell r="A111" t="str">
            <v>Р. Македонија - државна обврзница DO2019/01-0121</v>
          </cell>
        </row>
        <row r="112">
          <cell r="A112" t="str">
            <v>Р. Македонија - државна обврзница DO2016/08-0331dk</v>
          </cell>
        </row>
        <row r="113">
          <cell r="A113" t="str">
            <v>Р. Македонија - државна обврзница DO2017/23-0822dk</v>
          </cell>
        </row>
        <row r="114">
          <cell r="A114" t="str">
            <v>Р. Македонија - државна обврзница DO2017/24-0832dk</v>
          </cell>
        </row>
        <row r="115">
          <cell r="A115" t="str">
            <v>Р. Македонија - државна обврзница DO2015/37-0930dk</v>
          </cell>
        </row>
        <row r="116">
          <cell r="A116" t="str">
            <v>Р. Македонија - државна обврзница DO2019/13-1024</v>
          </cell>
        </row>
        <row r="117">
          <cell r="A117" t="str">
            <v>Р. Македонија - државна обврзница DO2015/45-1225dk</v>
          </cell>
        </row>
        <row r="118">
          <cell r="A118" t="str">
            <v>Р. Македонија - државна обврзница DO2019/06-0449dk</v>
          </cell>
        </row>
        <row r="119">
          <cell r="A119" t="str">
            <v>Р. Македонија - државна обврзница DO2019/10-0749dk</v>
          </cell>
        </row>
        <row r="120">
          <cell r="A120" t="str">
            <v>Р. Македонија - државна обврзница DO2016/17-0826</v>
          </cell>
        </row>
        <row r="121">
          <cell r="A121" t="str">
            <v>Р. Македонија - државна обврзница DO2016/18-0826dk</v>
          </cell>
        </row>
        <row r="122">
          <cell r="A122" t="str">
            <v>Р. Македонија - државна обврзница DO2016/19-0831dk</v>
          </cell>
        </row>
        <row r="123">
          <cell r="A123" t="str">
            <v>Р. Македонија - државна обврзница DO2018/22-1020dk</v>
          </cell>
        </row>
        <row r="124">
          <cell r="A124" t="str">
            <v>Р. Македонија - државна обврзница DO2018/23-1048dk</v>
          </cell>
        </row>
        <row r="125">
          <cell r="A125" t="str">
            <v>Р. Македонија - државна обврзница DO2018/14-0723</v>
          </cell>
        </row>
        <row r="126">
          <cell r="A126" t="str">
            <v>Р. Македонија - државна обврзница DO2018/15-0748dk</v>
          </cell>
        </row>
        <row r="127">
          <cell r="A127" t="str">
            <v>Р. Македонија - државна обврзница DO2019/12-0934</v>
          </cell>
          <cell r="B127">
            <v>100</v>
          </cell>
        </row>
        <row r="128">
          <cell r="A128" t="str">
            <v>Р. Македонија - државна обврзница DO2017/32-1032dk</v>
          </cell>
        </row>
        <row r="129">
          <cell r="A129" t="str">
            <v>Р. Македонија - државна обврзница DO2015/42-1125dk</v>
          </cell>
        </row>
        <row r="130">
          <cell r="A130" t="str">
            <v>Р. Македонија - државна обврзница DO2015/43-1130dk</v>
          </cell>
        </row>
        <row r="131">
          <cell r="A131" t="str">
            <v>Р. Македонија - државна обврзница DO2017/20-0732dk</v>
          </cell>
        </row>
        <row r="132">
          <cell r="A132" t="str">
            <v>Р. Македонија - државна обврзница DO2015/32-0825</v>
          </cell>
        </row>
        <row r="133">
          <cell r="A133" t="str">
            <v>Р. Македонија - државна обврзница DO2015/33-0830dk</v>
          </cell>
        </row>
        <row r="134">
          <cell r="A134" t="str">
            <v>Р. Македонија - државна обврзница DO2018/18-0921</v>
          </cell>
        </row>
        <row r="135">
          <cell r="A135" t="str">
            <v>Р. Македонија - државна обврзница DO2018/19-0933</v>
          </cell>
        </row>
        <row r="136">
          <cell r="A136" t="str">
            <v>Р. Македонија - државна обврзница DO2018/20-0933dk</v>
          </cell>
        </row>
        <row r="137">
          <cell r="A137" t="str">
            <v>Р. Македонија - државна обврзница DO2015/18-0525dk</v>
          </cell>
        </row>
        <row r="138">
          <cell r="A138" t="str">
            <v>Р. Македонија - државна обврзница DO2018/13-0633dk</v>
          </cell>
        </row>
        <row r="139">
          <cell r="A139" t="str">
            <v>Р. Македонија - државна обврзница DO2014/18-0824dk</v>
          </cell>
        </row>
        <row r="140">
          <cell r="A140" t="str">
            <v>Р. Македонија - државна обврзница DO2017/27-0932dk</v>
          </cell>
        </row>
        <row r="141">
          <cell r="A141" t="str">
            <v>Р. Македонија - државна обврзница DO2016/03-0131dk</v>
          </cell>
        </row>
        <row r="142">
          <cell r="A142" t="str">
            <v>Р. Македонија - државна обврзница DO2017/17-0632dk</v>
          </cell>
        </row>
        <row r="143">
          <cell r="A143" t="str">
            <v>Р. Македонија - државна обврзница DO2016/21-0931dk</v>
          </cell>
        </row>
        <row r="144">
          <cell r="A144" t="str">
            <v>Р. Македонија - државна обврзница DO2018/26-1120dk</v>
          </cell>
        </row>
        <row r="145">
          <cell r="A145" t="str">
            <v>Р. Македонија - државна обврзница DO2018/27-1133dk</v>
          </cell>
        </row>
        <row r="146">
          <cell r="A146" t="str">
            <v>Р. Македонија - државна обврзница DO2016/29-1231dk</v>
          </cell>
        </row>
        <row r="147">
          <cell r="A147" t="str">
            <v>Р. Македонија - државна обврзница DO2014/02-0124</v>
          </cell>
        </row>
        <row r="148">
          <cell r="A148" t="str">
            <v>Р. Македонија - државна обврзница DO2014/03-0124dk</v>
          </cell>
        </row>
        <row r="149">
          <cell r="A149" t="str">
            <v>Р. Македонија - државна обврзница DO2017/10-0332dk</v>
          </cell>
        </row>
        <row r="150">
          <cell r="A150" t="str">
            <v>Р. Македонија - државна обврзница DO2016/14-0631dk</v>
          </cell>
        </row>
        <row r="151">
          <cell r="A151" t="str">
            <v>Р. Македонија - државна обврзница DO2015/27-0725dk</v>
          </cell>
        </row>
        <row r="152">
          <cell r="A152" t="str">
            <v>Р. Македонија - државна обврзница DO2015/28-0730dk</v>
          </cell>
        </row>
        <row r="153">
          <cell r="A153" t="str">
            <v>Р. Македонија - државна обврзница DO2017/36-1132dk</v>
          </cell>
        </row>
        <row r="154">
          <cell r="A154" t="str">
            <v>Р. Македонија - државна обврзница DO2016/09-0326</v>
          </cell>
        </row>
        <row r="155">
          <cell r="A155" t="str">
            <v>Р. Македонија - државна обврзница DO2014/17-0724dk</v>
          </cell>
        </row>
        <row r="156">
          <cell r="A156" t="str">
            <v>Р. Македонија - државна обврзница DO2015/38-0925dk</v>
          </cell>
        </row>
        <row r="157">
          <cell r="A157" t="str">
            <v>Р. Македонија - државна обврзница DO2015/39-0930dk</v>
          </cell>
        </row>
        <row r="158">
          <cell r="A158" t="str">
            <v>Р. Македонија - државна обврзница DO2015/46-1225dk</v>
          </cell>
        </row>
        <row r="159">
          <cell r="A159" t="str">
            <v>Р. Македонија - државна обврзница DO2018/04-0133</v>
          </cell>
        </row>
        <row r="160">
          <cell r="A160" t="str">
            <v>Р. Македонија - државна обврзница DO2018/05-0133dk</v>
          </cell>
        </row>
        <row r="161">
          <cell r="A161" t="str">
            <v>Р. Македонија - државна обврзница DO2015/20-0625</v>
          </cell>
        </row>
        <row r="162">
          <cell r="A162" t="str">
            <v>Р. Македонија - државна обврзница DO2015/21-0625dk</v>
          </cell>
        </row>
        <row r="163">
          <cell r="A163" t="str">
            <v>Р. Македонија - државна обврзница DO2015/22-0630dk</v>
          </cell>
        </row>
        <row r="164">
          <cell r="A164" t="str">
            <v>Р. Македонија - државна обврзница DO2017/05-0132dk</v>
          </cell>
        </row>
        <row r="165">
          <cell r="A165" t="str">
            <v>Р. Македонија - државна обврзница DO2015/08-0230dk</v>
          </cell>
        </row>
        <row r="166">
          <cell r="A166" t="str">
            <v>Р. Македонија - државна обврзница DO2015/12-0325</v>
          </cell>
        </row>
        <row r="167">
          <cell r="A167" t="str">
            <v>Р. Македонија - државна обврзница DO2015/13-0330dk</v>
          </cell>
        </row>
        <row r="168">
          <cell r="A168" t="str">
            <v>Р. Македонија - државна обврзница DO2018/11-0448dk</v>
          </cell>
        </row>
        <row r="169">
          <cell r="A169" t="str">
            <v>Р. Македонија - државна обврзница DO2015/34-0825</v>
          </cell>
        </row>
        <row r="170">
          <cell r="A170" t="str">
            <v>Р. Македонија - државна обврзница DO2015/35-0825dk</v>
          </cell>
        </row>
        <row r="171">
          <cell r="A171" t="str">
            <v>Р. Македонија - државна обврзница DO2015/36-0830dk</v>
          </cell>
        </row>
        <row r="172">
          <cell r="A172" t="str">
            <v>Р. Македонија - државна обврзница DO2018/29-1220dk</v>
          </cell>
        </row>
        <row r="173">
          <cell r="A173" t="str">
            <v>Р. Македонија - државна обврзница DO2016/04-0131dk</v>
          </cell>
        </row>
        <row r="174">
          <cell r="A174" t="str">
            <v>Р. Македонија - државна обврзница DO2019/04-0234</v>
          </cell>
          <cell r="B174">
            <v>101</v>
          </cell>
        </row>
        <row r="175">
          <cell r="A175" t="str">
            <v>Р. Македонија - државна обврзница DO2016/16-0731dk</v>
          </cell>
        </row>
        <row r="176">
          <cell r="A176" t="str">
            <v>Р. Македонија - државна обврзница DO2015/03-0125</v>
          </cell>
        </row>
        <row r="177">
          <cell r="A177" t="str">
            <v>Р. Македонија - државна обврзница DO2015/04-0125dk</v>
          </cell>
        </row>
        <row r="178">
          <cell r="A178" t="str">
            <v>Р. Македонија - државна обврзница DO2017/18-0632dk</v>
          </cell>
        </row>
        <row r="179">
          <cell r="A179" t="str">
            <v>Р. Македонија - државна обврзница DO2016/22-0931dk</v>
          </cell>
        </row>
        <row r="180">
          <cell r="A180" t="str">
            <v>Р. Македонија - државна обврзница DO2015/41-1030dk</v>
          </cell>
        </row>
        <row r="181">
          <cell r="A181" t="str">
            <v>Р. Македонија - државна обврзница DO2020/01-0150dk</v>
          </cell>
        </row>
        <row r="182">
          <cell r="A182" t="str">
            <v>Р. Македонија - државна обврзница DO2017/11-0332dk</v>
          </cell>
        </row>
        <row r="183">
          <cell r="A183" t="str">
            <v>Р. Македонија - државна обврзница DO2015/29-0730dk</v>
          </cell>
        </row>
        <row r="184">
          <cell r="A184" t="str">
            <v>Р. Македонија - државна обврзница DO2014/30-1024dk</v>
          </cell>
        </row>
        <row r="185">
          <cell r="A185" t="str">
            <v>Р. Македонија - државна обврзница DO2017/37-1132dk</v>
          </cell>
        </row>
        <row r="186">
          <cell r="A186" t="str">
            <v>Р. Македонија - државна обврзница DO2019/02-0149dk</v>
          </cell>
        </row>
        <row r="187">
          <cell r="A187" t="str">
            <v>Р. Македонија - државна обврзница DO2016/10-0331dk</v>
          </cell>
        </row>
        <row r="188">
          <cell r="A188" t="str">
            <v>Р. Македонија - државна обврзница DO2019/14-1049dk</v>
          </cell>
        </row>
        <row r="189">
          <cell r="A189" t="str">
            <v>Р. Македонија - денационализација 09</v>
          </cell>
          <cell r="B189">
            <v>98.3</v>
          </cell>
        </row>
        <row r="190">
          <cell r="A190" t="str">
            <v>Р. Македонија - денационализација 10</v>
          </cell>
          <cell r="B190">
            <v>99</v>
          </cell>
        </row>
        <row r="191">
          <cell r="A191" t="str">
            <v>Р. Македонија - денационализација 11</v>
          </cell>
          <cell r="B191">
            <v>99</v>
          </cell>
        </row>
        <row r="192">
          <cell r="A192" t="str">
            <v>Р. Македонија - денационализација 12</v>
          </cell>
          <cell r="B192">
            <v>99.5</v>
          </cell>
        </row>
        <row r="193">
          <cell r="A193" t="str">
            <v>Р. Македонија - денационализација 13</v>
          </cell>
          <cell r="B193">
            <v>99</v>
          </cell>
        </row>
        <row r="194">
          <cell r="A194" t="str">
            <v>Р. Македонија - денационализација 14</v>
          </cell>
          <cell r="B194">
            <v>99.2</v>
          </cell>
        </row>
        <row r="195">
          <cell r="A195" t="str">
            <v>Р. Македонија - денационализација 15</v>
          </cell>
          <cell r="B195">
            <v>99</v>
          </cell>
        </row>
        <row r="196">
          <cell r="A196" t="str">
            <v>Р. Македонија - денационализација 16</v>
          </cell>
          <cell r="B196">
            <v>99</v>
          </cell>
        </row>
        <row r="197">
          <cell r="A197" t="str">
            <v>Р. Македонија - денационализација 17</v>
          </cell>
          <cell r="B197">
            <v>99</v>
          </cell>
        </row>
        <row r="198">
          <cell r="A198" t="str">
            <v>Р. Македонија - денационализација 18</v>
          </cell>
        </row>
        <row r="199">
          <cell r="A199" t="str">
            <v>Обв. за надом. на сел. кредити на НБРМ</v>
          </cell>
        </row>
        <row r="200">
          <cell r="A200" t="str">
            <v>ТТК банка АД Скопје - корпоративна обврзница I емисија</v>
          </cell>
        </row>
        <row r="201">
          <cell r="A201" t="str">
            <v>Берзанска котација - други хартии од вредност</v>
          </cell>
        </row>
        <row r="202">
          <cell r="A202" t="str">
            <v>Универзална Инвестициона Банка Скопје - перпетуални обврзници</v>
          </cell>
          <cell r="B202">
            <v>101.8</v>
          </cell>
        </row>
        <row r="203">
          <cell r="A203" t="str">
            <v>Задолжителна котација - обични акции</v>
          </cell>
        </row>
        <row r="204">
          <cell r="A204" t="str">
            <v>Адинг Скопје</v>
          </cell>
          <cell r="B204">
            <v>660</v>
          </cell>
        </row>
        <row r="205">
          <cell r="A205" t="str">
            <v>Агроплод Ресен</v>
          </cell>
          <cell r="B205">
            <v>11900</v>
          </cell>
        </row>
        <row r="206">
          <cell r="A206" t="str">
            <v>Агромеханика Скопје</v>
          </cell>
          <cell r="B206">
            <v>300</v>
          </cell>
        </row>
        <row r="207">
          <cell r="A207" t="str">
            <v>Ангропромет-Тиквешанка Кавадарци</v>
          </cell>
          <cell r="B207">
            <v>750</v>
          </cell>
        </row>
        <row r="208">
          <cell r="A208" t="str">
            <v>Аутомакедонија Скопје</v>
          </cell>
        </row>
        <row r="209">
          <cell r="A209" t="str">
            <v>Рудници Бањани Скопје</v>
          </cell>
          <cell r="B209">
            <v>603</v>
          </cell>
        </row>
        <row r="210">
          <cell r="A210" t="str">
            <v>Благој Ѓорев Велес</v>
          </cell>
        </row>
        <row r="211">
          <cell r="A211" t="str">
            <v>БИМ Свети Николе</v>
          </cell>
        </row>
        <row r="212">
          <cell r="A212" t="str">
            <v>Благој Туфанов Радовиш</v>
          </cell>
          <cell r="B212">
            <v>100</v>
          </cell>
        </row>
        <row r="213">
          <cell r="A213" t="str">
            <v>ФЗЦ 11 Октомври Куманово</v>
          </cell>
        </row>
        <row r="214">
          <cell r="A214" t="str">
            <v>Централна кооперативна банка Скопје</v>
          </cell>
          <cell r="B214">
            <v>700</v>
          </cell>
        </row>
        <row r="215">
          <cell r="A215" t="str">
            <v>Дебарски бањи Дебар</v>
          </cell>
          <cell r="B215">
            <v>1550</v>
          </cell>
        </row>
        <row r="216">
          <cell r="A216" t="str">
            <v>Димко Митрев Велес</v>
          </cell>
          <cell r="B216">
            <v>185</v>
          </cell>
        </row>
        <row r="217">
          <cell r="A217" t="str">
            <v>Единство Струмица</v>
          </cell>
          <cell r="B217">
            <v>303</v>
          </cell>
        </row>
        <row r="218">
          <cell r="A218" t="str">
            <v>Европа Скопје</v>
          </cell>
          <cell r="B218">
            <v>3010</v>
          </cell>
        </row>
        <row r="219">
          <cell r="A219" t="str">
            <v>Факом Скопје</v>
          </cell>
        </row>
        <row r="220">
          <cell r="A220" t="str">
            <v>Фустеларко Борец Битола</v>
          </cell>
          <cell r="B220">
            <v>1200</v>
          </cell>
        </row>
        <row r="221">
          <cell r="A221" t="str">
            <v>Герас Цунев конфекција Струмица</v>
          </cell>
          <cell r="B221">
            <v>500</v>
          </cell>
        </row>
        <row r="222">
          <cell r="A222" t="str">
            <v>Герас Цунев трговија Струмица</v>
          </cell>
        </row>
        <row r="223">
          <cell r="A223" t="str">
            <v>Грозд Струмица</v>
          </cell>
        </row>
        <row r="224">
          <cell r="A224" t="str">
            <v>Градски Трговски Центар Скопје</v>
          </cell>
        </row>
        <row r="225">
          <cell r="A225" t="str">
            <v>ИДЕВЕЛОП Скопје</v>
          </cell>
        </row>
        <row r="226">
          <cell r="A226" t="str">
            <v>Интерпромет Тетово</v>
          </cell>
        </row>
        <row r="227">
          <cell r="A227" t="str">
            <v>Осигурување Македонија АД Скопје - Виена Иншуренс Груп</v>
          </cell>
        </row>
        <row r="228">
          <cell r="A228" t="str">
            <v>Кланица со ладилник Струмица</v>
          </cell>
        </row>
        <row r="229">
          <cell r="A229" t="str">
            <v>Фруктал МАК Скопје</v>
          </cell>
        </row>
        <row r="230">
          <cell r="A230" t="str">
            <v>Карпош Скопје</v>
          </cell>
        </row>
        <row r="231">
          <cell r="A231" t="str">
            <v>Карбо-Нова</v>
          </cell>
        </row>
        <row r="232">
          <cell r="A232" t="str">
            <v>Лотарија на Македонија Скопје</v>
          </cell>
        </row>
        <row r="233">
          <cell r="A233" t="str">
            <v>Пелистерка АД Скопје</v>
          </cell>
        </row>
        <row r="234">
          <cell r="A234" t="str">
            <v>Макпромет Штип</v>
          </cell>
        </row>
        <row r="235">
          <cell r="A235" t="str">
            <v>Мермерен комбинат Прилеп</v>
          </cell>
        </row>
        <row r="236">
          <cell r="A236" t="str">
            <v>Мода Свети Николе</v>
          </cell>
        </row>
        <row r="237">
          <cell r="A237" t="str">
            <v>Вабтек МЗТ Скопје</v>
          </cell>
        </row>
        <row r="238">
          <cell r="A238" t="str">
            <v>МЗТ Пумпи Скопје</v>
          </cell>
        </row>
        <row r="239">
          <cell r="A239" t="str">
            <v>Огражден Струмица</v>
          </cell>
        </row>
        <row r="240">
          <cell r="A240" t="str">
            <v>Нова стоковна куќа Струмица</v>
          </cell>
        </row>
        <row r="241">
          <cell r="A241" t="str">
            <v>Оилко КДА Скопје</v>
          </cell>
        </row>
        <row r="242">
          <cell r="A242" t="str">
            <v>ОКТА Скопје</v>
          </cell>
        </row>
        <row r="243">
          <cell r="A243" t="str">
            <v>Оранжерии Хамзали Струмица</v>
          </cell>
        </row>
        <row r="244">
          <cell r="A244" t="str">
            <v>Пекабеско Скопје</v>
          </cell>
        </row>
        <row r="245">
          <cell r="A245" t="str">
            <v>Попова Кула Демир Капија</v>
          </cell>
        </row>
        <row r="246">
          <cell r="A246" t="str">
            <v>Прилепска Пиварница Прилеп</v>
          </cell>
        </row>
        <row r="247">
          <cell r="A247" t="str">
            <v>Раде Кончар Скопје</v>
          </cell>
        </row>
        <row r="248">
          <cell r="A248" t="str">
            <v>РЖ Економика Скопје</v>
          </cell>
        </row>
        <row r="249">
          <cell r="A249" t="str">
            <v>Арцелормиттал Скопје (ХРМ) Скопје</v>
          </cell>
        </row>
        <row r="250">
          <cell r="A250" t="str">
            <v>Арцелормиттал Скопје (ЦРМ) Скопје</v>
          </cell>
        </row>
        <row r="251">
          <cell r="A251" t="str">
            <v>РЖ Техничка контрола Скопје</v>
          </cell>
        </row>
        <row r="252">
          <cell r="A252" t="str">
            <v>РЖ Уготур Скопје</v>
          </cell>
        </row>
        <row r="253">
          <cell r="A253" t="str">
            <v>Современ дом Прилеп</v>
          </cell>
        </row>
        <row r="254">
          <cell r="A254" t="str">
            <v>Силекс Кратово</v>
          </cell>
        </row>
        <row r="255">
          <cell r="A255" t="str">
            <v>Сковин Скопје</v>
          </cell>
        </row>
        <row r="256">
          <cell r="A256" t="str">
            <v>Славеј Скопје</v>
          </cell>
        </row>
        <row r="257">
          <cell r="A257" t="str">
            <v>Струмичко поле с.Василево</v>
          </cell>
        </row>
        <row r="258">
          <cell r="A258" t="str">
            <v>Сигурносно стакло Прилеп</v>
          </cell>
        </row>
        <row r="259">
          <cell r="A259" t="str">
            <v>Стопанска банка Скопје</v>
          </cell>
        </row>
        <row r="260">
          <cell r="A260" t="str">
            <v>Стокопромет Скопје</v>
          </cell>
        </row>
        <row r="261">
          <cell r="A261" t="str">
            <v>Тајмиште Кичево</v>
          </cell>
        </row>
        <row r="262">
          <cell r="A262" t="str">
            <v>ТЕАЛ-Алумина Тетово</v>
          </cell>
        </row>
        <row r="263">
          <cell r="A263" t="str">
            <v>Технокомерц Скопје</v>
          </cell>
        </row>
        <row r="264">
          <cell r="A264" t="str">
            <v>Македонски Телеком Скопје</v>
          </cell>
        </row>
        <row r="265">
          <cell r="A265" t="str">
            <v>ГД-Тиквеш Кавадарци</v>
          </cell>
        </row>
        <row r="266">
          <cell r="A266" t="str">
            <v>НЛБ Банка АД Скопје</v>
          </cell>
        </row>
        <row r="267">
          <cell r="A267" t="str">
            <v>Трудбеник Охрид</v>
          </cell>
        </row>
        <row r="268">
          <cell r="A268" t="str">
            <v>Транскоп-Патнички сооб. Битола</v>
          </cell>
        </row>
        <row r="269">
          <cell r="A269" t="str">
            <v>Трготекстил малопродажба Скопје</v>
          </cell>
        </row>
        <row r="270">
          <cell r="A270" t="str">
            <v>Универзална Инвестициона Банка Скопје</v>
          </cell>
        </row>
        <row r="271">
          <cell r="A271" t="str">
            <v>Цементарница УСЈЕ Скопје</v>
          </cell>
        </row>
        <row r="272">
          <cell r="A272" t="str">
            <v>Триглав осигурување Скопје</v>
          </cell>
        </row>
        <row r="273">
          <cell r="A273" t="str">
            <v>Ветекс Велес</v>
          </cell>
        </row>
        <row r="274">
          <cell r="A274" t="str">
            <v>ЖАС Скопје</v>
          </cell>
        </row>
        <row r="275">
          <cell r="A275" t="str">
            <v>Жито Караорман Кичево</v>
          </cell>
        </row>
        <row r="276">
          <cell r="A276" t="str">
            <v>Жито Полог Тетово</v>
          </cell>
        </row>
        <row r="277">
          <cell r="A277" t="str">
            <v>Задолжителна котација - приоритетни акции</v>
          </cell>
        </row>
        <row r="278">
          <cell r="A278" t="str">
            <v>Стопанска банка Скопје</v>
          </cell>
        </row>
        <row r="279">
          <cell r="A279" t="str">
            <v>Редовен пазар</v>
          </cell>
        </row>
        <row r="280">
          <cell r="A280" t="str">
            <v>Пазар на акционерски друштва со посебни обврски за известување - обични акции</v>
          </cell>
        </row>
        <row r="281">
          <cell r="A281" t="str">
            <v>Агросервис Скопје</v>
          </cell>
        </row>
        <row r="282">
          <cell r="A282" t="str">
            <v>Слободен пазар - обични акции</v>
          </cell>
        </row>
        <row r="283">
          <cell r="A283" t="str">
            <v>Еуропрофил с. Алданци Крушево</v>
          </cell>
        </row>
        <row r="284">
          <cell r="A284" t="str">
            <v>Квасара Битола</v>
          </cell>
        </row>
        <row r="285">
          <cell r="A285" t="str">
            <v>Просветно дело Скопје</v>
          </cell>
        </row>
        <row r="286">
          <cell r="A286" t="str">
            <v>Златара Рубин Скопје</v>
          </cell>
        </row>
        <row r="287">
          <cell r="A287" t="str">
            <v>ЗУМ АД Скопје</v>
          </cell>
        </row>
        <row r="288">
          <cell r="A288" t="str">
            <v>Вкупен промет на сите пазарни сегменти: 33.328.501,00</v>
          </cell>
        </row>
        <row r="289">
          <cell r="A289" t="str">
            <v>МБИ10</v>
          </cell>
        </row>
        <row r="290">
          <cell r="A290" t="str">
            <v>ОМБ</v>
          </cell>
        </row>
        <row r="291">
          <cell r="A291" t="str">
            <v>1 EUR = 61,6950 МКД</v>
          </cell>
        </row>
      </sheetData>
      <sheetData sheetId="1"/>
      <sheetData sheetId="2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Тетекс Тетово</v>
          </cell>
        </row>
        <row r="28">
          <cell r="A28" t="str">
            <v>Тутунски комбинат Прилеп</v>
          </cell>
        </row>
        <row r="29">
          <cell r="A29" t="str">
            <v>ВВ Тиквеш АД Кавадарци</v>
          </cell>
        </row>
        <row r="30">
          <cell r="A30" t="str">
            <v>ТТК Банка АД Скопје</v>
          </cell>
        </row>
        <row r="31">
          <cell r="A31" t="str">
            <v>Витаминка Прилеп</v>
          </cell>
        </row>
        <row r="32">
          <cell r="A32" t="str">
            <v>Жито Лукс Скопје</v>
          </cell>
        </row>
        <row r="33">
          <cell r="A33" t="str">
            <v>ЗК Пелагонија Битола</v>
          </cell>
        </row>
        <row r="34">
          <cell r="A34" t="str">
            <v>Берзанска котација - приоритетни акции</v>
          </cell>
        </row>
        <row r="35">
          <cell r="A35" t="str">
            <v>Скопски пазар Скопје</v>
          </cell>
        </row>
        <row r="36">
          <cell r="A36" t="str">
            <v>Жито лукс Скопје</v>
          </cell>
        </row>
        <row r="37">
          <cell r="A37" t="str">
            <v>Берзанска котација - обврзници</v>
          </cell>
        </row>
        <row r="38">
          <cell r="A38" t="str">
            <v>Централна кооперативна банка АД Скопје - конвертибилни обврзници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DO2018/24-1120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DO2017/34-1120</v>
          </cell>
        </row>
        <row r="46">
          <cell r="A46" t="str">
            <v>Р. Македонија - државна обврзница DO2017/35-1132dk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DO2017/14-0532dk</v>
          </cell>
        </row>
        <row r="51">
          <cell r="A51" t="str">
            <v>Р. Македонија - државна обврзница DO2015/19-0630dk</v>
          </cell>
        </row>
        <row r="52">
          <cell r="A52" t="str">
            <v>Р. Македонија - државна обврзница DO2014/19-0924dk</v>
          </cell>
        </row>
        <row r="53">
          <cell r="A53" t="str">
            <v>Р. Македонија - државна обврзница DO2018/21-1021dk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DO2014/13-0624dk</v>
          </cell>
        </row>
        <row r="56">
          <cell r="A56" t="str">
            <v>Р. Македонија - државна обврзница DO2017/29-1020</v>
          </cell>
        </row>
        <row r="57">
          <cell r="A57" t="str">
            <v>Р. Македонија - државна обврзница DO2017/30-1032dk</v>
          </cell>
        </row>
        <row r="58">
          <cell r="A58" t="str">
            <v>Р. Македонија - државна обврзница DO2019/16-1234dk</v>
          </cell>
        </row>
        <row r="59">
          <cell r="A59" t="str">
            <v>Р. Македонија - државна обврзница DO2017/12-0432dk</v>
          </cell>
        </row>
        <row r="60">
          <cell r="A60" t="str">
            <v>Р. Македонија - државна обврзница DO2017/19-0732dk</v>
          </cell>
        </row>
        <row r="61">
          <cell r="A61" t="str">
            <v>Р. Македонија - државна обврзница DO2015/30-0825dk</v>
          </cell>
        </row>
        <row r="62">
          <cell r="A62" t="str">
            <v>Р. Македонија - државна обврзница DO2015/31-0830dk</v>
          </cell>
        </row>
        <row r="63">
          <cell r="A63" t="str">
            <v>Р. Македонија - државна обврзница DO2018/28-1220dk</v>
          </cell>
        </row>
        <row r="64">
          <cell r="A64" t="str">
            <v>Р. Македонија - државна обврзница DO2019/05-0324</v>
          </cell>
        </row>
        <row r="65">
          <cell r="A65" t="str">
            <v>Р. Македонија - државна обврзница DO2016/11-0426dk</v>
          </cell>
        </row>
        <row r="66">
          <cell r="A66" t="str">
            <v>Р. Македонија - државна обврзница DO2015/17-0530dk</v>
          </cell>
        </row>
        <row r="67">
          <cell r="A67" t="str">
            <v>Р. Македонија - државна обврзница DO2018/12-0633</v>
          </cell>
        </row>
        <row r="68">
          <cell r="A68" t="str">
            <v>Р. Македонија - државна обврзница DO2017/26-0932dk</v>
          </cell>
        </row>
        <row r="69">
          <cell r="A69" t="str">
            <v>Р. Македонија - државна обврзница DO2019/15-1134</v>
          </cell>
        </row>
        <row r="70">
          <cell r="A70" t="str">
            <v>Р. Македонија - државна обврзница DO2017/38-1232dk</v>
          </cell>
        </row>
        <row r="71">
          <cell r="A71" t="str">
            <v>Р. Македонија - државна обврзница DO2018/09-0320</v>
          </cell>
        </row>
        <row r="72">
          <cell r="A72" t="str">
            <v>Р. Македонија - државна обврзница DO2018/10-0333dk</v>
          </cell>
        </row>
        <row r="73">
          <cell r="A73" t="str">
            <v>Р. Македонија - државна обврзница DO2017/16-0632dk</v>
          </cell>
        </row>
        <row r="74">
          <cell r="A74" t="str">
            <v>Р. Македонија - државна обврзница DO2016/15-0731dk</v>
          </cell>
        </row>
        <row r="75">
          <cell r="A75" t="str">
            <v>Р. Македонија - државна обврзница DO2019/11-0834dk</v>
          </cell>
        </row>
        <row r="76">
          <cell r="A76" t="str">
            <v>Р. Македонија - државна обврзница DO2015/40-1030dk</v>
          </cell>
        </row>
        <row r="77">
          <cell r="A77" t="str">
            <v>Р. Македонија - државна обврзница DO2017/08-0332dk</v>
          </cell>
        </row>
        <row r="78">
          <cell r="A78" t="str">
            <v>Р. Македонија - државна обврзница DO2016/13-0631dk</v>
          </cell>
        </row>
        <row r="79">
          <cell r="A79" t="str">
            <v>Р. Македонија - државна обврзница DO2015/23-0725</v>
          </cell>
        </row>
        <row r="80">
          <cell r="A80" t="str">
            <v>Р. Македонија - државна обврзница DO2015/24-0725dk</v>
          </cell>
        </row>
        <row r="81">
          <cell r="A81" t="str">
            <v>Р. Македонија - државна обврзница DO2015/25-0730dk</v>
          </cell>
        </row>
        <row r="82">
          <cell r="A82" t="str">
            <v>Р. Македонија - државна обврзница DO2018/16-0821</v>
          </cell>
        </row>
        <row r="83">
          <cell r="A83" t="str">
            <v>Р. Македонија - државна обврзница DO2018/17-0833dk</v>
          </cell>
        </row>
        <row r="84">
          <cell r="A84" t="str">
            <v>Р. Македонија - државна обврзница DO2017/21-0822dk</v>
          </cell>
        </row>
        <row r="85">
          <cell r="A85" t="str">
            <v>Р. Македонија - државна обврзница DO2017/22-0832dk</v>
          </cell>
        </row>
        <row r="86">
          <cell r="A86" t="str">
            <v>Р. Македонија - државна обврзница DO2018/01-0121</v>
          </cell>
        </row>
        <row r="87">
          <cell r="A87" t="str">
            <v>Р. Македонија - државна обврзница DO2018/02-0128</v>
          </cell>
        </row>
        <row r="88">
          <cell r="A88" t="str">
            <v>Р. Македонија - државна обврзница DO2018/03-0133dk</v>
          </cell>
        </row>
        <row r="89">
          <cell r="A89" t="str">
            <v>Р. Македонија - државна обврзница DO2016/05-0226</v>
          </cell>
        </row>
        <row r="90">
          <cell r="A90" t="str">
            <v>Р. Македонија - државна обврзница DO2016/06-0226dk</v>
          </cell>
        </row>
        <row r="91">
          <cell r="A91" t="str">
            <v>Р. Македонија - државна обврзница DO2016/07-0231dk</v>
          </cell>
        </row>
        <row r="92">
          <cell r="A92" t="str">
            <v>Р. Македонија - државна обврзница DO2017/02-0132dk</v>
          </cell>
        </row>
        <row r="93">
          <cell r="A93" t="str">
            <v>Р. Македонија - државна обврзница DO2015/05-0230dk</v>
          </cell>
        </row>
        <row r="94">
          <cell r="A94" t="str">
            <v>Р. Македонија - државна обврзница DO2015/09-0325</v>
          </cell>
        </row>
        <row r="95">
          <cell r="A95" t="str">
            <v>Р. Македонија - државна обврзница DO2015/10-0330dk</v>
          </cell>
        </row>
        <row r="96">
          <cell r="A96" t="str">
            <v>Р. Македонија - државна обврзница DO2020/02-0235</v>
          </cell>
        </row>
        <row r="97">
          <cell r="A97" t="str">
            <v>Р. Македонија - државна обврзница DO2016/01-0126dk</v>
          </cell>
        </row>
        <row r="98">
          <cell r="A98" t="str">
            <v>Р. Македонија - државна обврзница DO2016/02-0131dk</v>
          </cell>
        </row>
        <row r="99">
          <cell r="A99" t="str">
            <v>Р. Македонија - државна обврзница DO2019/03-0224dk</v>
          </cell>
        </row>
        <row r="100">
          <cell r="A100" t="str">
            <v>Р. Македонија - државна обврзница DO2016/12-0431dk</v>
          </cell>
        </row>
        <row r="101">
          <cell r="A101" t="str">
            <v>Р. Македонија - државна обврзница DO2016/23-1031dk</v>
          </cell>
        </row>
        <row r="102">
          <cell r="A102" t="str">
            <v>Р. Македонија - државна обврзница DO2018/06-0221</v>
          </cell>
        </row>
        <row r="103">
          <cell r="A103" t="str">
            <v>Р. Македонија - државна обврзница DO2018/07-0223</v>
          </cell>
        </row>
        <row r="104">
          <cell r="A104" t="str">
            <v>Р. Македонија - државна обврзница DO2018/08-0233dk</v>
          </cell>
        </row>
        <row r="105">
          <cell r="A105" t="str">
            <v>Р. Македонија - државна обврзница DO2017/06-0232dk</v>
          </cell>
        </row>
        <row r="106">
          <cell r="A106" t="str">
            <v>Р. Македонија - државна обврзница DO2015/15-0430dk</v>
          </cell>
        </row>
        <row r="107">
          <cell r="A107" t="str">
            <v>Р. Македонија - државна обврзница DO2019/08-0524</v>
          </cell>
        </row>
        <row r="108">
          <cell r="A108" t="str">
            <v>Р. Македонија - државна обврзница DO2019/09-0534</v>
          </cell>
        </row>
        <row r="109">
          <cell r="A109" t="str">
            <v>Р. Македонија - државна обврзница DO2014/27-1024</v>
          </cell>
        </row>
        <row r="110">
          <cell r="A110" t="str">
            <v>Р. Македонија - државна обврзница DO2014/28-1024dk</v>
          </cell>
        </row>
        <row r="111">
          <cell r="A111" t="str">
            <v>Р. Македонија - државна обврзница DO2019/01-0121</v>
          </cell>
        </row>
        <row r="112">
          <cell r="A112" t="str">
            <v>Р. Македонија - државна обврзница DO2016/08-0331dk</v>
          </cell>
        </row>
        <row r="113">
          <cell r="A113" t="str">
            <v>Р. Македонија - државна обврзница DO2017/23-0822dk</v>
          </cell>
        </row>
        <row r="114">
          <cell r="A114" t="str">
            <v>Р. Македонија - државна обврзница DO2017/24-0832dk</v>
          </cell>
        </row>
        <row r="115">
          <cell r="A115" t="str">
            <v>Р. Македонија - државна обврзница DO2015/37-0930dk</v>
          </cell>
        </row>
        <row r="116">
          <cell r="A116" t="str">
            <v>Р. Македонија - државна обврзница DO2019/13-1024</v>
          </cell>
        </row>
        <row r="117">
          <cell r="A117" t="str">
            <v>Р. Македонија - државна обврзница DO2015/45-1225dk</v>
          </cell>
        </row>
        <row r="118">
          <cell r="A118" t="str">
            <v>Р. Македонија - државна обврзница DO2019/06-0449dk</v>
          </cell>
        </row>
        <row r="119">
          <cell r="A119" t="str">
            <v>Р. Македонија - државна обврзница DO2019/10-0749dk</v>
          </cell>
        </row>
        <row r="120">
          <cell r="A120" t="str">
            <v>Р. Македонија - државна обврзница DO2016/17-0826</v>
          </cell>
        </row>
        <row r="121">
          <cell r="A121" t="str">
            <v>Р. Македонија - државна обврзница DO2016/18-0826dk</v>
          </cell>
        </row>
        <row r="122">
          <cell r="A122" t="str">
            <v>Р. Македонија - државна обврзница DO2016/19-0831dk</v>
          </cell>
        </row>
        <row r="123">
          <cell r="A123" t="str">
            <v>Р. Македонија - државна обврзница DO2018/22-1020dk</v>
          </cell>
        </row>
        <row r="124">
          <cell r="A124" t="str">
            <v>Р. Македонија - државна обврзница DO2018/23-1048dk</v>
          </cell>
        </row>
        <row r="125">
          <cell r="A125" t="str">
            <v>Р. Македонија - државна обврзница DO2018/14-0723</v>
          </cell>
        </row>
        <row r="126">
          <cell r="A126" t="str">
            <v>Р. Македонија - државна обврзница DO2018/15-0748dk</v>
          </cell>
        </row>
        <row r="127">
          <cell r="A127" t="str">
            <v>Р. Македонија - државна обврзница DO2019/12-0934</v>
          </cell>
        </row>
        <row r="128">
          <cell r="A128" t="str">
            <v>Р. Македонија - државна обврзница DO2017/32-1032dk</v>
          </cell>
        </row>
        <row r="129">
          <cell r="A129" t="str">
            <v>Р. Македонија - државна обврзница DO2015/42-1125dk</v>
          </cell>
        </row>
        <row r="130">
          <cell r="A130" t="str">
            <v>Р. Македонија - државна обврзница DO2015/43-1130dk</v>
          </cell>
        </row>
        <row r="131">
          <cell r="A131" t="str">
            <v>Р. Македонија - државна обврзница DO2017/20-0732dk</v>
          </cell>
        </row>
        <row r="132">
          <cell r="A132" t="str">
            <v>Р. Македонија - државна обврзница DO2015/32-0825</v>
          </cell>
        </row>
        <row r="133">
          <cell r="A133" t="str">
            <v>Р. Македонија - државна обврзница DO2015/33-0830dk</v>
          </cell>
        </row>
        <row r="134">
          <cell r="A134" t="str">
            <v>Р. Македонија - државна обврзница DO2018/18-0921</v>
          </cell>
        </row>
        <row r="135">
          <cell r="A135" t="str">
            <v>Р. Македонија - државна обврзница DO2018/19-0933</v>
          </cell>
        </row>
        <row r="136">
          <cell r="A136" t="str">
            <v>Р. Македонија - државна обврзница DO2018/20-0933dk</v>
          </cell>
        </row>
        <row r="137">
          <cell r="A137" t="str">
            <v>Р. Македонија - државна обврзница DO2015/18-0525dk</v>
          </cell>
        </row>
        <row r="138">
          <cell r="A138" t="str">
            <v>Р. Македонија - државна обврзница DO2018/13-0633dk</v>
          </cell>
        </row>
        <row r="139">
          <cell r="A139" t="str">
            <v>Р. Македонија - државна обврзница DO2014/18-0824dk</v>
          </cell>
        </row>
        <row r="140">
          <cell r="A140" t="str">
            <v>Р. Македонија - државна обврзница DO2017/27-0932dk</v>
          </cell>
        </row>
        <row r="141">
          <cell r="A141" t="str">
            <v>Р. Македонија - државна обврзница DO2016/03-0131dk</v>
          </cell>
        </row>
        <row r="142">
          <cell r="A142" t="str">
            <v>Р. Македонија - државна обврзница DO2017/17-0632dk</v>
          </cell>
        </row>
        <row r="143">
          <cell r="A143" t="str">
            <v>Р. Македонија - државна обврзница DO2016/21-0931dk</v>
          </cell>
        </row>
        <row r="144">
          <cell r="A144" t="str">
            <v>Р. Македонија - државна обврзница DO2018/26-1120dk</v>
          </cell>
        </row>
        <row r="145">
          <cell r="A145" t="str">
            <v>Р. Македонија - државна обврзница DO2018/27-1133dk</v>
          </cell>
        </row>
        <row r="146">
          <cell r="A146" t="str">
            <v>Р. Македонија - државна обврзница DO2016/29-1231dk</v>
          </cell>
        </row>
        <row r="147">
          <cell r="A147" t="str">
            <v>Р. Македонија - државна обврзница DO2014/02-0124</v>
          </cell>
        </row>
        <row r="148">
          <cell r="A148" t="str">
            <v>Р. Македонија - државна обврзница DO2014/03-0124dk</v>
          </cell>
        </row>
        <row r="149">
          <cell r="A149" t="str">
            <v>Р. Македонија - државна обврзница DO2017/10-0332dk</v>
          </cell>
        </row>
        <row r="150">
          <cell r="A150" t="str">
            <v>Р. Македонија - државна обврзница DO2016/14-0631dk</v>
          </cell>
        </row>
        <row r="151">
          <cell r="A151" t="str">
            <v>Р. Македонија - државна обврзница DO2015/27-0725dk</v>
          </cell>
        </row>
        <row r="152">
          <cell r="A152" t="str">
            <v>Р. Македонија - државна обврзница DO2015/28-0730dk</v>
          </cell>
        </row>
        <row r="153">
          <cell r="A153" t="str">
            <v>Р. Македонија - државна обврзница DO2017/36-1132dk</v>
          </cell>
        </row>
        <row r="154">
          <cell r="A154" t="str">
            <v>Р. Македонија - државна обврзница DO2016/09-0326</v>
          </cell>
        </row>
        <row r="155">
          <cell r="A155" t="str">
            <v>Р. Македонија - државна обврзница DO2014/17-0724dk</v>
          </cell>
        </row>
        <row r="156">
          <cell r="A156" t="str">
            <v>Р. Македонија - државна обврзница DO2015/38-0925dk</v>
          </cell>
        </row>
        <row r="157">
          <cell r="A157" t="str">
            <v>Р. Македонија - државна обврзница DO2015/39-0930dk</v>
          </cell>
        </row>
        <row r="158">
          <cell r="A158" t="str">
            <v>Р. Македонија - државна обврзница DO2015/46-1225dk</v>
          </cell>
        </row>
        <row r="159">
          <cell r="A159" t="str">
            <v>Р. Македонија - државна обврзница DO2018/04-0133</v>
          </cell>
        </row>
        <row r="160">
          <cell r="A160" t="str">
            <v>Р. Македонија - државна обврзница DO2018/05-0133dk</v>
          </cell>
        </row>
        <row r="161">
          <cell r="A161" t="str">
            <v>Р. Македонија - државна обврзница DO2015/20-0625</v>
          </cell>
        </row>
        <row r="162">
          <cell r="A162" t="str">
            <v>Р. Македонија - државна обврзница DO2015/21-0625dk</v>
          </cell>
        </row>
        <row r="163">
          <cell r="A163" t="str">
            <v>Р. Македонија - државна обврзница DO2015/22-0630dk</v>
          </cell>
        </row>
        <row r="164">
          <cell r="A164" t="str">
            <v>Р. Македонија - државна обврзница DO2017/05-0132dk</v>
          </cell>
        </row>
        <row r="165">
          <cell r="A165" t="str">
            <v>Р. Македонија - државна обврзница DO2015/08-0230dk</v>
          </cell>
        </row>
        <row r="166">
          <cell r="A166" t="str">
            <v>Р. Македонија - државна обврзница DO2015/12-0325</v>
          </cell>
        </row>
        <row r="167">
          <cell r="A167" t="str">
            <v>Р. Македонија - државна обврзница DO2015/13-0330dk</v>
          </cell>
        </row>
        <row r="168">
          <cell r="A168" t="str">
            <v>Р. Македонија - државна обврзница DO2018/11-0448dk</v>
          </cell>
        </row>
        <row r="169">
          <cell r="A169" t="str">
            <v>Р. Македонија - државна обврзница DO2015/34-0825</v>
          </cell>
        </row>
        <row r="170">
          <cell r="A170" t="str">
            <v>Р. Македонија - државна обврзница DO2015/35-0825dk</v>
          </cell>
        </row>
        <row r="171">
          <cell r="A171" t="str">
            <v>Р. Македонија - државна обврзница DO2015/36-0830dk</v>
          </cell>
        </row>
        <row r="172">
          <cell r="A172" t="str">
            <v>Р. Македонија - државна обврзница DO2018/29-1220dk</v>
          </cell>
        </row>
        <row r="173">
          <cell r="A173" t="str">
            <v>Р. Македонија - државна обврзница DO2016/04-0131dk</v>
          </cell>
        </row>
        <row r="174">
          <cell r="A174" t="str">
            <v>Р. Македонија - државна обврзница DO2019/04-0234</v>
          </cell>
          <cell r="B174">
            <v>101</v>
          </cell>
        </row>
        <row r="175">
          <cell r="A175" t="str">
            <v>Р. Македонија - државна обврзница DO2016/16-0731dk</v>
          </cell>
        </row>
        <row r="176">
          <cell r="A176" t="str">
            <v>Р. Македонија - државна обврзница DO2015/03-0125</v>
          </cell>
        </row>
        <row r="177">
          <cell r="A177" t="str">
            <v>Р. Македонија - државна обврзница DO2015/04-0125dk</v>
          </cell>
        </row>
        <row r="178">
          <cell r="A178" t="str">
            <v>Р. Македонија - државна обврзница DO2017/18-0632dk</v>
          </cell>
        </row>
        <row r="179">
          <cell r="A179" t="str">
            <v>Р. Македонија - државна обврзница DO2016/22-0931dk</v>
          </cell>
        </row>
        <row r="180">
          <cell r="A180" t="str">
            <v>Р. Македонија - државна обврзница DO2015/41-1030dk</v>
          </cell>
        </row>
        <row r="181">
          <cell r="A181" t="str">
            <v>Р. Македонија - државна обврзница DO2020/01-0150dk</v>
          </cell>
        </row>
        <row r="182">
          <cell r="A182" t="str">
            <v>Р. Македонија - државна обврзница DO2017/11-0332dk</v>
          </cell>
        </row>
        <row r="183">
          <cell r="A183" t="str">
            <v>Р. Македонија - државна обврзница DO2015/29-0730dk</v>
          </cell>
        </row>
        <row r="184">
          <cell r="A184" t="str">
            <v>Р. Македонија - државна обврзница DO2014/30-1024dk</v>
          </cell>
        </row>
        <row r="185">
          <cell r="A185" t="str">
            <v>Р. Македонија - државна обврзница DO2017/37-1132dk</v>
          </cell>
        </row>
        <row r="186">
          <cell r="A186" t="str">
            <v>Р. Македонија - државна обврзница DO2019/02-0149dk</v>
          </cell>
        </row>
        <row r="187">
          <cell r="A187" t="str">
            <v>Р. Македонија - државна обврзница DO2016/10-0331dk</v>
          </cell>
        </row>
        <row r="188">
          <cell r="A188" t="str">
            <v>Р. Македонија - државна обврзница DO2019/14-1049dk</v>
          </cell>
        </row>
        <row r="189">
          <cell r="A189" t="str">
            <v>Р. Македонија - денационализација 09</v>
          </cell>
          <cell r="B189">
            <v>98.3</v>
          </cell>
        </row>
        <row r="190">
          <cell r="A190" t="str">
            <v>Р. Македонија - денационализација 10</v>
          </cell>
          <cell r="B190">
            <v>99</v>
          </cell>
        </row>
        <row r="191">
          <cell r="A191" t="str">
            <v>Р. Македонија - денационализација 11</v>
          </cell>
          <cell r="B191">
            <v>99</v>
          </cell>
        </row>
        <row r="192">
          <cell r="A192" t="str">
            <v>Р. Македонија - денационализација 12</v>
          </cell>
          <cell r="B192">
            <v>99.5</v>
          </cell>
        </row>
        <row r="193">
          <cell r="A193" t="str">
            <v>Р. Македонија - денационализација 13</v>
          </cell>
          <cell r="B193">
            <v>99</v>
          </cell>
        </row>
        <row r="194">
          <cell r="A194" t="str">
            <v>Р. Македонија - денационализација 14</v>
          </cell>
          <cell r="B194">
            <v>99</v>
          </cell>
        </row>
        <row r="195">
          <cell r="A195" t="str">
            <v>Р. Македонија - денационализација 15</v>
          </cell>
        </row>
        <row r="196">
          <cell r="A196" t="str">
            <v>Р. Македонија - денационализација 16</v>
          </cell>
          <cell r="B196">
            <v>99</v>
          </cell>
        </row>
        <row r="197">
          <cell r="A197" t="str">
            <v>Р. Македонија - денационализација 17</v>
          </cell>
          <cell r="B197">
            <v>99</v>
          </cell>
        </row>
        <row r="198">
          <cell r="A198" t="str">
            <v>Р. Македонија - денационализација 18</v>
          </cell>
          <cell r="B198">
            <v>98.7</v>
          </cell>
        </row>
        <row r="199">
          <cell r="A199" t="str">
            <v>Обв. за надом. на сел. кредити на НБРМ</v>
          </cell>
        </row>
        <row r="200">
          <cell r="A200" t="str">
            <v>ТТК банка АД Скопје - корпоративна обврзница I емисија</v>
          </cell>
        </row>
        <row r="201">
          <cell r="A201" t="str">
            <v>Берзанска котација - други хартии од вредност</v>
          </cell>
        </row>
        <row r="202">
          <cell r="A202" t="str">
            <v>Универзална Инвестициона Банка Скопје - перпетуални обврзници</v>
          </cell>
          <cell r="B202">
            <v>101.8</v>
          </cell>
        </row>
        <row r="203">
          <cell r="A203" t="str">
            <v>Задолжителна котација - обични акции</v>
          </cell>
        </row>
        <row r="204">
          <cell r="A204" t="str">
            <v>Адинг Скопје</v>
          </cell>
          <cell r="B204">
            <v>660</v>
          </cell>
        </row>
        <row r="205">
          <cell r="A205" t="str">
            <v>Агроплод Ресен</v>
          </cell>
        </row>
        <row r="206">
          <cell r="A206" t="str">
            <v>Агромеханика Скопје</v>
          </cell>
          <cell r="B206">
            <v>300</v>
          </cell>
        </row>
        <row r="207">
          <cell r="A207" t="str">
            <v>Ангропромет-Тиквешанка Кавадарци</v>
          </cell>
          <cell r="B207">
            <v>750</v>
          </cell>
        </row>
        <row r="208">
          <cell r="A208" t="str">
            <v>Аутомакедонија Скопје</v>
          </cell>
          <cell r="B208">
            <v>2200</v>
          </cell>
        </row>
        <row r="209">
          <cell r="A209" t="str">
            <v>Рудници Бањани Скопје</v>
          </cell>
          <cell r="B209">
            <v>603</v>
          </cell>
        </row>
        <row r="210">
          <cell r="A210" t="str">
            <v>Благој Ѓорев Велес</v>
          </cell>
          <cell r="B210">
            <v>185</v>
          </cell>
        </row>
        <row r="211">
          <cell r="A211" t="str">
            <v>БИМ Свети Николе</v>
          </cell>
          <cell r="B211">
            <v>10100</v>
          </cell>
        </row>
        <row r="212">
          <cell r="A212" t="str">
            <v>Благој Туфанов Радовиш</v>
          </cell>
          <cell r="B212">
            <v>100</v>
          </cell>
        </row>
        <row r="213">
          <cell r="A213" t="str">
            <v>ФЗЦ 11 Октомври Куманово</v>
          </cell>
          <cell r="B213">
            <v>600</v>
          </cell>
        </row>
        <row r="214">
          <cell r="A214" t="str">
            <v>Централна кооперативна банка Скопје</v>
          </cell>
          <cell r="B214">
            <v>700</v>
          </cell>
        </row>
        <row r="215">
          <cell r="A215" t="str">
            <v>Дебарски бањи Дебар</v>
          </cell>
        </row>
        <row r="216">
          <cell r="A216" t="str">
            <v>Димко Митрев Велес</v>
          </cell>
          <cell r="B216">
            <v>185</v>
          </cell>
        </row>
        <row r="217">
          <cell r="A217" t="str">
            <v>Единство Струмица</v>
          </cell>
        </row>
        <row r="218">
          <cell r="A218" t="str">
            <v>Европа Скопје</v>
          </cell>
        </row>
        <row r="219">
          <cell r="A219" t="str">
            <v>Факом Скопје</v>
          </cell>
          <cell r="B219">
            <v>7200</v>
          </cell>
        </row>
        <row r="220">
          <cell r="A220" t="str">
            <v>Фустеларко Борец Битола</v>
          </cell>
          <cell r="B220">
            <v>1200</v>
          </cell>
        </row>
        <row r="221">
          <cell r="A221" t="str">
            <v>Герас Цунев конфекција Струмица</v>
          </cell>
        </row>
        <row r="222">
          <cell r="A222" t="str">
            <v>Герас Цунев трговија Струмица</v>
          </cell>
          <cell r="B222">
            <v>500</v>
          </cell>
        </row>
        <row r="223">
          <cell r="A223" t="str">
            <v>Грозд Струмица</v>
          </cell>
          <cell r="B223">
            <v>2250</v>
          </cell>
        </row>
        <row r="224">
          <cell r="A224" t="str">
            <v>Градски Трговски Центар Скопје</v>
          </cell>
          <cell r="B224">
            <v>1795</v>
          </cell>
        </row>
        <row r="225">
          <cell r="A225" t="str">
            <v>ИДЕВЕЛОП Скопје</v>
          </cell>
          <cell r="B225">
            <v>20</v>
          </cell>
        </row>
        <row r="226">
          <cell r="A226" t="str">
            <v>Интерпромет Тетово</v>
          </cell>
          <cell r="B226">
            <v>1500</v>
          </cell>
        </row>
        <row r="227">
          <cell r="A227" t="str">
            <v>Осигурување Македонија АД Скопје - Виена Иншуренс Груп</v>
          </cell>
          <cell r="B227">
            <v>1651</v>
          </cell>
        </row>
        <row r="228">
          <cell r="A228" t="str">
            <v>Кланица со ладилник Струмица</v>
          </cell>
          <cell r="B228">
            <v>120</v>
          </cell>
        </row>
        <row r="229">
          <cell r="A229" t="str">
            <v>Фруктал МАК Скопје</v>
          </cell>
        </row>
        <row r="230">
          <cell r="A230" t="str">
            <v>Карпош Скопје</v>
          </cell>
        </row>
        <row r="231">
          <cell r="A231" t="str">
            <v>Карбо-Нова</v>
          </cell>
        </row>
        <row r="232">
          <cell r="A232" t="str">
            <v>Лотарија на Македонија Скопје</v>
          </cell>
        </row>
        <row r="233">
          <cell r="A233" t="str">
            <v>Пелистерка АД Скопје</v>
          </cell>
        </row>
        <row r="234">
          <cell r="A234" t="str">
            <v>Макпромет Штип</v>
          </cell>
          <cell r="B234">
            <v>570</v>
          </cell>
        </row>
        <row r="235">
          <cell r="A235" t="str">
            <v>Мермерен комбинат Прилеп</v>
          </cell>
          <cell r="B235">
            <v>2444</v>
          </cell>
        </row>
        <row r="236">
          <cell r="A236" t="str">
            <v>Мода Свети Николе</v>
          </cell>
        </row>
        <row r="237">
          <cell r="A237" t="str">
            <v>Вабтек МЗТ Скопје</v>
          </cell>
        </row>
        <row r="238">
          <cell r="A238" t="str">
            <v>МЗТ Пумпи Скопје</v>
          </cell>
        </row>
        <row r="239">
          <cell r="A239" t="str">
            <v>Огражден Струмица</v>
          </cell>
        </row>
        <row r="240">
          <cell r="A240" t="str">
            <v>Нова стоковна куќа Струмица</v>
          </cell>
        </row>
        <row r="241">
          <cell r="A241" t="str">
            <v>Оилко КДА Скопје</v>
          </cell>
        </row>
        <row r="242">
          <cell r="A242" t="str">
            <v>ОКТА Скопје</v>
          </cell>
        </row>
        <row r="243">
          <cell r="A243" t="str">
            <v>Оранжерии Хамзали Струмица</v>
          </cell>
        </row>
        <row r="244">
          <cell r="A244" t="str">
            <v>Пекабеско Скопје</v>
          </cell>
        </row>
        <row r="245">
          <cell r="A245" t="str">
            <v>Попова Кула Демир Капија</v>
          </cell>
        </row>
        <row r="246">
          <cell r="A246" t="str">
            <v>Прилепска Пиварница Прилеп</v>
          </cell>
        </row>
        <row r="247">
          <cell r="A247" t="str">
            <v>Раде Кончар Скопје</v>
          </cell>
        </row>
        <row r="248">
          <cell r="A248" t="str">
            <v>РЖ Економика Скопје</v>
          </cell>
        </row>
        <row r="249">
          <cell r="A249" t="str">
            <v>Арцелормиттал Скопје (ХРМ) Скопје</v>
          </cell>
        </row>
        <row r="250">
          <cell r="A250" t="str">
            <v>Арцелормиттал Скопје (ЦРМ) Скопје</v>
          </cell>
        </row>
        <row r="251">
          <cell r="A251" t="str">
            <v>РЖ Техничка контрола Скопје</v>
          </cell>
        </row>
        <row r="252">
          <cell r="A252" t="str">
            <v>РЖ Уготур Скопје</v>
          </cell>
        </row>
        <row r="253">
          <cell r="A253" t="str">
            <v>Современ дом Прилеп</v>
          </cell>
        </row>
        <row r="254">
          <cell r="A254" t="str">
            <v>Силекс Кратово</v>
          </cell>
        </row>
        <row r="255">
          <cell r="A255" t="str">
            <v>Сковин Скопје</v>
          </cell>
        </row>
        <row r="256">
          <cell r="A256" t="str">
            <v>Славеј Скопје</v>
          </cell>
        </row>
        <row r="257">
          <cell r="A257" t="str">
            <v>Струмичко поле с.Василево</v>
          </cell>
        </row>
        <row r="258">
          <cell r="A258" t="str">
            <v>Сигурносно стакло Прилеп</v>
          </cell>
        </row>
        <row r="259">
          <cell r="A259" t="str">
            <v>Стопанска банка Скопје</v>
          </cell>
        </row>
        <row r="260">
          <cell r="A260" t="str">
            <v>Стокопромет Скопје</v>
          </cell>
        </row>
        <row r="261">
          <cell r="A261" t="str">
            <v>Тајмиште Кичево</v>
          </cell>
        </row>
        <row r="262">
          <cell r="A262" t="str">
            <v>ТЕАЛ-Алумина Тетово</v>
          </cell>
        </row>
        <row r="263">
          <cell r="A263" t="str">
            <v>Технокомерц Скопје</v>
          </cell>
        </row>
        <row r="264">
          <cell r="A264" t="str">
            <v>Македонски Телеком Скопје</v>
          </cell>
        </row>
        <row r="265">
          <cell r="A265" t="str">
            <v>ГД-Тиквеш Кавадарци</v>
          </cell>
        </row>
        <row r="266">
          <cell r="A266" t="str">
            <v>НЛБ Банка АД Скопје</v>
          </cell>
        </row>
        <row r="267">
          <cell r="A267" t="str">
            <v>Трудбеник Охрид</v>
          </cell>
        </row>
        <row r="268">
          <cell r="A268" t="str">
            <v>Транскоп-Патнички сооб. Битола</v>
          </cell>
        </row>
        <row r="269">
          <cell r="A269" t="str">
            <v>Трготекстил малопродажба Скопје</v>
          </cell>
        </row>
        <row r="270">
          <cell r="A270" t="str">
            <v>Универзална Инвестициона Банка Скопје</v>
          </cell>
        </row>
        <row r="271">
          <cell r="A271" t="str">
            <v>Цементарница УСЈЕ Скопје</v>
          </cell>
        </row>
        <row r="272">
          <cell r="A272" t="str">
            <v>Триглав осигурување Скопје</v>
          </cell>
        </row>
        <row r="273">
          <cell r="A273" t="str">
            <v>Ветекс Велес</v>
          </cell>
        </row>
        <row r="274">
          <cell r="A274" t="str">
            <v>ЖАС Скопје</v>
          </cell>
        </row>
        <row r="275">
          <cell r="A275" t="str">
            <v>Жито Караорман Кичево</v>
          </cell>
        </row>
        <row r="276">
          <cell r="A276" t="str">
            <v>Жито Полог Тетово</v>
          </cell>
        </row>
        <row r="277">
          <cell r="A277" t="str">
            <v>Задолжителна котација - приоритетни акции</v>
          </cell>
        </row>
        <row r="278">
          <cell r="A278" t="str">
            <v>Стопанска банка Скопје</v>
          </cell>
        </row>
        <row r="279">
          <cell r="A279" t="str">
            <v>Редовен пазар</v>
          </cell>
        </row>
        <row r="280">
          <cell r="A280" t="str">
            <v>Пазар на акционерски друштва со посебни обврски за известување - обични акции</v>
          </cell>
        </row>
        <row r="281">
          <cell r="A281" t="str">
            <v>Агросервис Скопје</v>
          </cell>
        </row>
        <row r="282">
          <cell r="A282" t="str">
            <v>Отекс Охрид</v>
          </cell>
        </row>
        <row r="283">
          <cell r="A283" t="str">
            <v>Слободен пазар - обични акции</v>
          </cell>
        </row>
        <row r="284">
          <cell r="A284" t="str">
            <v>Еуропрофил с. Алданци Крушево</v>
          </cell>
        </row>
        <row r="285">
          <cell r="A285" t="str">
            <v>Квасара Битола</v>
          </cell>
        </row>
        <row r="286">
          <cell r="A286" t="str">
            <v>Просветно дело Скопје</v>
          </cell>
        </row>
        <row r="287">
          <cell r="A287" t="str">
            <v>Пелагонија Транс Прилеп</v>
          </cell>
        </row>
        <row r="288">
          <cell r="A288" t="str">
            <v>Туртел Штип</v>
          </cell>
        </row>
        <row r="289">
          <cell r="A289" t="str">
            <v>Златара Рубин Скопје</v>
          </cell>
        </row>
        <row r="290">
          <cell r="A290" t="str">
            <v>ЗУМ АД Скопје</v>
          </cell>
        </row>
        <row r="291">
          <cell r="A291" t="str">
            <v>БЛОКОВИ</v>
          </cell>
        </row>
        <row r="292">
          <cell r="A292" t="str">
            <v>Официјален пазар</v>
          </cell>
        </row>
        <row r="293">
          <cell r="A293" t="str">
            <v>Берзанска котација - обични акции</v>
          </cell>
        </row>
        <row r="294">
          <cell r="A294" t="str">
            <v>Стопанска банка Битола</v>
          </cell>
        </row>
        <row r="295">
          <cell r="A295" t="str">
            <v>Вкупен промет на сите пазарни сегменти: 60.873.553,00</v>
          </cell>
        </row>
        <row r="296">
          <cell r="A296" t="str">
            <v>МБИ10</v>
          </cell>
        </row>
        <row r="297">
          <cell r="A297" t="str">
            <v>ОМБ</v>
          </cell>
        </row>
        <row r="298">
          <cell r="A298" t="str">
            <v>1 EUR = 61,6950 МКД</v>
          </cell>
        </row>
      </sheetData>
      <sheetData sheetId="1"/>
      <sheetData sheetId="2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Тетекс Тетово</v>
          </cell>
        </row>
        <row r="28">
          <cell r="A28" t="str">
            <v>Тутунски комбинат Прилеп</v>
          </cell>
        </row>
        <row r="29">
          <cell r="A29" t="str">
            <v>ВВ Тиквеш АД Кавадарци</v>
          </cell>
        </row>
        <row r="30">
          <cell r="A30" t="str">
            <v>ТТК Банка АД Скопје</v>
          </cell>
        </row>
        <row r="31">
          <cell r="A31" t="str">
            <v>Витаминка Прилеп</v>
          </cell>
        </row>
        <row r="32">
          <cell r="A32" t="str">
            <v>Жито Лукс Скопје</v>
          </cell>
        </row>
        <row r="33">
          <cell r="A33" t="str">
            <v>ЗК Пелагонија Битола</v>
          </cell>
        </row>
        <row r="34">
          <cell r="A34" t="str">
            <v>Берзанска котација - приоритетни акции</v>
          </cell>
        </row>
        <row r="35">
          <cell r="A35" t="str">
            <v>Скопски пазар Скопје</v>
          </cell>
        </row>
        <row r="36">
          <cell r="A36" t="str">
            <v>Жито лукс Скопје</v>
          </cell>
        </row>
        <row r="37">
          <cell r="A37" t="str">
            <v>Берзанска котација - обврзници</v>
          </cell>
        </row>
        <row r="38">
          <cell r="A38" t="str">
            <v>Централна кооперативна банка АД Скопје - конвертибилни обврзници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DO2018/24-1120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DO2017/34-1120</v>
          </cell>
        </row>
        <row r="46">
          <cell r="A46" t="str">
            <v>Р. Македонија - државна обврзница DO2017/35-1132dk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DO2017/14-0532dk</v>
          </cell>
        </row>
        <row r="51">
          <cell r="A51" t="str">
            <v>Р. Македонија - државна обврзница DO2015/19-0630dk</v>
          </cell>
        </row>
        <row r="52">
          <cell r="A52" t="str">
            <v>Р. Македонија - државна обврзница DO2014/19-0924dk</v>
          </cell>
        </row>
        <row r="53">
          <cell r="A53" t="str">
            <v>Р. Македонија - државна обврзница DO2018/21-1021dk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DO2014/13-0624dk</v>
          </cell>
        </row>
        <row r="56">
          <cell r="A56" t="str">
            <v>Р. Македонија - државна обврзница DO2017/29-1020</v>
          </cell>
        </row>
        <row r="57">
          <cell r="A57" t="str">
            <v>Р. Македонија - државна обврзница DO2017/30-1032dk</v>
          </cell>
        </row>
        <row r="58">
          <cell r="A58" t="str">
            <v>Р. Македонија - државна обврзница DO2019/16-1234dk</v>
          </cell>
        </row>
        <row r="59">
          <cell r="A59" t="str">
            <v>Р. Македонија - државна обврзница DO2017/12-0432dk</v>
          </cell>
        </row>
        <row r="60">
          <cell r="A60" t="str">
            <v>Р. Македонија - државна обврзница DO2017/19-0732dk</v>
          </cell>
        </row>
        <row r="61">
          <cell r="A61" t="str">
            <v>Р. Македонија - државна обврзница DO2015/30-0825dk</v>
          </cell>
        </row>
        <row r="62">
          <cell r="A62" t="str">
            <v>Р. Македонија - државна обврзница DO2015/31-0830dk</v>
          </cell>
        </row>
        <row r="63">
          <cell r="A63" t="str">
            <v>Р. Македонија - државна обврзница DO2018/28-1220dk</v>
          </cell>
        </row>
        <row r="64">
          <cell r="A64" t="str">
            <v>Р. Македонија - државна обврзница DO2019/05-0324</v>
          </cell>
        </row>
        <row r="65">
          <cell r="A65" t="str">
            <v>Р. Македонија - државна обврзница DO2016/11-0426dk</v>
          </cell>
        </row>
        <row r="66">
          <cell r="A66" t="str">
            <v>Р. Македонија - државна обврзница DO2015/17-0530dk</v>
          </cell>
        </row>
        <row r="67">
          <cell r="A67" t="str">
            <v>Р. Македонија - државна обврзница DO2018/12-0633</v>
          </cell>
        </row>
        <row r="68">
          <cell r="A68" t="str">
            <v>Р. Македонија - државна обврзница DO2017/26-0932dk</v>
          </cell>
        </row>
        <row r="69">
          <cell r="A69" t="str">
            <v>Р. Македонија - државна обврзница DO2019/15-1134</v>
          </cell>
        </row>
        <row r="70">
          <cell r="A70" t="str">
            <v>Р. Македонија - државна обврзница DO2017/38-1232dk</v>
          </cell>
        </row>
        <row r="71">
          <cell r="A71" t="str">
            <v>Р. Македонија - државна обврзница DO2018/09-0320</v>
          </cell>
        </row>
        <row r="72">
          <cell r="A72" t="str">
            <v>Р. Македонија - државна обврзница DO2018/10-0333dk</v>
          </cell>
        </row>
        <row r="73">
          <cell r="A73" t="str">
            <v>Р. Македонија - државна обврзница DO2017/16-0632dk</v>
          </cell>
        </row>
        <row r="74">
          <cell r="A74" t="str">
            <v>Р. Македонија - државна обврзница DO2016/15-0731dk</v>
          </cell>
        </row>
        <row r="75">
          <cell r="A75" t="str">
            <v>Р. Македонија - државна обврзница DO2019/11-0834dk</v>
          </cell>
        </row>
        <row r="76">
          <cell r="A76" t="str">
            <v>Р. Македонија - државна обврзница DO2015/40-1030dk</v>
          </cell>
        </row>
        <row r="77">
          <cell r="A77" t="str">
            <v>Р. Македонија - државна обврзница DO2017/08-0332dk</v>
          </cell>
        </row>
        <row r="78">
          <cell r="A78" t="str">
            <v>Р. Македонија - државна обврзница DO2016/13-0631dk</v>
          </cell>
        </row>
        <row r="79">
          <cell r="A79" t="str">
            <v>Р. Македонија - државна обврзница DO2015/23-0725</v>
          </cell>
        </row>
        <row r="80">
          <cell r="A80" t="str">
            <v>Р. Македонија - државна обврзница DO2015/24-0725dk</v>
          </cell>
        </row>
        <row r="81">
          <cell r="A81" t="str">
            <v>Р. Македонија - државна обврзница DO2015/25-0730dk</v>
          </cell>
        </row>
        <row r="82">
          <cell r="A82" t="str">
            <v>Р. Македонија - државна обврзница DO2018/16-0821</v>
          </cell>
        </row>
        <row r="83">
          <cell r="A83" t="str">
            <v>Р. Македонија - државна обврзница DO2018/17-0833dk</v>
          </cell>
        </row>
        <row r="84">
          <cell r="A84" t="str">
            <v>Р. Македонија - државна обврзница DO2017/21-0822dk</v>
          </cell>
        </row>
        <row r="85">
          <cell r="A85" t="str">
            <v>Р. Македонија - државна обврзница DO2017/22-0832dk</v>
          </cell>
        </row>
        <row r="86">
          <cell r="A86" t="str">
            <v>Р. Македонија - државна обврзница DO2018/01-0121</v>
          </cell>
        </row>
        <row r="87">
          <cell r="A87" t="str">
            <v>Р. Македонија - државна обврзница DO2018/02-0128</v>
          </cell>
        </row>
        <row r="88">
          <cell r="A88" t="str">
            <v>Р. Македонија - државна обврзница DO2018/03-0133dk</v>
          </cell>
        </row>
        <row r="89">
          <cell r="A89" t="str">
            <v>Р. Македонија - државна обврзница DO2016/05-0226</v>
          </cell>
        </row>
        <row r="90">
          <cell r="A90" t="str">
            <v>Р. Македонија - државна обврзница DO2016/06-0226dk</v>
          </cell>
        </row>
        <row r="91">
          <cell r="A91" t="str">
            <v>Р. Македонија - државна обврзница DO2016/07-0231dk</v>
          </cell>
        </row>
        <row r="92">
          <cell r="A92" t="str">
            <v>Р. Македонија - државна обврзница DO2017/02-0132dk</v>
          </cell>
        </row>
        <row r="93">
          <cell r="A93" t="str">
            <v>Р. Македонија - државна обврзница DO2015/05-0230dk</v>
          </cell>
        </row>
        <row r="94">
          <cell r="A94" t="str">
            <v>Р. Македонија - државна обврзница DO2015/09-0325</v>
          </cell>
        </row>
        <row r="95">
          <cell r="A95" t="str">
            <v>Р. Македонија - државна обврзница DO2015/10-0330dk</v>
          </cell>
        </row>
        <row r="96">
          <cell r="A96" t="str">
            <v>Р. Македонија - државна обврзница DO2016/01-0126dk</v>
          </cell>
        </row>
        <row r="97">
          <cell r="A97" t="str">
            <v>Р. Македонија - државна обврзница DO2016/02-0131dk</v>
          </cell>
        </row>
        <row r="98">
          <cell r="A98" t="str">
            <v>Р. Македонија - државна обврзница DO2019/03-0224dk</v>
          </cell>
        </row>
        <row r="99">
          <cell r="A99" t="str">
            <v>Р. Македонија - државна обврзница DO2016/12-0431dk</v>
          </cell>
        </row>
        <row r="100">
          <cell r="A100" t="str">
            <v>Р. Македонија - државна обврзница DO2016/23-1031dk</v>
          </cell>
        </row>
        <row r="101">
          <cell r="A101" t="str">
            <v>Р. Македонија - државна обврзница DO2018/06-0221</v>
          </cell>
        </row>
        <row r="102">
          <cell r="A102" t="str">
            <v>Р. Македонија - државна обврзница DO2018/07-0223</v>
          </cell>
        </row>
        <row r="103">
          <cell r="A103" t="str">
            <v>Р. Македонија - државна обврзница DO2018/08-0233dk</v>
          </cell>
        </row>
        <row r="104">
          <cell r="A104" t="str">
            <v>Р. Македонија - државна обврзница DO2017/06-0232dk</v>
          </cell>
        </row>
        <row r="105">
          <cell r="A105" t="str">
            <v>Р. Македонија - државна обврзница DO2015/15-0430dk</v>
          </cell>
        </row>
        <row r="106">
          <cell r="A106" t="str">
            <v>Р. Македонија - државна обврзница DO2019/08-0524</v>
          </cell>
        </row>
        <row r="107">
          <cell r="A107" t="str">
            <v>Р. Македонија - државна обврзница DO2019/09-0534</v>
          </cell>
        </row>
        <row r="108">
          <cell r="A108" t="str">
            <v>Р. Македонија - државна обврзница DO2014/27-1024</v>
          </cell>
        </row>
        <row r="109">
          <cell r="A109" t="str">
            <v>Р. Македонија - државна обврзница DO2014/28-1024dk</v>
          </cell>
        </row>
        <row r="110">
          <cell r="A110" t="str">
            <v>Р. Македонија - државна обврзница DO2019/01-0121</v>
          </cell>
        </row>
        <row r="111">
          <cell r="A111" t="str">
            <v>Р. Македонија - државна обврзница DO2016/08-0331dk</v>
          </cell>
        </row>
        <row r="112">
          <cell r="A112" t="str">
            <v>Р. Македонија - државна обврзница DO2017/23-0822dk</v>
          </cell>
        </row>
        <row r="113">
          <cell r="A113" t="str">
            <v>Р. Македонија - државна обврзница DO2017/24-0832dk</v>
          </cell>
        </row>
        <row r="114">
          <cell r="A114" t="str">
            <v>Р. Македонија - државна обврзница DO2015/37-0930dk</v>
          </cell>
        </row>
        <row r="115">
          <cell r="A115" t="str">
            <v>Р. Македонија - државна обврзница DO2019/13-1024dk</v>
          </cell>
        </row>
        <row r="116">
          <cell r="A116" t="str">
            <v>Р. Македонија - државна обврзница DO2015/45-1225dk</v>
          </cell>
        </row>
        <row r="117">
          <cell r="A117" t="str">
            <v>Р. Македонија - државна обврзница DO2019/06-0449dk</v>
          </cell>
        </row>
        <row r="118">
          <cell r="A118" t="str">
            <v>Р. Македонија - државна обврзница DO2019/10-0749dk</v>
          </cell>
        </row>
        <row r="119">
          <cell r="A119" t="str">
            <v>Р. Македонија - државна обврзница DO2016/17-0826</v>
          </cell>
        </row>
        <row r="120">
          <cell r="A120" t="str">
            <v>Р. Македонија - државна обврзница DO2016/18-0826dk</v>
          </cell>
        </row>
        <row r="121">
          <cell r="A121" t="str">
            <v>Р. Македонија - државна обврзница DO2016/19-0831dk</v>
          </cell>
        </row>
        <row r="122">
          <cell r="A122" t="str">
            <v>Р. Македонија - државна обврзница DO2018/22-1020dk</v>
          </cell>
        </row>
        <row r="123">
          <cell r="A123" t="str">
            <v>Р. Македонија - државна обврзница DO2018/23-1048dk</v>
          </cell>
        </row>
        <row r="124">
          <cell r="A124" t="str">
            <v>Р. Македонија - државна обврзница DO2018/14-0723</v>
          </cell>
        </row>
        <row r="125">
          <cell r="A125" t="str">
            <v>Р. Македонија - државна обврзница DO2018/15-0748dk</v>
          </cell>
        </row>
        <row r="126">
          <cell r="A126" t="str">
            <v>Р. Македонија - државна обврзница DO2019/12-0934</v>
          </cell>
        </row>
        <row r="127">
          <cell r="A127" t="str">
            <v>Р. Македонија - државна обврзница DO2017/32-1032dk</v>
          </cell>
        </row>
        <row r="128">
          <cell r="A128" t="str">
            <v>Р. Македонија - државна обврзница DO2015/42-1125dk</v>
          </cell>
        </row>
        <row r="129">
          <cell r="A129" t="str">
            <v>Р. Македонија - државна обврзница DO2015/43-1130dk</v>
          </cell>
        </row>
        <row r="130">
          <cell r="A130" t="str">
            <v>Р. Македонија - државна обврзница DO2017/20-0732dk</v>
          </cell>
        </row>
        <row r="131">
          <cell r="A131" t="str">
            <v>Р. Македонија - државна обврзница DO2015/32-0825</v>
          </cell>
        </row>
        <row r="132">
          <cell r="A132" t="str">
            <v>Р. Македонија - државна обврзница DO2015/33-0830dk</v>
          </cell>
        </row>
        <row r="133">
          <cell r="A133" t="str">
            <v>Р. Македонија - државна обврзница DO2018/18-0921</v>
          </cell>
        </row>
        <row r="134">
          <cell r="A134" t="str">
            <v>Р. Македонија - државна обврзница DO2018/19-0933</v>
          </cell>
        </row>
        <row r="135">
          <cell r="A135" t="str">
            <v>Р. Македонија - државна обврзница DO2018/20-0933dk</v>
          </cell>
        </row>
        <row r="136">
          <cell r="A136" t="str">
            <v>Р. Македонија - државна обврзница DO2015/18-0525dk</v>
          </cell>
        </row>
        <row r="137">
          <cell r="A137" t="str">
            <v>Р. Македонија - државна обврзница DO2018/13-0633dk</v>
          </cell>
        </row>
        <row r="138">
          <cell r="A138" t="str">
            <v>Р. Македонија - државна обврзница DO2014/18-0824dk</v>
          </cell>
        </row>
        <row r="139">
          <cell r="A139" t="str">
            <v>Р. Македонија - државна обврзница DO2017/27-0932dk</v>
          </cell>
        </row>
        <row r="140">
          <cell r="A140" t="str">
            <v>Р. Македонија - државна обврзница DO2016/03-0131dk</v>
          </cell>
        </row>
        <row r="141">
          <cell r="A141" t="str">
            <v>Р. Македонија - државна обврзница DO2017/17-0632dk</v>
          </cell>
        </row>
        <row r="142">
          <cell r="A142" t="str">
            <v>Р. Македонија - државна обврзница DO2016/21-0931dk</v>
          </cell>
        </row>
        <row r="143">
          <cell r="A143" t="str">
            <v>Р. Македонија - државна обврзница DO2018/26-1120dk</v>
          </cell>
        </row>
        <row r="144">
          <cell r="A144" t="str">
            <v>Р. Македонија - државна обврзница DO2018/27-1133dk</v>
          </cell>
        </row>
        <row r="145">
          <cell r="A145" t="str">
            <v>Р. Македонија - државна обврзница DO2016/29-1231dk</v>
          </cell>
        </row>
        <row r="146">
          <cell r="A146" t="str">
            <v>Р. Македонија - државна обврзница DO2014/02-0124</v>
          </cell>
        </row>
        <row r="147">
          <cell r="A147" t="str">
            <v>Р. Македонија - државна обврзница DO2014/03-0124dk</v>
          </cell>
        </row>
        <row r="148">
          <cell r="A148" t="str">
            <v>Р. Македонија - државна обврзница DO2017/10-0332dk</v>
          </cell>
        </row>
        <row r="149">
          <cell r="A149" t="str">
            <v>Р. Македонија - државна обврзница DO2016/14-0631dk</v>
          </cell>
        </row>
        <row r="150">
          <cell r="A150" t="str">
            <v>Р. Македонија - државна обврзница DO2015/27-0725dk</v>
          </cell>
        </row>
        <row r="151">
          <cell r="A151" t="str">
            <v>Р. Македонија - државна обврзница DO2015/28-0730dk</v>
          </cell>
        </row>
        <row r="152">
          <cell r="A152" t="str">
            <v>Р. Македонија - државна обврзница DO2017/36-1132dk</v>
          </cell>
        </row>
        <row r="153">
          <cell r="A153" t="str">
            <v>Р. Македонија - државна обврзница DO2016/09-0326</v>
          </cell>
        </row>
        <row r="154">
          <cell r="A154" t="str">
            <v>Р. Македонија - државна обврзница DO2014/17-0724dk</v>
          </cell>
        </row>
        <row r="155">
          <cell r="A155" t="str">
            <v>Р. Македонија - државна обврзница DO2015/38-0925dk</v>
          </cell>
        </row>
        <row r="156">
          <cell r="A156" t="str">
            <v>Р. Македонија - државна обврзница DO2015/39-0930dk</v>
          </cell>
        </row>
        <row r="157">
          <cell r="A157" t="str">
            <v>Р. Македонија - државна обврзница DO2015/46-1225dk</v>
          </cell>
        </row>
        <row r="158">
          <cell r="A158" t="str">
            <v>Р. Македонија - државна обврзница DO2018/04-0133</v>
          </cell>
        </row>
        <row r="159">
          <cell r="A159" t="str">
            <v>Р. Македонија - државна обврзница DO2018/05-0133dk</v>
          </cell>
        </row>
        <row r="160">
          <cell r="A160" t="str">
            <v>Р. Македонија - државна обврзница DO2015/20-0625</v>
          </cell>
        </row>
        <row r="161">
          <cell r="A161" t="str">
            <v>Р. Македонија - државна обврзница DO2015/21-0625dk</v>
          </cell>
        </row>
        <row r="162">
          <cell r="A162" t="str">
            <v>Р. Македонија - државна обврзница DO2015/22-0630dk</v>
          </cell>
        </row>
        <row r="163">
          <cell r="A163" t="str">
            <v>Р. Македонија - државна обврзница DO2017/05-0132dk</v>
          </cell>
        </row>
        <row r="164">
          <cell r="A164" t="str">
            <v>Р. Македонија - државна обврзница DO2015/08-0230dk</v>
          </cell>
        </row>
        <row r="165">
          <cell r="A165" t="str">
            <v>Р. Македонија - државна обврзница DO2015/12-0325</v>
          </cell>
        </row>
        <row r="166">
          <cell r="A166" t="str">
            <v>Р. Македонија - државна обврзница DO2015/13-0330dk</v>
          </cell>
        </row>
        <row r="167">
          <cell r="A167" t="str">
            <v>Р. Македонија - државна обврзница DO2018/11-0448dk</v>
          </cell>
        </row>
        <row r="168">
          <cell r="A168" t="str">
            <v>Р. Македонија - државна обврзница DO2015/34-0825</v>
          </cell>
        </row>
        <row r="169">
          <cell r="A169" t="str">
            <v>Р. Македонија - државна обврзница DO2015/35-0825dk</v>
          </cell>
        </row>
        <row r="170">
          <cell r="A170" t="str">
            <v>Р. Македонија - државна обврзница DO2015/36-0830dk</v>
          </cell>
        </row>
        <row r="171">
          <cell r="A171" t="str">
            <v>Р. Македонија - државна обврзница DO2018/29-1220dk</v>
          </cell>
        </row>
        <row r="172">
          <cell r="A172" t="str">
            <v>Р. Македонија - државна обврзница DO2016/04-0131dk</v>
          </cell>
        </row>
        <row r="173">
          <cell r="A173" t="str">
            <v>Р. Македонија - државна обврзница DO2019/04-0234</v>
          </cell>
          <cell r="B173">
            <v>101</v>
          </cell>
        </row>
        <row r="174">
          <cell r="A174" t="str">
            <v>Р. Македонија - државна обврзница DO2016/16-0731dk</v>
          </cell>
        </row>
        <row r="175">
          <cell r="A175" t="str">
            <v>Р. Македонија - државна обврзница DO2015/03-0125</v>
          </cell>
        </row>
        <row r="176">
          <cell r="A176" t="str">
            <v>Р. Македонија - државна обврзница DO2015/04-0125dk</v>
          </cell>
        </row>
        <row r="177">
          <cell r="A177" t="str">
            <v>Р. Македонија - државна обврзница DO2017/18-0632dk</v>
          </cell>
        </row>
        <row r="178">
          <cell r="A178" t="str">
            <v>Р. Македонија - државна обврзница DO2016/22-0931dk</v>
          </cell>
        </row>
        <row r="179">
          <cell r="A179" t="str">
            <v>Р. Македонија - државна обврзница DO2015/41-1030dk</v>
          </cell>
        </row>
        <row r="180">
          <cell r="A180" t="str">
            <v>Р. Македонија - државна обврзница DO2017/11-0332dk</v>
          </cell>
        </row>
        <row r="181">
          <cell r="A181" t="str">
            <v>Р. Македонија - државна обврзница DO2015/29-0730dk</v>
          </cell>
        </row>
        <row r="182">
          <cell r="A182" t="str">
            <v>Р. Македонија - државна обврзница DO2014/30-1024dk</v>
          </cell>
        </row>
        <row r="183">
          <cell r="A183" t="str">
            <v>Р. Македонија - државна обврзница DO2017/37-1132dk</v>
          </cell>
        </row>
        <row r="184">
          <cell r="A184" t="str">
            <v>Р. Македонија - државна обврзница DO2019/02-0149dk</v>
          </cell>
        </row>
        <row r="185">
          <cell r="A185" t="str">
            <v>Р. Македонија - државна обврзница DO2016/10-0331dk</v>
          </cell>
        </row>
        <row r="186">
          <cell r="A186" t="str">
            <v>Р. Македонија - државна обврзница DO2019/14-1049dk</v>
          </cell>
        </row>
        <row r="187">
          <cell r="A187" t="str">
            <v>Р. Македонија - денационализација 09</v>
          </cell>
          <cell r="B187">
            <v>98.3</v>
          </cell>
        </row>
        <row r="188">
          <cell r="A188" t="str">
            <v>Р. Македонија - денационализација 10</v>
          </cell>
          <cell r="B188">
            <v>99</v>
          </cell>
        </row>
        <row r="189">
          <cell r="A189" t="str">
            <v>Р. Македонија - денационализација 11</v>
          </cell>
          <cell r="B189">
            <v>99</v>
          </cell>
        </row>
        <row r="190">
          <cell r="A190" t="str">
            <v>Р. Македонија - денационализација 12</v>
          </cell>
          <cell r="B190">
            <v>99.5</v>
          </cell>
        </row>
        <row r="191">
          <cell r="A191" t="str">
            <v>Р. Македонија - денационализација 13</v>
          </cell>
          <cell r="B191">
            <v>99</v>
          </cell>
        </row>
        <row r="192">
          <cell r="A192" t="str">
            <v>Р. Македонија - денационализација 14</v>
          </cell>
          <cell r="B192">
            <v>99</v>
          </cell>
        </row>
        <row r="193">
          <cell r="A193" t="str">
            <v>Р. Македонија - денационализација 15</v>
          </cell>
          <cell r="B193">
            <v>99.5</v>
          </cell>
        </row>
        <row r="194">
          <cell r="A194" t="str">
            <v>Р. Македонија - денационализација 16</v>
          </cell>
          <cell r="B194">
            <v>98.5</v>
          </cell>
        </row>
        <row r="195">
          <cell r="A195" t="str">
            <v>Р. Македонија - денационализација 17</v>
          </cell>
        </row>
        <row r="196">
          <cell r="A196" t="str">
            <v>Р. Македонија - денационализација 18</v>
          </cell>
          <cell r="B196">
            <v>98.7</v>
          </cell>
        </row>
        <row r="197">
          <cell r="A197" t="str">
            <v>Обв. за надом. на сел. кредити на НБРМ</v>
          </cell>
        </row>
        <row r="198">
          <cell r="A198" t="str">
            <v>ТТК банка АД Скопје - корпоративна обврзница I емисија</v>
          </cell>
        </row>
        <row r="199">
          <cell r="A199" t="str">
            <v>Берзанска котација - други хартии од вредност</v>
          </cell>
        </row>
        <row r="200">
          <cell r="A200" t="str">
            <v>Универзална Инвестициона Банка Скопје - перпетуални обврзници</v>
          </cell>
          <cell r="B200">
            <v>101.8</v>
          </cell>
        </row>
        <row r="201">
          <cell r="A201" t="str">
            <v>Задолжителна котација - обични акции</v>
          </cell>
        </row>
        <row r="202">
          <cell r="A202" t="str">
            <v>Адинг Скопје</v>
          </cell>
          <cell r="B202">
            <v>660</v>
          </cell>
        </row>
        <row r="203">
          <cell r="A203" t="str">
            <v>Агроплод Ресен</v>
          </cell>
          <cell r="B203">
            <v>11900</v>
          </cell>
        </row>
        <row r="204">
          <cell r="A204" t="str">
            <v>Агромеханика Скопје</v>
          </cell>
          <cell r="B204">
            <v>300</v>
          </cell>
        </row>
        <row r="205">
          <cell r="A205" t="str">
            <v>Ангропромет-Тиквешанка Кавадарци</v>
          </cell>
        </row>
        <row r="206">
          <cell r="A206" t="str">
            <v>Аутомакедонија Скопје</v>
          </cell>
          <cell r="B206">
            <v>2398</v>
          </cell>
        </row>
        <row r="207">
          <cell r="A207" t="str">
            <v>Рудници Бањани Скопје</v>
          </cell>
        </row>
        <row r="208">
          <cell r="A208" t="str">
            <v>Благој Ѓорев Велес</v>
          </cell>
        </row>
        <row r="209">
          <cell r="A209" t="str">
            <v>БИМ Свети Николе</v>
          </cell>
          <cell r="B209">
            <v>10100</v>
          </cell>
        </row>
        <row r="210">
          <cell r="A210" t="str">
            <v>Благој Туфанов Радовиш</v>
          </cell>
          <cell r="B210">
            <v>100</v>
          </cell>
        </row>
        <row r="211">
          <cell r="A211" t="str">
            <v>ФЗЦ 11 Октомври Куманово</v>
          </cell>
        </row>
        <row r="212">
          <cell r="A212" t="str">
            <v>Централна кооперативна банка Скопје</v>
          </cell>
          <cell r="B212">
            <v>700</v>
          </cell>
        </row>
        <row r="213">
          <cell r="A213" t="str">
            <v>Дебарски бањи Дебар</v>
          </cell>
          <cell r="B213">
            <v>1550</v>
          </cell>
        </row>
        <row r="214">
          <cell r="A214" t="str">
            <v>Димко Митрев Велес</v>
          </cell>
          <cell r="B214">
            <v>185</v>
          </cell>
        </row>
        <row r="215">
          <cell r="A215" t="str">
            <v>Единство Струмица</v>
          </cell>
        </row>
        <row r="216">
          <cell r="A216" t="str">
            <v>Европа Скопје</v>
          </cell>
          <cell r="B216">
            <v>3010</v>
          </cell>
        </row>
        <row r="217">
          <cell r="A217" t="str">
            <v>Факом Скопје</v>
          </cell>
        </row>
        <row r="218">
          <cell r="A218" t="str">
            <v>Фустеларко Борец Битола</v>
          </cell>
          <cell r="B218">
            <v>1100</v>
          </cell>
        </row>
        <row r="219">
          <cell r="A219" t="str">
            <v>Герас Цунев конфекција Струмица</v>
          </cell>
          <cell r="B219">
            <v>500</v>
          </cell>
        </row>
        <row r="220">
          <cell r="A220" t="str">
            <v>Герас Цунев трговија Струмица</v>
          </cell>
        </row>
        <row r="221">
          <cell r="A221" t="str">
            <v>Грозд Струмица</v>
          </cell>
        </row>
        <row r="222">
          <cell r="A222" t="str">
            <v>Градски Трговски Центар Скопје</v>
          </cell>
        </row>
        <row r="223">
          <cell r="A223" t="str">
            <v>ИДЕВЕЛОП Скопје</v>
          </cell>
        </row>
        <row r="224">
          <cell r="A224" t="str">
            <v>Интерпромет Тетово</v>
          </cell>
        </row>
        <row r="225">
          <cell r="A225" t="str">
            <v>Осигурување Македонија АД Скопје - Виена Иншуренс Груп</v>
          </cell>
        </row>
        <row r="226">
          <cell r="A226" t="str">
            <v>Кланица со ладилник Струмица</v>
          </cell>
        </row>
        <row r="227">
          <cell r="A227" t="str">
            <v>Фруктал МАК Скопје</v>
          </cell>
        </row>
        <row r="228">
          <cell r="A228" t="str">
            <v>Карпош Скопје</v>
          </cell>
        </row>
        <row r="229">
          <cell r="A229" t="str">
            <v>Карбо-Нова</v>
          </cell>
        </row>
        <row r="230">
          <cell r="A230" t="str">
            <v>Лотарија на Македонија Скопје</v>
          </cell>
        </row>
        <row r="231">
          <cell r="A231" t="str">
            <v>Пелистерка АД Скопје</v>
          </cell>
        </row>
        <row r="232">
          <cell r="A232" t="str">
            <v>Макпромет Штип</v>
          </cell>
        </row>
        <row r="233">
          <cell r="A233" t="str">
            <v>Мермерен комбинат Прилеп</v>
          </cell>
        </row>
        <row r="234">
          <cell r="A234" t="str">
            <v>Мода Свети Николе</v>
          </cell>
        </row>
        <row r="235">
          <cell r="A235" t="str">
            <v>Вабтек МЗТ Скопје</v>
          </cell>
        </row>
        <row r="236">
          <cell r="A236" t="str">
            <v>МЗТ Пумпи Скопје</v>
          </cell>
        </row>
        <row r="237">
          <cell r="A237" t="str">
            <v>Огражден Струмица</v>
          </cell>
        </row>
        <row r="238">
          <cell r="A238" t="str">
            <v>Нова стоковна куќа Струмица</v>
          </cell>
        </row>
        <row r="239">
          <cell r="A239" t="str">
            <v>Оилко КДА Скопје</v>
          </cell>
        </row>
        <row r="240">
          <cell r="A240" t="str">
            <v>ОКТА Скопје</v>
          </cell>
        </row>
        <row r="241">
          <cell r="A241" t="str">
            <v>Оранжерии Хамзали Струмица</v>
          </cell>
        </row>
        <row r="242">
          <cell r="A242" t="str">
            <v>Пекабеско Скопје</v>
          </cell>
        </row>
        <row r="243">
          <cell r="A243" t="str">
            <v>Попова Кула Демир Капија</v>
          </cell>
        </row>
        <row r="244">
          <cell r="A244" t="str">
            <v>Прилепска Пиварница Прилеп</v>
          </cell>
        </row>
        <row r="245">
          <cell r="A245" t="str">
            <v>Раде Кончар Скопје</v>
          </cell>
        </row>
        <row r="246">
          <cell r="A246" t="str">
            <v>РЖ Економика Скопје</v>
          </cell>
        </row>
        <row r="247">
          <cell r="A247" t="str">
            <v>Арцелормиттал Скопје (ХРМ) Скопје</v>
          </cell>
        </row>
        <row r="248">
          <cell r="A248" t="str">
            <v>Арцелормиттал Скопје (ЦРМ) Скопје</v>
          </cell>
        </row>
        <row r="249">
          <cell r="A249" t="str">
            <v>РЖ Техничка контрола Скопје</v>
          </cell>
        </row>
        <row r="250">
          <cell r="A250" t="str">
            <v>РЖ Уготур Скопје</v>
          </cell>
        </row>
        <row r="251">
          <cell r="A251" t="str">
            <v>Современ дом Прилеп</v>
          </cell>
        </row>
        <row r="252">
          <cell r="A252" t="str">
            <v>Силекс Кратово</v>
          </cell>
        </row>
        <row r="253">
          <cell r="A253" t="str">
            <v>Сковин Скопје</v>
          </cell>
        </row>
        <row r="254">
          <cell r="A254" t="str">
            <v>Славеј Скопје</v>
          </cell>
        </row>
        <row r="255">
          <cell r="A255" t="str">
            <v>Струмичко поле с.Василево</v>
          </cell>
        </row>
        <row r="256">
          <cell r="A256" t="str">
            <v>Сигурносно стакло Прилеп</v>
          </cell>
        </row>
        <row r="257">
          <cell r="A257" t="str">
            <v>Стопанска банка Скопје</v>
          </cell>
        </row>
        <row r="258">
          <cell r="A258" t="str">
            <v>Стокопромет Скопје</v>
          </cell>
        </row>
        <row r="259">
          <cell r="A259" t="str">
            <v>Тајмиште Кичево</v>
          </cell>
        </row>
        <row r="260">
          <cell r="A260" t="str">
            <v>ТЕАЛ-Алумина Тетово</v>
          </cell>
        </row>
        <row r="261">
          <cell r="A261" t="str">
            <v>Технокомерц Скопје</v>
          </cell>
        </row>
        <row r="262">
          <cell r="A262" t="str">
            <v>Македонски Телеком Скопје</v>
          </cell>
        </row>
        <row r="263">
          <cell r="A263" t="str">
            <v>ГД-Тиквеш Кавадарци</v>
          </cell>
        </row>
        <row r="264">
          <cell r="A264" t="str">
            <v>НЛБ Банка АД Скопје</v>
          </cell>
        </row>
        <row r="265">
          <cell r="A265" t="str">
            <v>Трудбеник Охрид</v>
          </cell>
        </row>
        <row r="266">
          <cell r="A266" t="str">
            <v>Транскоп-Патнички сооб. Битола</v>
          </cell>
        </row>
        <row r="267">
          <cell r="A267" t="str">
            <v>Трготекстил малопродажба Скопје</v>
          </cell>
        </row>
        <row r="268">
          <cell r="A268" t="str">
            <v>Универзална Инвестициона Банка Скопје</v>
          </cell>
        </row>
        <row r="269">
          <cell r="A269" t="str">
            <v>Цементарница УСЈЕ Скопје</v>
          </cell>
        </row>
        <row r="270">
          <cell r="A270" t="str">
            <v>Триглав осигурување Скопје</v>
          </cell>
        </row>
        <row r="271">
          <cell r="A271" t="str">
            <v>Ветекс Велес</v>
          </cell>
        </row>
        <row r="272">
          <cell r="A272" t="str">
            <v>ЖАС Скопје</v>
          </cell>
        </row>
        <row r="273">
          <cell r="A273" t="str">
            <v>Жито Караорман Кичево</v>
          </cell>
        </row>
        <row r="274">
          <cell r="A274" t="str">
            <v>Жито Полог Тетово</v>
          </cell>
        </row>
        <row r="275">
          <cell r="A275" t="str">
            <v>Задолжителна котација - приоритетни акции</v>
          </cell>
        </row>
        <row r="276">
          <cell r="A276" t="str">
            <v>Стопанска банка Скопје</v>
          </cell>
        </row>
        <row r="277">
          <cell r="A277" t="str">
            <v>Редовен пазар</v>
          </cell>
        </row>
        <row r="278">
          <cell r="A278" t="str">
            <v>Пазар на акционерски друштва со посебни обврски за известување - обични акции</v>
          </cell>
        </row>
        <row r="279">
          <cell r="A279" t="str">
            <v>Агросервис Скопје</v>
          </cell>
        </row>
        <row r="280">
          <cell r="A280" t="str">
            <v>Отекс Охрид</v>
          </cell>
        </row>
        <row r="281">
          <cell r="A281" t="str">
            <v>Слободен пазар - обични акции</v>
          </cell>
        </row>
        <row r="282">
          <cell r="A282" t="str">
            <v>Град. институт Македонија Скопје</v>
          </cell>
        </row>
        <row r="283">
          <cell r="A283" t="str">
            <v>Квасара Битола</v>
          </cell>
        </row>
        <row r="284">
          <cell r="A284" t="str">
            <v>Пелагонија Транс Прилеп</v>
          </cell>
        </row>
        <row r="285">
          <cell r="A285" t="str">
            <v>Славија АД Скопје</v>
          </cell>
        </row>
        <row r="286">
          <cell r="A286" t="str">
            <v>Туртел Штип</v>
          </cell>
        </row>
        <row r="287">
          <cell r="A287" t="str">
            <v>Вкупен промет на сите пазарни сегменти: 18.947.296,00</v>
          </cell>
        </row>
        <row r="288">
          <cell r="A288" t="str">
            <v>МБИ10</v>
          </cell>
        </row>
        <row r="289">
          <cell r="A289" t="str">
            <v>ОМБ</v>
          </cell>
        </row>
        <row r="290">
          <cell r="A290" t="str">
            <v>1 EUR = 61,4949 МКД</v>
          </cell>
        </row>
      </sheetData>
      <sheetData sheetId="1"/>
      <sheetData sheetId="2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Технометал Вардар Скопје</v>
          </cell>
        </row>
        <row r="28">
          <cell r="A28" t="str">
            <v>Тетекс Тетово</v>
          </cell>
        </row>
        <row r="29">
          <cell r="A29" t="str">
            <v>Тутунски комбинат Прилеп</v>
          </cell>
        </row>
        <row r="30">
          <cell r="A30" t="str">
            <v>ВВ Тиквеш АД Кавадарци</v>
          </cell>
        </row>
        <row r="31">
          <cell r="A31" t="str">
            <v>ТТК Банка АД Скопје</v>
          </cell>
        </row>
        <row r="32">
          <cell r="A32" t="str">
            <v>Витаминка Прилеп</v>
          </cell>
        </row>
        <row r="33">
          <cell r="A33" t="str">
            <v>Жито Лукс Скопје</v>
          </cell>
        </row>
        <row r="34">
          <cell r="A34" t="str">
            <v>ЗК Пелагонија Битола</v>
          </cell>
        </row>
        <row r="35">
          <cell r="A35" t="str">
            <v>Берзанска котација - приоритетни акции</v>
          </cell>
        </row>
        <row r="36">
          <cell r="A36" t="str">
            <v>Скопски пазар Скопје</v>
          </cell>
        </row>
        <row r="37">
          <cell r="A37" t="str">
            <v>Жито лукс Скопје</v>
          </cell>
        </row>
        <row r="38">
          <cell r="A38" t="str">
            <v>Берзанска котација - обврзници</v>
          </cell>
        </row>
        <row r="39">
          <cell r="A39" t="str">
            <v>Централна кооперативна банка АД Скопје - конвертибилни обврзници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DO2018/24-1120</v>
          </cell>
        </row>
        <row r="42">
          <cell r="A42" t="str">
            <v>Р. Македонија - државна обврзница DO2018/25-1133dk</v>
          </cell>
        </row>
        <row r="43">
          <cell r="A43" t="str">
            <v>Р. Македонија - државна обврзница DO2016/28-1231dk</v>
          </cell>
        </row>
        <row r="44">
          <cell r="A44" t="str">
            <v>Р. Македонија - државна обврзница DO2014/10-0524dk</v>
          </cell>
        </row>
        <row r="45">
          <cell r="A45" t="str">
            <v>Р. Македонија - државна обврзница DO2014/23-1024</v>
          </cell>
        </row>
        <row r="46">
          <cell r="A46" t="str">
            <v>Р. Македонија - државна обврзница DO2017/34-1120</v>
          </cell>
        </row>
        <row r="47">
          <cell r="A47" t="str">
            <v>Р. Македонија - државна обврзница DO2017/35-1132dk</v>
          </cell>
        </row>
        <row r="48">
          <cell r="A48" t="str">
            <v>Р. Македонија - државна обврзница DO2014/16-0724dk</v>
          </cell>
        </row>
        <row r="49">
          <cell r="A49" t="str">
            <v>Р. Македонија - државна обврзница DO2016/26-1131dk</v>
          </cell>
        </row>
        <row r="50">
          <cell r="A50" t="str">
            <v>Р. Македонија - државна обврзница DO2015/44-1230dk</v>
          </cell>
        </row>
        <row r="51">
          <cell r="A51" t="str">
            <v>Р. Македонија - државна обврзница DO2017/14-0532dk</v>
          </cell>
        </row>
        <row r="52">
          <cell r="A52" t="str">
            <v>Р. Македонија - државна обврзница DO2015/19-0630dk</v>
          </cell>
        </row>
        <row r="53">
          <cell r="A53" t="str">
            <v>Р. Македонија - државна обврзница DO2014/19-0924dk</v>
          </cell>
        </row>
        <row r="54">
          <cell r="A54" t="str">
            <v>Р. Македонија - државна обврзница DO2018/21-1021dk</v>
          </cell>
        </row>
        <row r="55">
          <cell r="A55" t="str">
            <v>Р. Македонија - државна обврзница DO2014/38-1224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државна обврзница DO2017/29-1020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DO2017/12-0432dk</v>
          </cell>
        </row>
        <row r="60">
          <cell r="A60" t="str">
            <v>Р. Македонија - државна обврзница DO2017/19-0732dk</v>
          </cell>
        </row>
        <row r="61">
          <cell r="A61" t="str">
            <v>Р. Македонија - државна обврзница DO2015/30-0825dk</v>
          </cell>
        </row>
        <row r="62">
          <cell r="A62" t="str">
            <v>Р. Македонија - државна обврзница DO2015/31-0830dk</v>
          </cell>
        </row>
        <row r="63">
          <cell r="A63" t="str">
            <v>Р. Македонија - државна обврзница DO2018/28-1220dk</v>
          </cell>
        </row>
        <row r="64">
          <cell r="A64" t="str">
            <v>Р. Македонија - државна обврзница DO2019/05-0324</v>
          </cell>
        </row>
        <row r="65">
          <cell r="A65" t="str">
            <v>Р. Македонија - државна обврзница DO2016/11-0426dk</v>
          </cell>
        </row>
        <row r="66">
          <cell r="A66" t="str">
            <v>Р. Македонија - државна обврзница DO2015/17-0530dk</v>
          </cell>
        </row>
        <row r="67">
          <cell r="A67" t="str">
            <v>Р. Македонија - државна обврзница DO2018/12-0633</v>
          </cell>
        </row>
        <row r="68">
          <cell r="A68" t="str">
            <v>Р. Македонија - државна обврзница DO2017/26-0932dk</v>
          </cell>
        </row>
        <row r="69">
          <cell r="A69" t="str">
            <v>Р. Македонија - државна обврзница DO2017/38-1232dk</v>
          </cell>
        </row>
        <row r="70">
          <cell r="A70" t="str">
            <v>Р. Македонија - државна обврзница DO2018/09-0320</v>
          </cell>
        </row>
        <row r="71">
          <cell r="A71" t="str">
            <v>Р. Македонија - државна обврзница DO2018/10-0333dk</v>
          </cell>
        </row>
        <row r="72">
          <cell r="A72" t="str">
            <v>Р. Македонија - државна обврзница DO2017/16-0632dk</v>
          </cell>
        </row>
        <row r="73">
          <cell r="A73" t="str">
            <v>Р. Македонија - државна обврзница DO2016/15-0731dk</v>
          </cell>
        </row>
        <row r="74">
          <cell r="A74" t="str">
            <v>Р. Македонија - државна обврзница DO2019/11-0834dk</v>
          </cell>
        </row>
        <row r="75">
          <cell r="A75" t="str">
            <v>Р. Македонија - државна обврзница DO2015/40-1030dk</v>
          </cell>
        </row>
        <row r="76">
          <cell r="A76" t="str">
            <v>Р. Македонија - државна обврзница DO2017/08-0332dk</v>
          </cell>
        </row>
        <row r="77">
          <cell r="A77" t="str">
            <v>Р. Македонија - државна обврзница DO2016/13-0631dk</v>
          </cell>
        </row>
        <row r="78">
          <cell r="A78" t="str">
            <v>Р. Македонија - државна обврзница DO2015/23-0725</v>
          </cell>
        </row>
        <row r="79">
          <cell r="A79" t="str">
            <v>Р. Македонија - државна обврзница DO2015/24-0725dk</v>
          </cell>
        </row>
        <row r="80">
          <cell r="A80" t="str">
            <v>Р. Македонија - државна обврзница DO2015/25-0730dk</v>
          </cell>
        </row>
        <row r="81">
          <cell r="A81" t="str">
            <v>Р. Македонија - државна обврзница DO2018/16-0821</v>
          </cell>
        </row>
        <row r="82">
          <cell r="A82" t="str">
            <v>Р. Македонија - државна обврзница DO2018/17-0833dk</v>
          </cell>
        </row>
        <row r="83">
          <cell r="A83" t="str">
            <v>Р. Македонија - државна обврзница DO2017/21-0822dk</v>
          </cell>
        </row>
        <row r="84">
          <cell r="A84" t="str">
            <v>Р. Македонија - државна обврзница DO2017/22-0832dk</v>
          </cell>
        </row>
        <row r="85">
          <cell r="A85" t="str">
            <v>Р. Македонија - државна обврзница DO2018/01-0121</v>
          </cell>
        </row>
        <row r="86">
          <cell r="A86" t="str">
            <v>Р. Македонија - државна обврзница DO2018/02-0128</v>
          </cell>
        </row>
        <row r="87">
          <cell r="A87" t="str">
            <v>Р. Македонија - државна обврзница DO2018/03-0133dk</v>
          </cell>
        </row>
        <row r="88">
          <cell r="A88" t="str">
            <v>Р. Македонија - државна обврзница DO2016/05-0226</v>
          </cell>
        </row>
        <row r="89">
          <cell r="A89" t="str">
            <v>Р. Македонија - државна обврзница DO2016/06-0226dk</v>
          </cell>
        </row>
        <row r="90">
          <cell r="A90" t="str">
            <v>Р. Македонија - државна обврзница DO2016/07-0231dk</v>
          </cell>
        </row>
        <row r="91">
          <cell r="A91" t="str">
            <v>Р. Македонија - државна обврзница DO2017/02-0132dk</v>
          </cell>
        </row>
        <row r="92">
          <cell r="A92" t="str">
            <v>Р. Македонија - државна обврзница DO2015/05-0230dk</v>
          </cell>
        </row>
        <row r="93">
          <cell r="A93" t="str">
            <v>Р. Македонија - државна обврзница DO2015/09-0325</v>
          </cell>
        </row>
        <row r="94">
          <cell r="A94" t="str">
            <v>Р. Македонија - државна обврзница DO2015/10-0330dk</v>
          </cell>
        </row>
        <row r="95">
          <cell r="A95" t="str">
            <v>Р. Македонија - државна обврзница DO2016/01-0126dk</v>
          </cell>
        </row>
        <row r="96">
          <cell r="A96" t="str">
            <v>Р. Македонија - државна обврзница DO2016/02-0131dk</v>
          </cell>
        </row>
        <row r="97">
          <cell r="A97" t="str">
            <v>Р. Македонија - државна обврзница DO2019/03-0224dk</v>
          </cell>
        </row>
        <row r="98">
          <cell r="A98" t="str">
            <v>Р. Македонија - државна обврзница DO2016/12-0431dk</v>
          </cell>
        </row>
        <row r="99">
          <cell r="A99" t="str">
            <v>Р. Македонија - државна обврзница DO2016/23-1031dk</v>
          </cell>
        </row>
        <row r="100">
          <cell r="A100" t="str">
            <v>Р. Македонија - државна обврзница DO2018/06-0221</v>
          </cell>
        </row>
        <row r="101">
          <cell r="A101" t="str">
            <v>Р. Македонија - државна обврзница DO2018/07-0223</v>
          </cell>
        </row>
        <row r="102">
          <cell r="A102" t="str">
            <v>Р. Македонија - државна обврзница DO2018/08-0233dk</v>
          </cell>
        </row>
        <row r="103">
          <cell r="A103" t="str">
            <v>Р. Македонија - државна обврзница DO2017/06-0232dk</v>
          </cell>
        </row>
        <row r="104">
          <cell r="A104" t="str">
            <v>Р. Македонија - државна обврзница DO2015/15-0430dk</v>
          </cell>
        </row>
        <row r="105">
          <cell r="A105" t="str">
            <v>Р. Македонија - државна обврзница DO2019/08-0524</v>
          </cell>
        </row>
        <row r="106">
          <cell r="A106" t="str">
            <v>Р. Македонија - државна обврзница DO2019/09-0534</v>
          </cell>
        </row>
        <row r="107">
          <cell r="A107" t="str">
            <v>Р. Македонија - државна обврзница DO2014/27-1024</v>
          </cell>
        </row>
        <row r="108">
          <cell r="A108" t="str">
            <v>Р. Македонија - државна обврзница DO2014/28-1024dk</v>
          </cell>
        </row>
        <row r="109">
          <cell r="A109" t="str">
            <v>Р. Македонија - државна обврзница DO2019/01-0121</v>
          </cell>
        </row>
        <row r="110">
          <cell r="A110" t="str">
            <v>Р. Македонија - државна обврзница DO2016/08-0331dk</v>
          </cell>
        </row>
        <row r="111">
          <cell r="A111" t="str">
            <v>Р. Македонија - државна обврзница DO2017/23-0822dk</v>
          </cell>
        </row>
        <row r="112">
          <cell r="A112" t="str">
            <v>Р. Македонија - државна обврзница DO2017/24-0832dk</v>
          </cell>
        </row>
        <row r="113">
          <cell r="A113" t="str">
            <v>Р. Македонија - државна обврзница DO2015/37-0930dk</v>
          </cell>
        </row>
        <row r="114">
          <cell r="A114" t="str">
            <v>Р. Македонија - државна обврзница DO2015/45-1225dk</v>
          </cell>
        </row>
        <row r="115">
          <cell r="A115" t="str">
            <v>Р. Македонија - државна обврзница DO2019/06-0449dk</v>
          </cell>
        </row>
        <row r="116">
          <cell r="A116" t="str">
            <v>Р. Македонија - државна обврзница DO2019/10-0749dk</v>
          </cell>
        </row>
        <row r="117">
          <cell r="A117" t="str">
            <v>Р. Македонија - државна обврзница DO2016/17-0826</v>
          </cell>
        </row>
        <row r="118">
          <cell r="A118" t="str">
            <v>Р. Македонија - државна обврзница DO2016/18-0826dk</v>
          </cell>
        </row>
        <row r="119">
          <cell r="A119" t="str">
            <v>Р. Македонија - државна обврзница DO2016/19-0831dk</v>
          </cell>
        </row>
        <row r="120">
          <cell r="A120" t="str">
            <v>Р. Македонија - државна обврзница DO2018/22-1020dk</v>
          </cell>
        </row>
        <row r="121">
          <cell r="A121" t="str">
            <v>Р. Македонија - државна обврзница DO2018/23-1048dk</v>
          </cell>
        </row>
        <row r="122">
          <cell r="A122" t="str">
            <v>Р. Македонија - државна обврзница DO2018/14-0723</v>
          </cell>
        </row>
        <row r="123">
          <cell r="A123" t="str">
            <v>Р. Македонија - државна обврзница DO2018/15-0748dk</v>
          </cell>
        </row>
        <row r="124">
          <cell r="A124" t="str">
            <v>Р. Македонија - државна обврзница DO2019/12-0934</v>
          </cell>
        </row>
        <row r="125">
          <cell r="A125" t="str">
            <v>Р. Македонија - државна обврзница DO2017/32-1032dk</v>
          </cell>
        </row>
        <row r="126">
          <cell r="A126" t="str">
            <v>Р. Македонија - државна обврзница DO2015/42-1125dk</v>
          </cell>
        </row>
        <row r="127">
          <cell r="A127" t="str">
            <v>Р. Македонија - државна обврзница DO2015/43-1130dk</v>
          </cell>
        </row>
        <row r="128">
          <cell r="A128" t="str">
            <v>Р. Македонија - државна обврзница DO2017/20-0732dk</v>
          </cell>
        </row>
        <row r="129">
          <cell r="A129" t="str">
            <v>Р. Македонија - државна обврзница DO2015/32-0825</v>
          </cell>
        </row>
        <row r="130">
          <cell r="A130" t="str">
            <v>Р. Македонија - државна обврзница DO2015/33-0830dk</v>
          </cell>
        </row>
        <row r="131">
          <cell r="A131" t="str">
            <v>Р. Македонија - државна обврзница DO2018/18-0921</v>
          </cell>
        </row>
        <row r="132">
          <cell r="A132" t="str">
            <v>Р. Македонија - државна обврзница DO2018/19-0933</v>
          </cell>
        </row>
        <row r="133">
          <cell r="A133" t="str">
            <v>Р. Македонија - државна обврзница DO2018/20-0933dk</v>
          </cell>
        </row>
        <row r="134">
          <cell r="A134" t="str">
            <v>Р. Македонија - државна обврзница DO2015/18-0525dk</v>
          </cell>
        </row>
        <row r="135">
          <cell r="A135" t="str">
            <v>Р. Македонија - државна обврзница DO2018/13-0633dk</v>
          </cell>
        </row>
        <row r="136">
          <cell r="A136" t="str">
            <v>Р. Македонија - државна обврзница DO2014/18-0824dk</v>
          </cell>
        </row>
        <row r="137">
          <cell r="A137" t="str">
            <v>Р. Македонија - државна обврзница DO2017/27-0932dk</v>
          </cell>
        </row>
        <row r="138">
          <cell r="A138" t="str">
            <v>Р. Македонија - државна обврзница DO2016/03-0131dk</v>
          </cell>
        </row>
        <row r="139">
          <cell r="A139" t="str">
            <v>Р. Македонија - државна обврзница DO2017/17-0632dk</v>
          </cell>
        </row>
        <row r="140">
          <cell r="A140" t="str">
            <v>Р. Македонија - државна обврзница DO2016/21-0931dk</v>
          </cell>
        </row>
        <row r="141">
          <cell r="A141" t="str">
            <v>Р. Македонија - државна обврзница DO2018/26-1120dk</v>
          </cell>
        </row>
        <row r="142">
          <cell r="A142" t="str">
            <v>Р. Македонија - државна обврзница DO2018/27-1133dk</v>
          </cell>
        </row>
        <row r="143">
          <cell r="A143" t="str">
            <v>Р. Македонија - државна обврзница DO2016/29-1231dk</v>
          </cell>
        </row>
        <row r="144">
          <cell r="A144" t="str">
            <v>Р. Македонија - државна обврзница DO2014/02-0124</v>
          </cell>
        </row>
        <row r="145">
          <cell r="A145" t="str">
            <v>Р. Македонија - државна обврзница DO2014/03-0124dk</v>
          </cell>
        </row>
        <row r="146">
          <cell r="A146" t="str">
            <v>Р. Македонија - државна обврзница DO2017/10-0332dk</v>
          </cell>
        </row>
        <row r="147">
          <cell r="A147" t="str">
            <v>Р. Македонија - државна обврзница DO2016/14-0631dk</v>
          </cell>
        </row>
        <row r="148">
          <cell r="A148" t="str">
            <v>Р. Македонија - државна обврзница DO2015/27-0725dk</v>
          </cell>
        </row>
        <row r="149">
          <cell r="A149" t="str">
            <v>Р. Македонија - државна обврзница DO2015/28-0730dk</v>
          </cell>
        </row>
        <row r="150">
          <cell r="A150" t="str">
            <v>Р. Македонија - државна обврзница DO2017/36-1132dk</v>
          </cell>
        </row>
        <row r="151">
          <cell r="A151" t="str">
            <v>Р. Македонија - државна обврзница DO2016/09-0326</v>
          </cell>
        </row>
        <row r="152">
          <cell r="A152" t="str">
            <v>Р. Македонија - државна обврзница DO2014/17-0724dk</v>
          </cell>
        </row>
        <row r="153">
          <cell r="A153" t="str">
            <v>Р. Македонија - државна обврзница DO2015/38-0925dk</v>
          </cell>
        </row>
        <row r="154">
          <cell r="A154" t="str">
            <v>Р. Македонија - државна обврзница DO2015/39-0930dk</v>
          </cell>
        </row>
        <row r="155">
          <cell r="A155" t="str">
            <v>Р. Македонија - државна обврзница DO2015/46-1225dk</v>
          </cell>
        </row>
        <row r="156">
          <cell r="A156" t="str">
            <v>Р. Македонија - државна обврзница DO2018/04-0133</v>
          </cell>
        </row>
        <row r="157">
          <cell r="A157" t="str">
            <v>Р. Македонија - државна обврзница DO2018/05-0133dk</v>
          </cell>
        </row>
        <row r="158">
          <cell r="A158" t="str">
            <v>Р. Македонија - државна обврзница DO2015/20-0625</v>
          </cell>
        </row>
        <row r="159">
          <cell r="A159" t="str">
            <v>Р. Македонија - државна обврзница DO2015/21-0625dk</v>
          </cell>
        </row>
        <row r="160">
          <cell r="A160" t="str">
            <v>Р. Македонија - државна обврзница DO2015/22-0630dk</v>
          </cell>
        </row>
        <row r="161">
          <cell r="A161" t="str">
            <v>Р. Македонија - државна обврзница DO2017/05-0132dk</v>
          </cell>
        </row>
        <row r="162">
          <cell r="A162" t="str">
            <v>Р. Македонија - државна обврзница DO2015/08-0230dk</v>
          </cell>
        </row>
        <row r="163">
          <cell r="A163" t="str">
            <v>Р. Македонија - државна обврзница DO2015/12-0325</v>
          </cell>
        </row>
        <row r="164">
          <cell r="A164" t="str">
            <v>Р. Македонија - државна обврзница DO2015/13-0330dk</v>
          </cell>
        </row>
        <row r="165">
          <cell r="A165" t="str">
            <v>Р. Македонија - државна обврзница DO2018/11-0448dk</v>
          </cell>
        </row>
        <row r="166">
          <cell r="A166" t="str">
            <v>Р. Македонија - државна обврзница DO2015/34-0825</v>
          </cell>
        </row>
        <row r="167">
          <cell r="A167" t="str">
            <v>Р. Македонија - државна обврзница DO2015/35-0825dk</v>
          </cell>
        </row>
        <row r="168">
          <cell r="A168" t="str">
            <v>Р. Македонија - државна обврзница DO2015/36-0830dk</v>
          </cell>
        </row>
        <row r="169">
          <cell r="A169" t="str">
            <v>Р. Македонија - државна обврзница DO2018/29-1220dk</v>
          </cell>
        </row>
        <row r="170">
          <cell r="A170" t="str">
            <v>Р. Македонија - државна обврзница DO2016/04-0131dk</v>
          </cell>
        </row>
        <row r="171">
          <cell r="A171" t="str">
            <v>Р. Македонија - државна обврзница DO2019/04-0234</v>
          </cell>
        </row>
        <row r="172">
          <cell r="A172" t="str">
            <v>Р. Македонија - државна обврзница DO2016/16-0731dk</v>
          </cell>
        </row>
        <row r="173">
          <cell r="A173" t="str">
            <v>Р. Македонија - државна обврзница DO2015/03-0125</v>
          </cell>
        </row>
        <row r="174">
          <cell r="A174" t="str">
            <v>Р. Македонија - државна обврзница DO2015/04-0125dk</v>
          </cell>
        </row>
        <row r="175">
          <cell r="A175" t="str">
            <v>Р. Македонија - државна обврзница DO2017/18-0632dk</v>
          </cell>
        </row>
        <row r="176">
          <cell r="A176" t="str">
            <v>Р. Македонија - државна обврзница DO2016/22-0931dk</v>
          </cell>
        </row>
        <row r="177">
          <cell r="A177" t="str">
            <v>Р. Македонија - државна обврзница DO2015/41-1030dk</v>
          </cell>
        </row>
        <row r="178">
          <cell r="A178" t="str">
            <v>Р. Македонија - државна обврзница DO2017/11-0332dk</v>
          </cell>
        </row>
        <row r="179">
          <cell r="A179" t="str">
            <v>Р. Македонија - државна обврзница DO2015/29-0730dk</v>
          </cell>
        </row>
        <row r="180">
          <cell r="A180" t="str">
            <v>Р. Македонија - државна обврзница DO2014/30-1024dk</v>
          </cell>
        </row>
        <row r="181">
          <cell r="A181" t="str">
            <v>Р. Македонија - државна обврзница DO2017/37-1132dk</v>
          </cell>
        </row>
        <row r="182">
          <cell r="A182" t="str">
            <v>Р. Македонија - државна обврзница DO2019/02-0149dk</v>
          </cell>
        </row>
        <row r="183">
          <cell r="A183" t="str">
            <v>Р. Македонија - државна обврзница DO2016/10-0331dk</v>
          </cell>
        </row>
        <row r="184">
          <cell r="A184" t="str">
            <v>Р. Македонија - денационализација 09</v>
          </cell>
          <cell r="B184">
            <v>98.3</v>
          </cell>
        </row>
        <row r="185">
          <cell r="A185" t="str">
            <v>Р. Македонија - денационализација 10</v>
          </cell>
          <cell r="B185">
            <v>99</v>
          </cell>
        </row>
        <row r="186">
          <cell r="A186" t="str">
            <v>Р. Македонија - денационализација 11</v>
          </cell>
          <cell r="B186">
            <v>99</v>
          </cell>
        </row>
        <row r="187">
          <cell r="A187" t="str">
            <v>Р. Македонија - денационализација 12</v>
          </cell>
          <cell r="B187">
            <v>99.5</v>
          </cell>
        </row>
        <row r="188">
          <cell r="A188" t="str">
            <v>Р. Македонија - денационализација 13</v>
          </cell>
          <cell r="B188">
            <v>99</v>
          </cell>
        </row>
        <row r="189">
          <cell r="A189" t="str">
            <v>Р. Македонија - денационализација 14</v>
          </cell>
          <cell r="B189">
            <v>99</v>
          </cell>
        </row>
        <row r="190">
          <cell r="A190" t="str">
            <v>Р. Македонија - денационализација 15</v>
          </cell>
          <cell r="B190">
            <v>98.6</v>
          </cell>
        </row>
        <row r="191">
          <cell r="A191" t="str">
            <v>Р. Македонија - денационализација 16</v>
          </cell>
          <cell r="B191">
            <v>99</v>
          </cell>
        </row>
        <row r="192">
          <cell r="A192" t="str">
            <v>Р. Македонија - денационализација 17</v>
          </cell>
          <cell r="B192">
            <v>98.6</v>
          </cell>
        </row>
        <row r="193">
          <cell r="A193" t="str">
            <v>Р. Македонија - денационализација 18</v>
          </cell>
        </row>
        <row r="194">
          <cell r="A194" t="str">
            <v>Обв. за надом. на сел. кредити на НБРМ</v>
          </cell>
        </row>
        <row r="195">
          <cell r="A195" t="str">
            <v>Берзанска котација - други хартии од вредност</v>
          </cell>
        </row>
        <row r="196">
          <cell r="A196" t="str">
            <v>Универзална Инвестициона Банка Скопје - перпетуални обврзници</v>
          </cell>
          <cell r="B196">
            <v>101.8</v>
          </cell>
        </row>
        <row r="197">
          <cell r="A197" t="str">
            <v>Задолжителна котација - обични акции</v>
          </cell>
        </row>
        <row r="198">
          <cell r="A198" t="str">
            <v>Адинг Скопје</v>
          </cell>
          <cell r="B198">
            <v>660</v>
          </cell>
        </row>
        <row r="199">
          <cell r="A199" t="str">
            <v>Агроплод Ресен</v>
          </cell>
          <cell r="B199">
            <v>11900</v>
          </cell>
        </row>
        <row r="200">
          <cell r="A200" t="str">
            <v>Агромеханика Скопје</v>
          </cell>
          <cell r="B200">
            <v>300</v>
          </cell>
        </row>
        <row r="201">
          <cell r="A201" t="str">
            <v>Ангропромет-Тиквешанка Кавадарци</v>
          </cell>
          <cell r="B201">
            <v>750</v>
          </cell>
        </row>
        <row r="202">
          <cell r="A202" t="str">
            <v>Аутомакедонија Скопје</v>
          </cell>
          <cell r="B202">
            <v>2000</v>
          </cell>
        </row>
        <row r="203">
          <cell r="A203" t="str">
            <v>Рудници Бањани Скопје</v>
          </cell>
        </row>
        <row r="204">
          <cell r="A204" t="str">
            <v>Благој Ѓорев Велес</v>
          </cell>
          <cell r="B204">
            <v>202</v>
          </cell>
        </row>
        <row r="205">
          <cell r="A205" t="str">
            <v>БИМ Свети Николе</v>
          </cell>
        </row>
        <row r="206">
          <cell r="A206" t="str">
            <v>Благој Туфанов Радовиш</v>
          </cell>
        </row>
        <row r="207">
          <cell r="A207" t="str">
            <v>ФЗЦ 11 Октомври Куманово</v>
          </cell>
          <cell r="B207">
            <v>751</v>
          </cell>
        </row>
        <row r="208">
          <cell r="A208" t="str">
            <v>Централна кооперативна банка Скопје</v>
          </cell>
          <cell r="B208">
            <v>700</v>
          </cell>
        </row>
        <row r="209">
          <cell r="A209" t="str">
            <v>Дебарски бањи Дебар</v>
          </cell>
        </row>
        <row r="210">
          <cell r="A210" t="str">
            <v>Димко Митрев Велес</v>
          </cell>
          <cell r="B210">
            <v>185</v>
          </cell>
        </row>
        <row r="211">
          <cell r="A211" t="str">
            <v>Единство Струмица</v>
          </cell>
          <cell r="B211">
            <v>303</v>
          </cell>
        </row>
        <row r="212">
          <cell r="A212" t="str">
            <v>Европа Скопје</v>
          </cell>
          <cell r="B212">
            <v>3010</v>
          </cell>
        </row>
        <row r="213">
          <cell r="A213" t="str">
            <v>Факом Скопје</v>
          </cell>
          <cell r="B213">
            <v>7200</v>
          </cell>
        </row>
        <row r="214">
          <cell r="A214" t="str">
            <v>Фустеларко Борец Битола</v>
          </cell>
          <cell r="B214">
            <v>1200</v>
          </cell>
        </row>
        <row r="215">
          <cell r="A215" t="str">
            <v>Герас Цунев конфекција Струмица</v>
          </cell>
          <cell r="B215">
            <v>500</v>
          </cell>
        </row>
        <row r="216">
          <cell r="A216" t="str">
            <v>Герас Цунев трговија Струмица</v>
          </cell>
          <cell r="B216">
            <v>500</v>
          </cell>
        </row>
        <row r="217">
          <cell r="A217" t="str">
            <v>Грозд Струмица</v>
          </cell>
          <cell r="B217">
            <v>2250</v>
          </cell>
        </row>
        <row r="218">
          <cell r="A218" t="str">
            <v>Градски Трговски Центар Скопје</v>
          </cell>
          <cell r="B218">
            <v>1795</v>
          </cell>
        </row>
        <row r="219">
          <cell r="A219" t="str">
            <v>ИДЕВЕЛОП Скопје</v>
          </cell>
        </row>
        <row r="220">
          <cell r="A220" t="str">
            <v>Интерпромет Тетово</v>
          </cell>
          <cell r="B220">
            <v>620</v>
          </cell>
        </row>
        <row r="221">
          <cell r="A221" t="str">
            <v>Осигурување Македонија АД Скопје - Виена Иншуренс Груп</v>
          </cell>
          <cell r="B221">
            <v>1551</v>
          </cell>
        </row>
        <row r="222">
          <cell r="A222" t="str">
            <v>Кланица со ладилник Струмица</v>
          </cell>
        </row>
        <row r="223">
          <cell r="A223" t="str">
            <v>Фруктал МАК Скопје</v>
          </cell>
        </row>
        <row r="224">
          <cell r="A224" t="str">
            <v>Карпош Скопје</v>
          </cell>
        </row>
        <row r="225">
          <cell r="A225" t="str">
            <v>Карбо-Нова</v>
          </cell>
        </row>
        <row r="226">
          <cell r="A226" t="str">
            <v>Лотарија на Македонија Скопје</v>
          </cell>
        </row>
        <row r="227">
          <cell r="A227" t="str">
            <v>Пелистерка АД Скопје</v>
          </cell>
        </row>
        <row r="228">
          <cell r="A228" t="str">
            <v>АДУТ Македонија Битола</v>
          </cell>
        </row>
        <row r="229">
          <cell r="A229" t="str">
            <v>Макпромет Штип</v>
          </cell>
        </row>
        <row r="230">
          <cell r="A230" t="str">
            <v>Мермерен комбинат Прилеп</v>
          </cell>
        </row>
        <row r="231">
          <cell r="A231" t="str">
            <v>Мода Свети Николе</v>
          </cell>
        </row>
        <row r="232">
          <cell r="A232" t="str">
            <v>Вабтек МЗТ Скопје</v>
          </cell>
        </row>
        <row r="233">
          <cell r="A233" t="str">
            <v>МЗТ Пумпи Скопје</v>
          </cell>
        </row>
        <row r="234">
          <cell r="A234" t="str">
            <v>Огражден Струмица</v>
          </cell>
        </row>
        <row r="235">
          <cell r="A235" t="str">
            <v>Нова стоковна куќа Струмица</v>
          </cell>
        </row>
        <row r="236">
          <cell r="A236" t="str">
            <v>Оилко КДА Скопје</v>
          </cell>
        </row>
        <row r="237">
          <cell r="A237" t="str">
            <v>ОКТА Скопје</v>
          </cell>
        </row>
        <row r="238">
          <cell r="A238" t="str">
            <v>Оранжерии Хамзали Струмица</v>
          </cell>
        </row>
        <row r="239">
          <cell r="A239" t="str">
            <v>Пекабеско Скопје</v>
          </cell>
        </row>
        <row r="240">
          <cell r="A240" t="str">
            <v>Попова Кула Демир Капија</v>
          </cell>
        </row>
        <row r="241">
          <cell r="A241" t="str">
            <v>Прилепска Пиварница Прилеп</v>
          </cell>
        </row>
        <row r="242">
          <cell r="A242" t="str">
            <v>Раде Кончар Скопје</v>
          </cell>
        </row>
        <row r="243">
          <cell r="A243" t="str">
            <v>РЖ Економика Скопје</v>
          </cell>
        </row>
        <row r="244">
          <cell r="A244" t="str">
            <v>Арцелормиттал Скопје (ХРМ) Скопје</v>
          </cell>
        </row>
        <row r="245">
          <cell r="A245" t="str">
            <v>Арцелормиттал Скопје (ЦРМ) Скопје</v>
          </cell>
        </row>
        <row r="246">
          <cell r="A246" t="str">
            <v>РЖ Техничка контрола Скопје</v>
          </cell>
        </row>
        <row r="247">
          <cell r="A247" t="str">
            <v>РЖ Уготур Скопје</v>
          </cell>
        </row>
        <row r="248">
          <cell r="A248" t="str">
            <v>Современ дом Прилеп</v>
          </cell>
        </row>
        <row r="249">
          <cell r="A249" t="str">
            <v>Силекс Кратово</v>
          </cell>
        </row>
        <row r="250">
          <cell r="A250" t="str">
            <v>Сковин Скопје</v>
          </cell>
        </row>
        <row r="251">
          <cell r="A251" t="str">
            <v>Славеј Скопје</v>
          </cell>
        </row>
        <row r="252">
          <cell r="A252" t="str">
            <v>Струмичко поле с.Василево</v>
          </cell>
        </row>
        <row r="253">
          <cell r="A253" t="str">
            <v>Сигурносно стакло Прилеп</v>
          </cell>
        </row>
        <row r="254">
          <cell r="A254" t="str">
            <v>Стопанска банка Скопје</v>
          </cell>
        </row>
        <row r="255">
          <cell r="A255" t="str">
            <v>Стокопромет Скопје</v>
          </cell>
        </row>
        <row r="256">
          <cell r="A256" t="str">
            <v>Тајмиште Кичево</v>
          </cell>
        </row>
        <row r="257">
          <cell r="A257" t="str">
            <v>ТЕАЛ-Алумина Тетово</v>
          </cell>
        </row>
        <row r="258">
          <cell r="A258" t="str">
            <v>Технокомерц Скопје</v>
          </cell>
        </row>
        <row r="259">
          <cell r="A259" t="str">
            <v>Македонски Телеком Скопје</v>
          </cell>
        </row>
        <row r="260">
          <cell r="A260" t="str">
            <v>ГД-Тиквеш Кавадарци</v>
          </cell>
        </row>
        <row r="261">
          <cell r="A261" t="str">
            <v>НЛБ Банка АД Скопје</v>
          </cell>
        </row>
        <row r="262">
          <cell r="A262" t="str">
            <v>Трудбеник Охрид</v>
          </cell>
        </row>
        <row r="263">
          <cell r="A263" t="str">
            <v>Транскоп-Патнички сооб. Битола</v>
          </cell>
        </row>
        <row r="264">
          <cell r="A264" t="str">
            <v>Трготекстил малопродажба Скопје</v>
          </cell>
        </row>
        <row r="265">
          <cell r="A265" t="str">
            <v>Универзална Инвестициона Банка Скопје</v>
          </cell>
        </row>
        <row r="266">
          <cell r="A266" t="str">
            <v>Цементарница УСЈЕ Скопје</v>
          </cell>
        </row>
        <row r="267">
          <cell r="A267" t="str">
            <v>Триглав осигурување Скопје</v>
          </cell>
        </row>
        <row r="268">
          <cell r="A268" t="str">
            <v>Ветекс Велес</v>
          </cell>
        </row>
        <row r="269">
          <cell r="A269" t="str">
            <v>ЖАС Скопје</v>
          </cell>
        </row>
        <row r="270">
          <cell r="A270" t="str">
            <v>Жито Караорман Кичево</v>
          </cell>
        </row>
        <row r="271">
          <cell r="A271" t="str">
            <v>Жито Полог Тетово</v>
          </cell>
        </row>
        <row r="272">
          <cell r="A272" t="str">
            <v>Задолжителна котација - приоритетни акции</v>
          </cell>
        </row>
        <row r="273">
          <cell r="A273" t="str">
            <v>Стопанска банка Скопје</v>
          </cell>
        </row>
        <row r="274">
          <cell r="A274" t="str">
            <v>Редовен пазар</v>
          </cell>
        </row>
        <row r="275">
          <cell r="A275" t="str">
            <v>Пазар на акционерски друштва со посебни обврски за известување - обични акции</v>
          </cell>
        </row>
        <row r="276">
          <cell r="A276" t="str">
            <v>Агросервис Скопје</v>
          </cell>
        </row>
        <row r="277">
          <cell r="A277" t="str">
            <v>ЗЕМ Промет Скопје</v>
          </cell>
        </row>
        <row r="278">
          <cell r="A278" t="str">
            <v>Слободен пазар - обични акции</v>
          </cell>
        </row>
        <row r="279">
          <cell r="A279" t="str">
            <v>МЗТ Енергетика Скопје</v>
          </cell>
        </row>
        <row r="280">
          <cell r="A280" t="str">
            <v>Југоопрема Скопје</v>
          </cell>
        </row>
        <row r="281">
          <cell r="A281" t="str">
            <v>Караорман Скопје</v>
          </cell>
        </row>
        <row r="282">
          <cell r="A282" t="str">
            <v>Квасара Битола</v>
          </cell>
        </row>
        <row r="283">
          <cell r="A283" t="str">
            <v>Македонска Берза</v>
          </cell>
        </row>
        <row r="284">
          <cell r="A284" t="str">
            <v>РЖ Инжинеринг Скопје</v>
          </cell>
        </row>
        <row r="285">
          <cell r="A285" t="str">
            <v>Солун 2001 Гевгелија</v>
          </cell>
        </row>
        <row r="286">
          <cell r="A286" t="str">
            <v>Златара Рубин Скопје</v>
          </cell>
        </row>
        <row r="287">
          <cell r="A287" t="str">
            <v>ЗУАС Скопје</v>
          </cell>
        </row>
        <row r="288">
          <cell r="A288" t="str">
            <v>Вкупен промет на сите пазарни сегменти: 17.504.824,00</v>
          </cell>
        </row>
        <row r="289">
          <cell r="A289" t="str">
            <v>МБИ10</v>
          </cell>
        </row>
        <row r="290">
          <cell r="A290" t="str">
            <v>ОМБ</v>
          </cell>
        </row>
        <row r="291">
          <cell r="A291" t="str">
            <v>1 EUR = 61,4950 МКД</v>
          </cell>
        </row>
      </sheetData>
      <sheetData sheetId="1"/>
      <sheetData sheetId="2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Технометал Вардар Скопје</v>
          </cell>
        </row>
        <row r="28">
          <cell r="A28" t="str">
            <v>Тетекс Тетово</v>
          </cell>
        </row>
        <row r="29">
          <cell r="A29" t="str">
            <v>Тутунски комбинат Прилеп</v>
          </cell>
        </row>
        <row r="30">
          <cell r="A30" t="str">
            <v>ВВ Тиквеш АД Кавадарци</v>
          </cell>
        </row>
        <row r="31">
          <cell r="A31" t="str">
            <v>ТТК Банка АД Скопје</v>
          </cell>
        </row>
        <row r="32">
          <cell r="A32" t="str">
            <v>Витаминка Прилеп</v>
          </cell>
        </row>
        <row r="33">
          <cell r="A33" t="str">
            <v>Жито Лукс Скопје</v>
          </cell>
        </row>
        <row r="34">
          <cell r="A34" t="str">
            <v>ЗК Пелагонија Битола</v>
          </cell>
        </row>
        <row r="35">
          <cell r="A35" t="str">
            <v>Берзанска котација - приоритетни акции</v>
          </cell>
        </row>
        <row r="36">
          <cell r="A36" t="str">
            <v>Скопски пазар Скопје</v>
          </cell>
        </row>
        <row r="37">
          <cell r="A37" t="str">
            <v>Жито лукс Скопје</v>
          </cell>
        </row>
        <row r="38">
          <cell r="A38" t="str">
            <v>Берзанска котација - обврзници</v>
          </cell>
        </row>
        <row r="39">
          <cell r="A39" t="str">
            <v>Централна кооперативна банка АД Скопје - конвертибилни обврзници</v>
          </cell>
        </row>
        <row r="40">
          <cell r="A40" t="str">
            <v>Р. Македонија - државна обврзница DO2016/20-0931dk</v>
          </cell>
        </row>
        <row r="41">
          <cell r="A41" t="str">
            <v>Р. Македонија - државна обврзница DO2018/24-1120</v>
          </cell>
        </row>
        <row r="42">
          <cell r="A42" t="str">
            <v>Р. Македонија - државна обврзница DO2018/25-1133dk</v>
          </cell>
        </row>
        <row r="43">
          <cell r="A43" t="str">
            <v>Р. Македонија - државна обврзница DO2016/28-1231dk</v>
          </cell>
        </row>
        <row r="44">
          <cell r="A44" t="str">
            <v>Р. Македонија - државна обврзница DO2014/10-0524dk</v>
          </cell>
        </row>
        <row r="45">
          <cell r="A45" t="str">
            <v>Р. Македонија - државна обврзница DO2014/23-1024</v>
          </cell>
        </row>
        <row r="46">
          <cell r="A46" t="str">
            <v>Р. Македонија - државна обврзница DO2017/34-1120</v>
          </cell>
        </row>
        <row r="47">
          <cell r="A47" t="str">
            <v>Р. Македонија - државна обврзница DO2017/35-1132dk</v>
          </cell>
        </row>
        <row r="48">
          <cell r="A48" t="str">
            <v>Р. Македонија - државна обврзница DO2014/16-0724dk</v>
          </cell>
        </row>
        <row r="49">
          <cell r="A49" t="str">
            <v>Р. Македонија - државна обврзница DO2016/26-1131dk</v>
          </cell>
        </row>
        <row r="50">
          <cell r="A50" t="str">
            <v>Р. Македонија - државна обврзница DO2015/44-1230dk</v>
          </cell>
        </row>
        <row r="51">
          <cell r="A51" t="str">
            <v>Р. Македонија - државна обврзница DO2017/14-0532dk</v>
          </cell>
        </row>
        <row r="52">
          <cell r="A52" t="str">
            <v>Р. Македонија - државна обврзница DO2015/19-0630dk</v>
          </cell>
        </row>
        <row r="53">
          <cell r="A53" t="str">
            <v>Р. Македонија - државна обврзница DO2014/19-0924dk</v>
          </cell>
        </row>
        <row r="54">
          <cell r="A54" t="str">
            <v>Р. Македонија - државна обврзница DO2018/21-1021dk</v>
          </cell>
        </row>
        <row r="55">
          <cell r="A55" t="str">
            <v>Р. Македонија - државна обврзница DO2014/38-1224</v>
          </cell>
        </row>
        <row r="56">
          <cell r="A56" t="str">
            <v>Р. Македонија - државна обврзница DO2014/13-0624dk</v>
          </cell>
        </row>
        <row r="57">
          <cell r="A57" t="str">
            <v>Р. Македонија - државна обврзница DO2017/29-1020</v>
          </cell>
        </row>
        <row r="58">
          <cell r="A58" t="str">
            <v>Р. Македонија - државна обврзница DO2017/30-1032dk</v>
          </cell>
        </row>
        <row r="59">
          <cell r="A59" t="str">
            <v>Р. Македонија - државна обврзница DO2017/12-0432dk</v>
          </cell>
        </row>
        <row r="60">
          <cell r="A60" t="str">
            <v>Р. Македонија - државна обврзница DO2017/19-0732dk</v>
          </cell>
        </row>
        <row r="61">
          <cell r="A61" t="str">
            <v>Р. Македонија - државна обврзница DO2015/30-0825dk</v>
          </cell>
        </row>
        <row r="62">
          <cell r="A62" t="str">
            <v>Р. Македонија - државна обврзница DO2015/31-0830dk</v>
          </cell>
        </row>
        <row r="63">
          <cell r="A63" t="str">
            <v>Р. Македонија - државна обврзница DO2018/28-1220dk</v>
          </cell>
        </row>
        <row r="64">
          <cell r="A64" t="str">
            <v>Р. Македонија - државна обврзница DO2019/05-0324</v>
          </cell>
        </row>
        <row r="65">
          <cell r="A65" t="str">
            <v>Р. Македонија - државна обврзница DO2016/11-0426dk</v>
          </cell>
        </row>
        <row r="66">
          <cell r="A66" t="str">
            <v>Р. Македонија - државна обврзница DO2015/17-0530dk</v>
          </cell>
        </row>
        <row r="67">
          <cell r="A67" t="str">
            <v>Р. Македонија - државна обврзница DO2018/12-0633</v>
          </cell>
        </row>
        <row r="68">
          <cell r="A68" t="str">
            <v>Р. Македонија - државна обврзница DO2017/26-0932dk</v>
          </cell>
        </row>
        <row r="69">
          <cell r="A69" t="str">
            <v>Р. Македонија - државна обврзница DO2017/38-1232dk</v>
          </cell>
        </row>
        <row r="70">
          <cell r="A70" t="str">
            <v>Р. Македонија - државна обврзница DO2018/09-0320</v>
          </cell>
        </row>
        <row r="71">
          <cell r="A71" t="str">
            <v>Р. Македонија - државна обврзница DO2018/10-0333dk</v>
          </cell>
        </row>
        <row r="72">
          <cell r="A72" t="str">
            <v>Р. Македонија - државна обврзница DO2017/16-0632dk</v>
          </cell>
        </row>
        <row r="73">
          <cell r="A73" t="str">
            <v>Р. Македонија - државна обврзница DO2016/15-0731dk</v>
          </cell>
        </row>
        <row r="74">
          <cell r="A74" t="str">
            <v>Р. Македонија - државна обврзница DO2019/11-0834dk</v>
          </cell>
        </row>
        <row r="75">
          <cell r="A75" t="str">
            <v>Р. Македонија - државна обврзница DO2015/40-1030dk</v>
          </cell>
        </row>
        <row r="76">
          <cell r="A76" t="str">
            <v>Р. Македонија - државна обврзница DO2017/08-0332dk</v>
          </cell>
        </row>
        <row r="77">
          <cell r="A77" t="str">
            <v>Р. Македонија - државна обврзница DO2016/13-0631dk</v>
          </cell>
        </row>
        <row r="78">
          <cell r="A78" t="str">
            <v>Р. Македонија - државна обврзница DO2015/23-0725</v>
          </cell>
        </row>
        <row r="79">
          <cell r="A79" t="str">
            <v>Р. Македонија - државна обврзница DO2015/24-0725dk</v>
          </cell>
        </row>
        <row r="80">
          <cell r="A80" t="str">
            <v>Р. Македонија - државна обврзница DO2015/25-0730dk</v>
          </cell>
        </row>
        <row r="81">
          <cell r="A81" t="str">
            <v>Р. Македонија - државна обврзница DO2018/16-0821</v>
          </cell>
        </row>
        <row r="82">
          <cell r="A82" t="str">
            <v>Р. Македонија - државна обврзница DO2018/17-0833dk</v>
          </cell>
        </row>
        <row r="83">
          <cell r="A83" t="str">
            <v>Р. Македонија - државна обврзница DO2017/21-0822dk</v>
          </cell>
        </row>
        <row r="84">
          <cell r="A84" t="str">
            <v>Р. Македонија - државна обврзница DO2017/22-0832dk</v>
          </cell>
        </row>
        <row r="85">
          <cell r="A85" t="str">
            <v>Р. Македонија - државна обврзница DO2018/01-0121</v>
          </cell>
        </row>
        <row r="86">
          <cell r="A86" t="str">
            <v>Р. Македонија - државна обврзница DO2018/02-0128</v>
          </cell>
        </row>
        <row r="87">
          <cell r="A87" t="str">
            <v>Р. Македонија - државна обврзница DO2018/03-0133dk</v>
          </cell>
        </row>
        <row r="88">
          <cell r="A88" t="str">
            <v>Р. Македонија - државна обврзница DO2016/05-0226</v>
          </cell>
        </row>
        <row r="89">
          <cell r="A89" t="str">
            <v>Р. Македонија - државна обврзница DO2016/06-0226dk</v>
          </cell>
        </row>
        <row r="90">
          <cell r="A90" t="str">
            <v>Р. Македонија - државна обврзница DO2016/07-0231dk</v>
          </cell>
        </row>
        <row r="91">
          <cell r="A91" t="str">
            <v>Р. Македонија - државна обврзница DO2017/02-0132dk</v>
          </cell>
        </row>
        <row r="92">
          <cell r="A92" t="str">
            <v>Р. Македонија - државна обврзница DO2015/05-0230dk</v>
          </cell>
        </row>
        <row r="93">
          <cell r="A93" t="str">
            <v>Р. Македонија - државна обврзница DO2015/09-0325</v>
          </cell>
        </row>
        <row r="94">
          <cell r="A94" t="str">
            <v>Р. Македонија - државна обврзница DO2015/10-0330dk</v>
          </cell>
        </row>
        <row r="95">
          <cell r="A95" t="str">
            <v>Р. Македонија - државна обврзница DO2016/01-0126dk</v>
          </cell>
        </row>
        <row r="96">
          <cell r="A96" t="str">
            <v>Р. Македонија - државна обврзница DO2016/02-0131dk</v>
          </cell>
        </row>
        <row r="97">
          <cell r="A97" t="str">
            <v>Р. Македонија - државна обврзница DO2019/03-0224dk</v>
          </cell>
        </row>
        <row r="98">
          <cell r="A98" t="str">
            <v>Р. Македонија - државна обврзница DO2016/12-0431dk</v>
          </cell>
        </row>
        <row r="99">
          <cell r="A99" t="str">
            <v>Р. Македонија - државна обврзница DO2016/23-1031dk</v>
          </cell>
        </row>
        <row r="100">
          <cell r="A100" t="str">
            <v>Р. Македонија - државна обврзница DO2018/06-0221</v>
          </cell>
        </row>
        <row r="101">
          <cell r="A101" t="str">
            <v>Р. Македонија - државна обврзница DO2018/07-0223</v>
          </cell>
        </row>
        <row r="102">
          <cell r="A102" t="str">
            <v>Р. Македонија - државна обврзница DO2018/08-0233dk</v>
          </cell>
        </row>
        <row r="103">
          <cell r="A103" t="str">
            <v>Р. Македонија - државна обврзница DO2017/06-0232dk</v>
          </cell>
        </row>
        <row r="104">
          <cell r="A104" t="str">
            <v>Р. Македонија - државна обврзница DO2015/15-0430dk</v>
          </cell>
        </row>
        <row r="105">
          <cell r="A105" t="str">
            <v>Р. Македонија - државна обврзница DO2019/08-0524</v>
          </cell>
        </row>
        <row r="106">
          <cell r="A106" t="str">
            <v>Р. Македонија - државна обврзница DO2019/09-0534</v>
          </cell>
        </row>
        <row r="107">
          <cell r="A107" t="str">
            <v>Р. Македонија - државна обврзница DO2014/27-1024</v>
          </cell>
        </row>
        <row r="108">
          <cell r="A108" t="str">
            <v>Р. Македонија - државна обврзница DO2014/28-1024dk</v>
          </cell>
        </row>
        <row r="109">
          <cell r="A109" t="str">
            <v>Р. Македонија - државна обврзница DO2019/01-0121</v>
          </cell>
        </row>
        <row r="110">
          <cell r="A110" t="str">
            <v>Р. Македонија - државна обврзница DO2016/08-0331dk</v>
          </cell>
        </row>
        <row r="111">
          <cell r="A111" t="str">
            <v>Р. Македонија - државна обврзница DO2017/23-0822dk</v>
          </cell>
        </row>
        <row r="112">
          <cell r="A112" t="str">
            <v>Р. Македонија - државна обврзница DO2017/24-0832dk</v>
          </cell>
        </row>
        <row r="113">
          <cell r="A113" t="str">
            <v>Р. Македонија - државна обврзница DO2015/37-0930dk</v>
          </cell>
        </row>
        <row r="114">
          <cell r="A114" t="str">
            <v>Р. Македонија - државна обврзница DO2015/45-1225dk</v>
          </cell>
        </row>
        <row r="115">
          <cell r="A115" t="str">
            <v>Р. Македонија - државна обврзница DO2019/06-0449dk</v>
          </cell>
        </row>
        <row r="116">
          <cell r="A116" t="str">
            <v>Р. Македонија - државна обврзница DO2019/10-0749dk</v>
          </cell>
        </row>
        <row r="117">
          <cell r="A117" t="str">
            <v>Р. Македонија - државна обврзница DO2016/17-0826</v>
          </cell>
        </row>
        <row r="118">
          <cell r="A118" t="str">
            <v>Р. Македонија - државна обврзница DO2016/18-0826dk</v>
          </cell>
        </row>
        <row r="119">
          <cell r="A119" t="str">
            <v>Р. Македонија - државна обврзница DO2016/19-0831dk</v>
          </cell>
        </row>
        <row r="120">
          <cell r="A120" t="str">
            <v>Р. Македонија - државна обврзница DO2018/22-1020dk</v>
          </cell>
        </row>
        <row r="121">
          <cell r="A121" t="str">
            <v>Р. Македонија - државна обврзница DO2018/23-1048dk</v>
          </cell>
        </row>
        <row r="122">
          <cell r="A122" t="str">
            <v>Р. Македонија - државна обврзница DO2018/14-0723</v>
          </cell>
        </row>
        <row r="123">
          <cell r="A123" t="str">
            <v>Р. Македонија - државна обврзница DO2018/15-0748dk</v>
          </cell>
        </row>
        <row r="124">
          <cell r="A124" t="str">
            <v>Р. Македонија - државна обврзница DO2017/32-1032dk</v>
          </cell>
        </row>
        <row r="125">
          <cell r="A125" t="str">
            <v>Р. Македонија - државна обврзница DO2015/42-1125dk</v>
          </cell>
        </row>
        <row r="126">
          <cell r="A126" t="str">
            <v>Р. Македонија - државна обврзница DO2015/43-1130dk</v>
          </cell>
        </row>
        <row r="127">
          <cell r="A127" t="str">
            <v>Р. Македонија - државна обврзница DO2017/20-0732dk</v>
          </cell>
        </row>
        <row r="128">
          <cell r="A128" t="str">
            <v>Р. Македонија - државна обврзница DO2015/32-0825</v>
          </cell>
        </row>
        <row r="129">
          <cell r="A129" t="str">
            <v>Р. Македонија - државна обврзница DO2015/33-0830dk</v>
          </cell>
        </row>
        <row r="130">
          <cell r="A130" t="str">
            <v>Р. Македонија - државна обврзница DO2018/18-0921</v>
          </cell>
        </row>
        <row r="131">
          <cell r="A131" t="str">
            <v>Р. Македонија - државна обврзница DO2018/19-0933</v>
          </cell>
        </row>
        <row r="132">
          <cell r="A132" t="str">
            <v>Р. Македонија - државна обврзница DO2018/20-0933dk</v>
          </cell>
        </row>
        <row r="133">
          <cell r="A133" t="str">
            <v>Р. Македонија - државна обврзница DO2015/18-0525dk</v>
          </cell>
        </row>
        <row r="134">
          <cell r="A134" t="str">
            <v>Р. Македонија - државна обврзница DO2018/13-0633dk</v>
          </cell>
        </row>
        <row r="135">
          <cell r="A135" t="str">
            <v>Р. Македонија - државна обврзница DO2014/18-0824dk</v>
          </cell>
        </row>
        <row r="136">
          <cell r="A136" t="str">
            <v>Р. Македонија - државна обврзница DO2017/27-0932dk</v>
          </cell>
        </row>
        <row r="137">
          <cell r="A137" t="str">
            <v>Р. Македонија - државна обврзница DO2016/03-0131dk</v>
          </cell>
        </row>
        <row r="138">
          <cell r="A138" t="str">
            <v>Р. Македонија - државна обврзница DO2017/17-0632dk</v>
          </cell>
        </row>
        <row r="139">
          <cell r="A139" t="str">
            <v>Р. Македонија - државна обврзница DO2016/21-0931dk</v>
          </cell>
        </row>
        <row r="140">
          <cell r="A140" t="str">
            <v>Р. Македонија - државна обврзница DO2018/26-1120dk</v>
          </cell>
        </row>
        <row r="141">
          <cell r="A141" t="str">
            <v>Р. Македонија - државна обврзница DO2018/27-1133dk</v>
          </cell>
        </row>
        <row r="142">
          <cell r="A142" t="str">
            <v>Р. Македонија - државна обврзница DO2016/29-1231dk</v>
          </cell>
        </row>
        <row r="143">
          <cell r="A143" t="str">
            <v>Р. Македонија - државна обврзница DO2014/02-0124</v>
          </cell>
        </row>
        <row r="144">
          <cell r="A144" t="str">
            <v>Р. Македонија - државна обврзница DO2014/03-0124dk</v>
          </cell>
        </row>
        <row r="145">
          <cell r="A145" t="str">
            <v>Р. Македонија - државна обврзница DO2017/10-0332dk</v>
          </cell>
        </row>
        <row r="146">
          <cell r="A146" t="str">
            <v>Р. Македонија - државна обврзница DO2016/14-0631dk</v>
          </cell>
        </row>
        <row r="147">
          <cell r="A147" t="str">
            <v>Р. Македонија - државна обврзница DO2015/27-0725dk</v>
          </cell>
        </row>
        <row r="148">
          <cell r="A148" t="str">
            <v>Р. Македонија - државна обврзница DO2015/28-0730dk</v>
          </cell>
        </row>
        <row r="149">
          <cell r="A149" t="str">
            <v>Р. Македонија - државна обврзница DO2017/36-1132dk</v>
          </cell>
        </row>
        <row r="150">
          <cell r="A150" t="str">
            <v>Р. Македонија - државна обврзница DO2016/09-0326</v>
          </cell>
        </row>
        <row r="151">
          <cell r="A151" t="str">
            <v>Р. Македонија - државна обврзница DO2014/17-0724dk</v>
          </cell>
        </row>
        <row r="152">
          <cell r="A152" t="str">
            <v>Р. Македонија - државна обврзница DO2015/38-0925dk</v>
          </cell>
        </row>
        <row r="153">
          <cell r="A153" t="str">
            <v>Р. Македонија - државна обврзница DO2015/39-0930dk</v>
          </cell>
        </row>
        <row r="154">
          <cell r="A154" t="str">
            <v>Р. Македонија - државна обврзница DO2015/46-1225dk</v>
          </cell>
        </row>
        <row r="155">
          <cell r="A155" t="str">
            <v>Р. Македонија - државна обврзница DO2018/04-0133</v>
          </cell>
        </row>
        <row r="156">
          <cell r="A156" t="str">
            <v>Р. Македонија - државна обврзница DO2018/05-0133dk</v>
          </cell>
        </row>
        <row r="157">
          <cell r="A157" t="str">
            <v>Р. Македонија - државна обврзница DO2015/20-0625</v>
          </cell>
        </row>
        <row r="158">
          <cell r="A158" t="str">
            <v>Р. Македонија - државна обврзница DO2015/21-0625dk</v>
          </cell>
        </row>
        <row r="159">
          <cell r="A159" t="str">
            <v>Р. Македонија - државна обврзница DO2015/22-0630dk</v>
          </cell>
        </row>
        <row r="160">
          <cell r="A160" t="str">
            <v>Р. Македонија - државна обврзница DO2017/05-0132dk</v>
          </cell>
        </row>
        <row r="161">
          <cell r="A161" t="str">
            <v>Р. Македонија - државна обврзница DO2015/08-0230dk</v>
          </cell>
        </row>
        <row r="162">
          <cell r="A162" t="str">
            <v>Р. Македонија - државна обврзница DO2015/12-0325</v>
          </cell>
        </row>
        <row r="163">
          <cell r="A163" t="str">
            <v>Р. Македонија - државна обврзница DO2015/13-0330dk</v>
          </cell>
        </row>
        <row r="164">
          <cell r="A164" t="str">
            <v>Р. Македонија - државна обврзница DO2018/11-0448dk</v>
          </cell>
        </row>
        <row r="165">
          <cell r="A165" t="str">
            <v>Р. Македонија - државна обврзница DO2015/34-0825</v>
          </cell>
        </row>
        <row r="166">
          <cell r="A166" t="str">
            <v>Р. Македонија - државна обврзница DO2015/35-0825dk</v>
          </cell>
        </row>
        <row r="167">
          <cell r="A167" t="str">
            <v>Р. Македонија - државна обврзница DO2015/36-0830dk</v>
          </cell>
        </row>
        <row r="168">
          <cell r="A168" t="str">
            <v>Р. Македонија - државна обврзница DO2018/29-1220dk</v>
          </cell>
        </row>
        <row r="169">
          <cell r="A169" t="str">
            <v>Р. Македонија - државна обврзница DO2016/04-0131dk</v>
          </cell>
        </row>
        <row r="170">
          <cell r="A170" t="str">
            <v>Р. Македонија - државна обврзница DO2019/04-0234</v>
          </cell>
        </row>
        <row r="171">
          <cell r="A171" t="str">
            <v>Р. Македонија - државна обврзница DO2016/16-0731dk</v>
          </cell>
        </row>
        <row r="172">
          <cell r="A172" t="str">
            <v>Р. Македонија - државна обврзница DO2015/03-0125</v>
          </cell>
        </row>
        <row r="173">
          <cell r="A173" t="str">
            <v>Р. Македонија - државна обврзница DO2015/04-0125dk</v>
          </cell>
        </row>
        <row r="174">
          <cell r="A174" t="str">
            <v>Р. Македонија - државна обврзница DO2017/18-0632dk</v>
          </cell>
        </row>
        <row r="175">
          <cell r="A175" t="str">
            <v>Р. Македонија - државна обврзница DO2016/22-0931dk</v>
          </cell>
        </row>
        <row r="176">
          <cell r="A176" t="str">
            <v>Р. Македонија - државна обврзница DO2015/41-1030dk</v>
          </cell>
        </row>
        <row r="177">
          <cell r="A177" t="str">
            <v>Р. Македонија - државна обврзница DO2017/11-0332dk</v>
          </cell>
        </row>
        <row r="178">
          <cell r="A178" t="str">
            <v>Р. Македонија - државна обврзница DO2015/29-0730dk</v>
          </cell>
        </row>
        <row r="179">
          <cell r="A179" t="str">
            <v>Р. Македонија - државна обврзница DO2014/30-1024dk</v>
          </cell>
        </row>
        <row r="180">
          <cell r="A180" t="str">
            <v>Р. Македонија - државна обврзница DO2017/37-1132dk</v>
          </cell>
        </row>
        <row r="181">
          <cell r="A181" t="str">
            <v>Р. Македонија - државна обврзница DO2019/02-0149dk</v>
          </cell>
        </row>
        <row r="182">
          <cell r="A182" t="str">
            <v>Р. Македонија - државна обврзница DO2016/10-0331dk</v>
          </cell>
        </row>
        <row r="183">
          <cell r="A183" t="str">
            <v>Р. Македонија - денационализација 09</v>
          </cell>
          <cell r="B183">
            <v>98.3</v>
          </cell>
        </row>
        <row r="184">
          <cell r="A184" t="str">
            <v>Р. Македонија - денационализација 10</v>
          </cell>
          <cell r="B184">
            <v>99</v>
          </cell>
        </row>
        <row r="185">
          <cell r="A185" t="str">
            <v>Р. Македонија - денационализација 11</v>
          </cell>
          <cell r="B185">
            <v>99</v>
          </cell>
        </row>
        <row r="186">
          <cell r="A186" t="str">
            <v>Р. Македонија - денационализација 12</v>
          </cell>
          <cell r="B186">
            <v>99.5</v>
          </cell>
        </row>
        <row r="187">
          <cell r="A187" t="str">
            <v>Р. Македонија - денационализација 13</v>
          </cell>
          <cell r="B187">
            <v>99.1</v>
          </cell>
        </row>
        <row r="188">
          <cell r="A188" t="str">
            <v>Р. Македонија - денационализација 14</v>
          </cell>
          <cell r="B188">
            <v>99</v>
          </cell>
        </row>
        <row r="189">
          <cell r="A189" t="str">
            <v>Р. Македонија - денационализација 15</v>
          </cell>
        </row>
        <row r="190">
          <cell r="A190" t="str">
            <v>Р. Македонија - денационализација 16</v>
          </cell>
          <cell r="B190">
            <v>98.5</v>
          </cell>
        </row>
        <row r="191">
          <cell r="A191" t="str">
            <v>Р. Македонија - денационализација 17</v>
          </cell>
          <cell r="B191">
            <v>98</v>
          </cell>
        </row>
        <row r="192">
          <cell r="A192" t="str">
            <v>Р. Македонија - денационализација 18</v>
          </cell>
          <cell r="B192">
            <v>98.6</v>
          </cell>
        </row>
        <row r="193">
          <cell r="A193" t="str">
            <v>Обв. за надом. на сел. кредити на НБРМ</v>
          </cell>
        </row>
        <row r="194">
          <cell r="A194" t="str">
            <v>Берзанска котација - други хартии од вредност</v>
          </cell>
        </row>
        <row r="195">
          <cell r="A195" t="str">
            <v>Универзална Инвестициона Банка Скопје - перпетуални обврзници</v>
          </cell>
          <cell r="B195">
            <v>101.8</v>
          </cell>
        </row>
        <row r="196">
          <cell r="A196" t="str">
            <v>Задолжителна котација - обични акции</v>
          </cell>
        </row>
        <row r="197">
          <cell r="A197" t="str">
            <v>Адинг Скопје</v>
          </cell>
          <cell r="B197">
            <v>679</v>
          </cell>
        </row>
        <row r="198">
          <cell r="A198" t="str">
            <v>Агроплод Ресен</v>
          </cell>
          <cell r="B198">
            <v>11900</v>
          </cell>
        </row>
        <row r="199">
          <cell r="A199" t="str">
            <v>Агромеханика Скопје</v>
          </cell>
        </row>
        <row r="200">
          <cell r="A200" t="str">
            <v>Ангропромет-Тиквешанка Кавадарци</v>
          </cell>
          <cell r="B200">
            <v>750</v>
          </cell>
        </row>
        <row r="201">
          <cell r="A201" t="str">
            <v>Аутомакедонија Скопје</v>
          </cell>
        </row>
        <row r="202">
          <cell r="A202" t="str">
            <v>Рудници Бањани Скопје</v>
          </cell>
        </row>
        <row r="203">
          <cell r="A203" t="str">
            <v>Благој Ѓорев Велес</v>
          </cell>
          <cell r="B203">
            <v>202</v>
          </cell>
        </row>
        <row r="204">
          <cell r="A204" t="str">
            <v>БИМ Свети Николе</v>
          </cell>
          <cell r="B204">
            <v>10100</v>
          </cell>
        </row>
        <row r="205">
          <cell r="A205" t="str">
            <v>Благој Туфанов Радовиш</v>
          </cell>
        </row>
        <row r="206">
          <cell r="A206" t="str">
            <v>ФЗЦ 11 Октомври Куманово</v>
          </cell>
          <cell r="B206">
            <v>730</v>
          </cell>
        </row>
        <row r="207">
          <cell r="A207" t="str">
            <v>Централна кооперативна банка Скопје</v>
          </cell>
          <cell r="B207">
            <v>700</v>
          </cell>
        </row>
        <row r="208">
          <cell r="A208" t="str">
            <v>Дебарски бањи Дебар</v>
          </cell>
          <cell r="B208">
            <v>1550</v>
          </cell>
        </row>
        <row r="209">
          <cell r="A209" t="str">
            <v>Димко Митрев Велес</v>
          </cell>
          <cell r="B209">
            <v>185</v>
          </cell>
        </row>
        <row r="210">
          <cell r="A210" t="str">
            <v>Единство Струмица</v>
          </cell>
          <cell r="B210">
            <v>303</v>
          </cell>
        </row>
        <row r="211">
          <cell r="A211" t="str">
            <v>Европа Скопје</v>
          </cell>
          <cell r="B211">
            <v>3010</v>
          </cell>
        </row>
        <row r="212">
          <cell r="A212" t="str">
            <v>Факом Скопје</v>
          </cell>
          <cell r="B212">
            <v>7200</v>
          </cell>
        </row>
        <row r="213">
          <cell r="A213" t="str">
            <v>Фустеларко Борец Битола</v>
          </cell>
        </row>
        <row r="214">
          <cell r="A214" t="str">
            <v>Герас Цунев конфекција Струмица</v>
          </cell>
          <cell r="B214">
            <v>500</v>
          </cell>
        </row>
        <row r="215">
          <cell r="A215" t="str">
            <v>Герас Цунев трговија Струмица</v>
          </cell>
          <cell r="B215">
            <v>500</v>
          </cell>
        </row>
        <row r="216">
          <cell r="A216" t="str">
            <v>Грозд Струмица</v>
          </cell>
        </row>
        <row r="217">
          <cell r="A217" t="str">
            <v>Градски Трговски Центар Скопје</v>
          </cell>
        </row>
        <row r="218">
          <cell r="A218" t="str">
            <v>ИДЕВЕЛОП Скопје</v>
          </cell>
        </row>
        <row r="219">
          <cell r="A219" t="str">
            <v>Интерпромет Тетово</v>
          </cell>
        </row>
        <row r="220">
          <cell r="A220" t="str">
            <v>Осигурување Македонија АД Скопје - Виена Иншуренс Груп</v>
          </cell>
        </row>
        <row r="221">
          <cell r="A221" t="str">
            <v>Кланица со ладилник Струмица</v>
          </cell>
        </row>
        <row r="222">
          <cell r="A222" t="str">
            <v>Фруктал МАК Скопје</v>
          </cell>
        </row>
        <row r="223">
          <cell r="A223" t="str">
            <v>Карпош Скопје</v>
          </cell>
        </row>
        <row r="224">
          <cell r="A224" t="str">
            <v>Карбо-Нова</v>
          </cell>
        </row>
        <row r="225">
          <cell r="A225" t="str">
            <v>Лотарија на Македонија Скопје</v>
          </cell>
        </row>
        <row r="226">
          <cell r="A226" t="str">
            <v>Пелистерка АД Скопје</v>
          </cell>
        </row>
        <row r="227">
          <cell r="A227" t="str">
            <v>АДУТ Македонија Битола</v>
          </cell>
        </row>
        <row r="228">
          <cell r="A228" t="str">
            <v>Макпромет Штип</v>
          </cell>
        </row>
        <row r="229">
          <cell r="A229" t="str">
            <v>Мермерен комбинат Прилеп</v>
          </cell>
        </row>
        <row r="230">
          <cell r="A230" t="str">
            <v>Мода Свети Николе</v>
          </cell>
        </row>
        <row r="231">
          <cell r="A231" t="str">
            <v>Вабтек МЗТ Скопје</v>
          </cell>
        </row>
        <row r="232">
          <cell r="A232" t="str">
            <v>МЗТ Пумпи Скопје</v>
          </cell>
        </row>
        <row r="233">
          <cell r="A233" t="str">
            <v>Огражден Струмица</v>
          </cell>
        </row>
        <row r="234">
          <cell r="A234" t="str">
            <v>Нова стоковна куќа Струмица</v>
          </cell>
        </row>
        <row r="235">
          <cell r="A235" t="str">
            <v>Оилко КДА Скопје</v>
          </cell>
        </row>
        <row r="236">
          <cell r="A236" t="str">
            <v>ОКТА Скопје</v>
          </cell>
        </row>
        <row r="237">
          <cell r="A237" t="str">
            <v>Оранжерии Хамзали Струмица</v>
          </cell>
        </row>
        <row r="238">
          <cell r="A238" t="str">
            <v>Пекабеско Скопје</v>
          </cell>
        </row>
        <row r="239">
          <cell r="A239" t="str">
            <v>Попова Кула Демир Капија</v>
          </cell>
        </row>
        <row r="240">
          <cell r="A240" t="str">
            <v>Прилепска Пиварница Прилеп</v>
          </cell>
        </row>
        <row r="241">
          <cell r="A241" t="str">
            <v>Раде Кончар Скопје</v>
          </cell>
        </row>
        <row r="242">
          <cell r="A242" t="str">
            <v>РЖ Економика Скопје</v>
          </cell>
        </row>
        <row r="243">
          <cell r="A243" t="str">
            <v>Арцелормиттал Скопје (ХРМ) Скопје</v>
          </cell>
        </row>
        <row r="244">
          <cell r="A244" t="str">
            <v>Арцелормиттал Скопје (ЦРМ) Скопје</v>
          </cell>
        </row>
        <row r="245">
          <cell r="A245" t="str">
            <v>РЖ Техничка контрола Скопје</v>
          </cell>
        </row>
        <row r="246">
          <cell r="A246" t="str">
            <v>РЖ Уготур Скопје</v>
          </cell>
        </row>
        <row r="247">
          <cell r="A247" t="str">
            <v>Современ дом Прилеп</v>
          </cell>
        </row>
        <row r="248">
          <cell r="A248" t="str">
            <v>Силекс Кратово</v>
          </cell>
        </row>
        <row r="249">
          <cell r="A249" t="str">
            <v>Сковин Скопје</v>
          </cell>
        </row>
        <row r="250">
          <cell r="A250" t="str">
            <v>Славеј Скопје</v>
          </cell>
        </row>
        <row r="251">
          <cell r="A251" t="str">
            <v>Струмичко поле с.Василево</v>
          </cell>
        </row>
        <row r="252">
          <cell r="A252" t="str">
            <v>Сигурносно стакло Прилеп</v>
          </cell>
        </row>
        <row r="253">
          <cell r="A253" t="str">
            <v>Стопанска банка Скопје</v>
          </cell>
        </row>
        <row r="254">
          <cell r="A254" t="str">
            <v>Стокопромет Скопје</v>
          </cell>
        </row>
        <row r="255">
          <cell r="A255" t="str">
            <v>Тајмиште Кичево</v>
          </cell>
        </row>
        <row r="256">
          <cell r="A256" t="str">
            <v>ТЕАЛ-Алумина Тетово</v>
          </cell>
        </row>
        <row r="257">
          <cell r="A257" t="str">
            <v>Технокомерц Скопје</v>
          </cell>
        </row>
        <row r="258">
          <cell r="A258" t="str">
            <v>Македонски Телеком Скопје</v>
          </cell>
        </row>
        <row r="259">
          <cell r="A259" t="str">
            <v>ГД-Тиквеш Кавадарци</v>
          </cell>
        </row>
        <row r="260">
          <cell r="A260" t="str">
            <v>НЛБ Банка АД Скопје</v>
          </cell>
        </row>
        <row r="261">
          <cell r="A261" t="str">
            <v>Трудбеник Охрид</v>
          </cell>
        </row>
        <row r="262">
          <cell r="A262" t="str">
            <v>Транскоп-Патнички сооб. Битола</v>
          </cell>
        </row>
        <row r="263">
          <cell r="A263" t="str">
            <v>Трготекстил малопродажба Скопје</v>
          </cell>
        </row>
        <row r="264">
          <cell r="A264" t="str">
            <v>Универзална Инвестициона Банка Скопје</v>
          </cell>
        </row>
        <row r="265">
          <cell r="A265" t="str">
            <v>Цементарница УСЈЕ Скопје</v>
          </cell>
        </row>
        <row r="266">
          <cell r="A266" t="str">
            <v>Триглав осигурување Скопје</v>
          </cell>
        </row>
        <row r="267">
          <cell r="A267" t="str">
            <v>Ветекс Велес</v>
          </cell>
        </row>
        <row r="268">
          <cell r="A268" t="str">
            <v>ЖАС Скопје</v>
          </cell>
        </row>
        <row r="269">
          <cell r="A269" t="str">
            <v>Жито Караорман Кичево</v>
          </cell>
        </row>
        <row r="270">
          <cell r="A270" t="str">
            <v>Жито Полог Тетово</v>
          </cell>
        </row>
        <row r="271">
          <cell r="A271" t="str">
            <v>Задолжителна котација - приоритетни акции</v>
          </cell>
        </row>
        <row r="272">
          <cell r="A272" t="str">
            <v>Стопанска банка Скопје</v>
          </cell>
        </row>
        <row r="273">
          <cell r="A273" t="str">
            <v>Редовен пазар</v>
          </cell>
        </row>
        <row r="274">
          <cell r="A274" t="str">
            <v>Пазар на акционерски друштва со посебни обврски за известување - обични акции</v>
          </cell>
        </row>
        <row r="275">
          <cell r="A275" t="str">
            <v>Агросервис Скопје</v>
          </cell>
        </row>
        <row r="276">
          <cell r="A276" t="str">
            <v>ЗЕМ Промет Скопје</v>
          </cell>
        </row>
        <row r="277">
          <cell r="A277" t="str">
            <v>Слободен пазар - обични акции</v>
          </cell>
        </row>
        <row r="278">
          <cell r="A278" t="str">
            <v>МЗТ Енергетика Скопје</v>
          </cell>
        </row>
        <row r="279">
          <cell r="A279" t="str">
            <v>Југоопрема Скопје</v>
          </cell>
        </row>
        <row r="280">
          <cell r="A280" t="str">
            <v>Караорман Скопје</v>
          </cell>
        </row>
        <row r="281">
          <cell r="A281" t="str">
            <v>Квасара Битола</v>
          </cell>
        </row>
        <row r="282">
          <cell r="A282" t="str">
            <v>РЖ Инжинеринг Скопје</v>
          </cell>
        </row>
        <row r="283">
          <cell r="A283" t="str">
            <v>Скопска Пивара Скопје</v>
          </cell>
        </row>
        <row r="284">
          <cell r="A284" t="str">
            <v>Солун 2001 Гевгелија</v>
          </cell>
        </row>
        <row r="285">
          <cell r="A285" t="str">
            <v>Вкупен промет на сите пазарни сегменти: 10.240.410,00</v>
          </cell>
        </row>
        <row r="286">
          <cell r="A286" t="str">
            <v>МБИ10</v>
          </cell>
        </row>
        <row r="287">
          <cell r="A287" t="str">
            <v>ОМБ</v>
          </cell>
        </row>
        <row r="288">
          <cell r="A288" t="str">
            <v>1 EUR = 61,4947 МКД</v>
          </cell>
        </row>
      </sheetData>
      <sheetData sheetId="1"/>
      <sheetData sheetId="2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Технометал Вардар Скопје</v>
          </cell>
        </row>
        <row r="28">
          <cell r="A28" t="str">
            <v>Тетекс Тетово</v>
          </cell>
        </row>
        <row r="29">
          <cell r="A29" t="str">
            <v>Тутунски комбинат Прилеп</v>
          </cell>
        </row>
        <row r="30">
          <cell r="A30" t="str">
            <v>Винарска визба Тиквеш Скопје</v>
          </cell>
        </row>
        <row r="31">
          <cell r="A31" t="str">
            <v>ТТК Банка АД Скопје</v>
          </cell>
        </row>
        <row r="32">
          <cell r="A32" t="str">
            <v>Витаминка Прилеп</v>
          </cell>
        </row>
        <row r="33">
          <cell r="A33" t="str">
            <v>Жито Лукс Скопје</v>
          </cell>
        </row>
        <row r="34">
          <cell r="A34" t="str">
            <v>ЗК Пелагонија Битола</v>
          </cell>
        </row>
        <row r="35">
          <cell r="A35" t="str">
            <v>Берзанска котација - приоритетни акции</v>
          </cell>
        </row>
        <row r="36">
          <cell r="A36" t="str">
            <v>Скопски пазар Скопје</v>
          </cell>
        </row>
        <row r="37">
          <cell r="A37" t="str">
            <v>Жито лукс Скопје</v>
          </cell>
        </row>
        <row r="38">
          <cell r="A38" t="str">
            <v>Берзанска котација - обврзници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DO2018/24-1120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DO2017/34-1120</v>
          </cell>
        </row>
        <row r="46">
          <cell r="A46" t="str">
            <v>Р. Македонија - државна обврзница DO2017/35-1132dk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DO2017/14-0532dk</v>
          </cell>
        </row>
        <row r="51">
          <cell r="A51" t="str">
            <v>Р. Македонија - државна обврзница DO2015/19-0630dk</v>
          </cell>
        </row>
        <row r="52">
          <cell r="A52" t="str">
            <v>Р. Македонија - државна обврзница DO2014/19-0924dk</v>
          </cell>
        </row>
        <row r="53">
          <cell r="A53" t="str">
            <v>Р. Македонија - државна обврзница DO2018/21-1021dk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DO2014/13-0624dk</v>
          </cell>
        </row>
        <row r="56">
          <cell r="A56" t="str">
            <v>Р. Македонија - државна обврзница DO2017/29-1020</v>
          </cell>
        </row>
        <row r="57">
          <cell r="A57" t="str">
            <v>Р. Македонија - државна обврзница DO2017/30-1032dk</v>
          </cell>
        </row>
        <row r="58">
          <cell r="A58" t="str">
            <v>Р. Македонија - државна обврзница DO2017/12-0432dk</v>
          </cell>
        </row>
        <row r="59">
          <cell r="A59" t="str">
            <v>Р. Македонија - државна обврзница DO2017/19-0732dk</v>
          </cell>
        </row>
        <row r="60">
          <cell r="A60" t="str">
            <v>Р. Македонија - државна обврзница DO2015/30-0825dk</v>
          </cell>
        </row>
        <row r="61">
          <cell r="A61" t="str">
            <v>Р. Македонија - државна обврзница DO2015/31-0830dk</v>
          </cell>
        </row>
        <row r="62">
          <cell r="A62" t="str">
            <v>Р. Македонија - државна обврзница DO2018/28-1220dk</v>
          </cell>
        </row>
        <row r="63">
          <cell r="A63" t="str">
            <v>Р. Македонија - државна обврзница DO2019/05-0324</v>
          </cell>
        </row>
        <row r="64">
          <cell r="A64" t="str">
            <v>Р. Македонија - државна обврзница DO2016/11-0426dk</v>
          </cell>
        </row>
        <row r="65">
          <cell r="A65" t="str">
            <v>Р. Македонија - државна обврзница DO2015/17-0530dk</v>
          </cell>
        </row>
        <row r="66">
          <cell r="A66" t="str">
            <v>Р. Македонија - државна обврзница DO2018/12-0633</v>
          </cell>
        </row>
        <row r="67">
          <cell r="A67" t="str">
            <v>Р. Македонија - државна обврзница DO2017/26-0932dk</v>
          </cell>
        </row>
        <row r="68">
          <cell r="A68" t="str">
            <v>Р. Македонија - државна обврзница DO2017/38-1232dk</v>
          </cell>
        </row>
        <row r="69">
          <cell r="A69" t="str">
            <v>Р. Македонија - државна обврзница DO2018/09-0320</v>
          </cell>
        </row>
        <row r="70">
          <cell r="A70" t="str">
            <v>Р. Македонија - државна обврзница DO2018/10-0333dk</v>
          </cell>
        </row>
        <row r="71">
          <cell r="A71" t="str">
            <v>Р. Македонија - државна обврзница DO2017/16-0632dk</v>
          </cell>
        </row>
        <row r="72">
          <cell r="A72" t="str">
            <v>Р. Македонија - државна обврзница DO2016/15-0731dk</v>
          </cell>
        </row>
        <row r="73">
          <cell r="A73" t="str">
            <v>Р. Македонија - државна обврзница DO2015/40-1030dk</v>
          </cell>
        </row>
        <row r="74">
          <cell r="A74" t="str">
            <v>Р. Македонија - државна обврзница DO2017/08-0332dk</v>
          </cell>
        </row>
        <row r="75">
          <cell r="A75" t="str">
            <v>Р. Македонија - државна обврзница DO2016/13-0631dk</v>
          </cell>
        </row>
        <row r="76">
          <cell r="A76" t="str">
            <v>Р. Македонија - државна обврзница DO2015/23-0725</v>
          </cell>
        </row>
        <row r="77">
          <cell r="A77" t="str">
            <v>Р. Македонија - државна обврзница DO2015/24-0725dk</v>
          </cell>
        </row>
        <row r="78">
          <cell r="A78" t="str">
            <v>Р. Македонија - државна обврзница DO2015/25-0730dk</v>
          </cell>
        </row>
        <row r="79">
          <cell r="A79" t="str">
            <v>Р. Македонија - државна обврзница DO2018/16-0821</v>
          </cell>
        </row>
        <row r="80">
          <cell r="A80" t="str">
            <v>Р. Македонија - државна обврзница DO2018/17-0833dk</v>
          </cell>
        </row>
        <row r="81">
          <cell r="A81" t="str">
            <v>Р. Македонија - државна обврзница DO2017/21-0822dk</v>
          </cell>
        </row>
        <row r="82">
          <cell r="A82" t="str">
            <v>Р. Македонија - државна обврзница DO2017/22-0832dk</v>
          </cell>
        </row>
        <row r="83">
          <cell r="A83" t="str">
            <v>Р. Македонија - државна обврзница DO2018/01-0121</v>
          </cell>
        </row>
        <row r="84">
          <cell r="A84" t="str">
            <v>Р. Македонија - државна обврзница DO2018/02-0128</v>
          </cell>
        </row>
        <row r="85">
          <cell r="A85" t="str">
            <v>Р. Македонија - државна обврзница DO2018/03-0133dk</v>
          </cell>
        </row>
        <row r="86">
          <cell r="A86" t="str">
            <v>Р. Македонија - државна обврзница DO2016/05-0226</v>
          </cell>
        </row>
        <row r="87">
          <cell r="A87" t="str">
            <v>Р. Македонија - државна обврзница DO2016/06-0226dk</v>
          </cell>
        </row>
        <row r="88">
          <cell r="A88" t="str">
            <v>Р. Македонија - државна обврзница DO2016/07-0231dk</v>
          </cell>
        </row>
        <row r="89">
          <cell r="A89" t="str">
            <v>Р. Македонија - државна обврзница DO2017/02-0132dk</v>
          </cell>
        </row>
        <row r="90">
          <cell r="A90" t="str">
            <v>Р. Македонија - државна обврзница DO2015/05-0230dk</v>
          </cell>
        </row>
        <row r="91">
          <cell r="A91" t="str">
            <v>Р. Македонија - државна обврзница DO2015/09-0325</v>
          </cell>
        </row>
        <row r="92">
          <cell r="A92" t="str">
            <v>Р. Македонија - државна обврзница DO2015/10-0330dk</v>
          </cell>
        </row>
        <row r="93">
          <cell r="A93" t="str">
            <v>Р. Македонија - државна обврзница DO2016/01-0126dk</v>
          </cell>
        </row>
        <row r="94">
          <cell r="A94" t="str">
            <v>Р. Македонија - државна обврзница DO2016/02-0131dk</v>
          </cell>
        </row>
        <row r="95">
          <cell r="A95" t="str">
            <v>Р. Македонија - државна обврзница DO2019/03-0224dk</v>
          </cell>
        </row>
        <row r="96">
          <cell r="A96" t="str">
            <v>Р. Македонија - државна обврзница DO2016/12-0431dk</v>
          </cell>
        </row>
        <row r="97">
          <cell r="A97" t="str">
            <v>Р. Македонија - државна обврзница DO2016/23-1031dk</v>
          </cell>
        </row>
        <row r="98">
          <cell r="A98" t="str">
            <v>Р. Македонија - државна обврзница DO2018/06-0221</v>
          </cell>
        </row>
        <row r="99">
          <cell r="A99" t="str">
            <v>Р. Македонија - државна обврзница DO2018/07-0223</v>
          </cell>
        </row>
        <row r="100">
          <cell r="A100" t="str">
            <v>Р. Македонија - државна обврзница DO2018/08-0233dk</v>
          </cell>
        </row>
        <row r="101">
          <cell r="A101" t="str">
            <v>Р. Македонија - државна обврзница DO2017/06-0232dk</v>
          </cell>
        </row>
        <row r="102">
          <cell r="A102" t="str">
            <v>Р. Македонија - државна обврзница DO2015/15-0430dk</v>
          </cell>
        </row>
        <row r="103">
          <cell r="A103" t="str">
            <v>Р. Македонија - државна обврзница DO2019/08-0524</v>
          </cell>
        </row>
        <row r="104">
          <cell r="A104" t="str">
            <v>Р. Македонија - државна обврзница DO2019/09-0534</v>
          </cell>
        </row>
        <row r="105">
          <cell r="A105" t="str">
            <v>Р. Македонија - државна обврзница DO2014/27-1024</v>
          </cell>
        </row>
        <row r="106">
          <cell r="A106" t="str">
            <v>Р. Македонија - државна обврзница DO2014/28-1024dk</v>
          </cell>
        </row>
        <row r="107">
          <cell r="A107" t="str">
            <v>Р. Македонија - државна обврзница DO2019/01-0121</v>
          </cell>
        </row>
        <row r="108">
          <cell r="A108" t="str">
            <v>Р. Македонија - државна обврзница DO2016/08-0331dk</v>
          </cell>
        </row>
        <row r="109">
          <cell r="A109" t="str">
            <v>Р. Македонија - државна обврзница DO2017/23-0822dk</v>
          </cell>
        </row>
        <row r="110">
          <cell r="A110" t="str">
            <v>Р. Македонија - државна обврзница DO2017/24-0832dk</v>
          </cell>
        </row>
        <row r="111">
          <cell r="A111" t="str">
            <v>Р. Македонија - државна обврзница DO2015/37-0930dk</v>
          </cell>
        </row>
        <row r="112">
          <cell r="A112" t="str">
            <v>Р. Македонија - државна обврзница DO2015/45-1225dk</v>
          </cell>
        </row>
        <row r="113">
          <cell r="A113" t="str">
            <v>Р. Македонија - државна обврзница DO2019/06-0449dk</v>
          </cell>
        </row>
        <row r="114">
          <cell r="A114" t="str">
            <v>Р. Македонија - државна обврзница DO2016/17-0826</v>
          </cell>
        </row>
        <row r="115">
          <cell r="A115" t="str">
            <v>Р. Македонија - државна обврзница DO2016/18-0826dk</v>
          </cell>
        </row>
        <row r="116">
          <cell r="A116" t="str">
            <v>Р. Македонија - државна обврзница DO2016/19-0831dk</v>
          </cell>
        </row>
        <row r="117">
          <cell r="A117" t="str">
            <v>Р. Македонија - државна обврзница DO2018/22-1020dk</v>
          </cell>
        </row>
        <row r="118">
          <cell r="A118" t="str">
            <v>Р. Македонија - државна обврзница DO2018/23-1048dk</v>
          </cell>
        </row>
        <row r="119">
          <cell r="A119" t="str">
            <v>Р. Македонија - државна обврзница DO2018/14-0723</v>
          </cell>
        </row>
        <row r="120">
          <cell r="A120" t="str">
            <v>Р. Македонија - државна обврзница DO2018/15-0748dk</v>
          </cell>
        </row>
        <row r="121">
          <cell r="A121" t="str">
            <v>Р. Македонија - државна обврзница DO2017/32-1032dk</v>
          </cell>
        </row>
        <row r="122">
          <cell r="A122" t="str">
            <v>Р. Македонија - државна обврзница DO2015/42-1125dk</v>
          </cell>
        </row>
        <row r="123">
          <cell r="A123" t="str">
            <v>Р. Македонија - државна обврзница DO2015/43-1130dk</v>
          </cell>
        </row>
        <row r="124">
          <cell r="A124" t="str">
            <v>Р. Македонија - државна обврзница DO2017/20-0732dk</v>
          </cell>
        </row>
        <row r="125">
          <cell r="A125" t="str">
            <v>Р. Македонија - државна обврзница DO2015/32-0825</v>
          </cell>
        </row>
        <row r="126">
          <cell r="A126" t="str">
            <v>Р. Македонија - државна обврзница DO2015/33-0830dk</v>
          </cell>
        </row>
        <row r="127">
          <cell r="A127" t="str">
            <v>Р. Македонија - државна обврзница DO2018/18-0921</v>
          </cell>
        </row>
        <row r="128">
          <cell r="A128" t="str">
            <v>Р. Македонија - државна обврзница DO2018/19-0933</v>
          </cell>
        </row>
        <row r="129">
          <cell r="A129" t="str">
            <v>Р. Македонија - државна обврзница DO2018/20-0933dk</v>
          </cell>
        </row>
        <row r="130">
          <cell r="A130" t="str">
            <v>Р. Македонија - државна обврзница DO2015/18-0525dk</v>
          </cell>
        </row>
        <row r="131">
          <cell r="A131" t="str">
            <v>Р. Македонија - државна обврзница DO2018/13-0633dk</v>
          </cell>
        </row>
        <row r="132">
          <cell r="A132" t="str">
            <v>Р. Македонија - државна обврзница DO2014/18-0824dk</v>
          </cell>
        </row>
        <row r="133">
          <cell r="A133" t="str">
            <v>Р. Македонија - државна обврзница DO2017/27-0932dk</v>
          </cell>
        </row>
        <row r="134">
          <cell r="A134" t="str">
            <v>Р. Македонија - државна обврзница DO2016/03-0131dk</v>
          </cell>
        </row>
        <row r="135">
          <cell r="A135" t="str">
            <v>Р. Македонија - државна обврзница DO2017/17-0632dk</v>
          </cell>
        </row>
        <row r="136">
          <cell r="A136" t="str">
            <v>Р. Македонија - државна обврзница DO2016/21-0931dk</v>
          </cell>
        </row>
        <row r="137">
          <cell r="A137" t="str">
            <v>Р. Македонија - државна обврзница DO2018/26-1120dk</v>
          </cell>
        </row>
        <row r="138">
          <cell r="A138" t="str">
            <v>Р. Македонија - државна обврзница DO2018/27-1133dk</v>
          </cell>
        </row>
        <row r="139">
          <cell r="A139" t="str">
            <v>Р. Македонија - државна обврзница DO2016/29-1231dk</v>
          </cell>
        </row>
        <row r="140">
          <cell r="A140" t="str">
            <v>Р. Македонија - државна обврзница DO2014/02-0124</v>
          </cell>
        </row>
        <row r="141">
          <cell r="A141" t="str">
            <v>Р. Македонија - државна обврзница DO2014/03-0124dk</v>
          </cell>
        </row>
        <row r="142">
          <cell r="A142" t="str">
            <v>Р. Македонија - државна обврзница DO2017/10-0332dk</v>
          </cell>
        </row>
        <row r="143">
          <cell r="A143" t="str">
            <v>Р. Македонија - државна обврзница DO2016/14-0631dk</v>
          </cell>
        </row>
        <row r="144">
          <cell r="A144" t="str">
            <v>Р. Македонија - државна обврзница DO2015/27-0725dk</v>
          </cell>
        </row>
        <row r="145">
          <cell r="A145" t="str">
            <v>Р. Македонија - државна обврзница DO2015/28-0730dk</v>
          </cell>
        </row>
        <row r="146">
          <cell r="A146" t="str">
            <v>Р. Македонија - државна обврзница DO2017/36-1132dk</v>
          </cell>
        </row>
        <row r="147">
          <cell r="A147" t="str">
            <v>Р. Македонија - државна обврзница DO2016/09-0326</v>
          </cell>
        </row>
        <row r="148">
          <cell r="A148" t="str">
            <v>Р. Македонија - државна обврзница DO2014/17-0724dk</v>
          </cell>
        </row>
        <row r="149">
          <cell r="A149" t="str">
            <v>Р. Македонија - државна обврзница DO2015/38-0925dk</v>
          </cell>
        </row>
        <row r="150">
          <cell r="A150" t="str">
            <v>Р. Македонија - државна обврзница DO2015/39-0930dk</v>
          </cell>
        </row>
        <row r="151">
          <cell r="A151" t="str">
            <v>Р. Македонија - државна обврзница DO2015/46-1225dk</v>
          </cell>
        </row>
        <row r="152">
          <cell r="A152" t="str">
            <v>Р. Македонија - државна обврзница DO2018/04-0133</v>
          </cell>
        </row>
        <row r="153">
          <cell r="A153" t="str">
            <v>Р. Македонија - државна обврзница DO2018/05-0133dk</v>
          </cell>
        </row>
        <row r="154">
          <cell r="A154" t="str">
            <v>Р. Македонија - државна обврзница DO2015/20-0625</v>
          </cell>
        </row>
        <row r="155">
          <cell r="A155" t="str">
            <v>Р. Македонија - државна обврзница DO2015/21-0625dk</v>
          </cell>
        </row>
        <row r="156">
          <cell r="A156" t="str">
            <v>Р. Македонија - државна обврзница DO2015/22-0630dk</v>
          </cell>
        </row>
        <row r="157">
          <cell r="A157" t="str">
            <v>Р. Македонија - државна обврзница DO2017/05-0132dk</v>
          </cell>
        </row>
        <row r="158">
          <cell r="A158" t="str">
            <v>Р. Македонија - државна обврзница DO2015/08-0230dk</v>
          </cell>
        </row>
        <row r="159">
          <cell r="A159" t="str">
            <v>Р. Македонија - државна обврзница DO2015/12-0325</v>
          </cell>
        </row>
        <row r="160">
          <cell r="A160" t="str">
            <v>Р. Македонија - државна обврзница DO2015/13-0330dk</v>
          </cell>
        </row>
        <row r="161">
          <cell r="A161" t="str">
            <v>Р. Македонија - државна обврзница DO2018/11-0448dk</v>
          </cell>
        </row>
        <row r="162">
          <cell r="A162" t="str">
            <v>Р. Македонија - државна обврзница DO2015/34-0825</v>
          </cell>
        </row>
        <row r="163">
          <cell r="A163" t="str">
            <v>Р. Македонија - државна обврзница DO2015/35-0825dk</v>
          </cell>
        </row>
        <row r="164">
          <cell r="A164" t="str">
            <v>Р. Македонија - државна обврзница DO2015/36-0830dk</v>
          </cell>
        </row>
        <row r="165">
          <cell r="A165" t="str">
            <v>Р. Македонија - државна обврзница DO2018/29-1220dk</v>
          </cell>
        </row>
        <row r="166">
          <cell r="A166" t="str">
            <v>Р. Македонија - државна обврзница DO2016/04-0131dk</v>
          </cell>
        </row>
        <row r="167">
          <cell r="A167" t="str">
            <v>Р. Македонија - државна обврзница DO2019/04-0234</v>
          </cell>
        </row>
        <row r="168">
          <cell r="A168" t="str">
            <v>Р. Македонија - државна обврзница DO2016/16-0731dk</v>
          </cell>
        </row>
        <row r="169">
          <cell r="A169" t="str">
            <v>Р. Македонија - државна обврзница DO2015/03-0125</v>
          </cell>
        </row>
        <row r="170">
          <cell r="A170" t="str">
            <v>Р. Македонија - државна обврзница DO2015/04-0125dk</v>
          </cell>
        </row>
        <row r="171">
          <cell r="A171" t="str">
            <v>Р. Македонија - државна обврзница DO2017/18-0632dk</v>
          </cell>
        </row>
        <row r="172">
          <cell r="A172" t="str">
            <v>Р. Македонија - државна обврзница DO2016/22-0931dk</v>
          </cell>
        </row>
        <row r="173">
          <cell r="A173" t="str">
            <v>Р. Македонија - државна обврзница DO2015/41-1030dk</v>
          </cell>
        </row>
        <row r="174">
          <cell r="A174" t="str">
            <v>Р. Македонија - државна обврзница DO2017/11-0332dk</v>
          </cell>
        </row>
        <row r="175">
          <cell r="A175" t="str">
            <v>Р. Македонија - државна обврзница DO2015/29-0730dk</v>
          </cell>
        </row>
        <row r="176">
          <cell r="A176" t="str">
            <v>Р. Македонија - државна обврзница DO2014/30-1024dk</v>
          </cell>
        </row>
        <row r="177">
          <cell r="A177" t="str">
            <v>Р. Македонија - државна обврзница DO2017/37-1132dk</v>
          </cell>
        </row>
        <row r="178">
          <cell r="A178" t="str">
            <v>Р. Македонија - државна обврзница DO2019/02-0149dk</v>
          </cell>
        </row>
        <row r="179">
          <cell r="A179" t="str">
            <v>Р. Македонија - државна обврзница DO2016/10-0331dk</v>
          </cell>
        </row>
        <row r="180">
          <cell r="A180" t="str">
            <v>Р. Македонија - денационализација 09</v>
          </cell>
          <cell r="B180">
            <v>98.3</v>
          </cell>
        </row>
        <row r="181">
          <cell r="A181" t="str">
            <v>Р. Македонија - денационализација 10</v>
          </cell>
          <cell r="B181">
            <v>97</v>
          </cell>
        </row>
        <row r="182">
          <cell r="A182" t="str">
            <v>Р. Македонија - денационализација 11</v>
          </cell>
          <cell r="B182">
            <v>99</v>
          </cell>
        </row>
        <row r="183">
          <cell r="A183" t="str">
            <v>Р. Македонија - денационализација 12</v>
          </cell>
          <cell r="B183">
            <v>98.99</v>
          </cell>
        </row>
        <row r="184">
          <cell r="A184" t="str">
            <v>Р. Македонија - денационализација 13</v>
          </cell>
          <cell r="B184">
            <v>99</v>
          </cell>
        </row>
        <row r="185">
          <cell r="A185" t="str">
            <v>Р. Македонија - денационализација 14</v>
          </cell>
        </row>
        <row r="186">
          <cell r="A186" t="str">
            <v>Р. Македонија - денационализација 15</v>
          </cell>
          <cell r="B186">
            <v>98.7</v>
          </cell>
        </row>
        <row r="187">
          <cell r="A187" t="str">
            <v>Р. Македонија - денационализација 16</v>
          </cell>
          <cell r="B187">
            <v>98.1</v>
          </cell>
        </row>
        <row r="188">
          <cell r="A188" t="str">
            <v>Р. Македонија - денационализација 17</v>
          </cell>
          <cell r="B188">
            <v>98</v>
          </cell>
        </row>
        <row r="189">
          <cell r="A189" t="str">
            <v>Р. Македонија - денационализација 18</v>
          </cell>
          <cell r="B189">
            <v>98.63</v>
          </cell>
        </row>
        <row r="190">
          <cell r="A190" t="str">
            <v>Обв. за надом. на сел. кредити на НБРМ</v>
          </cell>
        </row>
        <row r="191">
          <cell r="A191" t="str">
            <v>Берзанска котација - други хартии од вредност</v>
          </cell>
        </row>
        <row r="192">
          <cell r="A192" t="str">
            <v>Универзална Инвестициона Банка Скопје - перпетуални обврзници</v>
          </cell>
          <cell r="B192">
            <v>100.6</v>
          </cell>
        </row>
        <row r="193">
          <cell r="A193" t="str">
            <v>Задолжителна котација - обични акции</v>
          </cell>
        </row>
        <row r="194">
          <cell r="A194" t="str">
            <v>Адинг Скопје</v>
          </cell>
          <cell r="B194">
            <v>679</v>
          </cell>
        </row>
        <row r="195">
          <cell r="A195" t="str">
            <v>Агроплод Ресен</v>
          </cell>
        </row>
        <row r="196">
          <cell r="A196" t="str">
            <v>Агромеханика Скопје</v>
          </cell>
          <cell r="B196">
            <v>500</v>
          </cell>
        </row>
        <row r="197">
          <cell r="A197" t="str">
            <v>Ангропромет-Тиквешанка Кавадарци</v>
          </cell>
        </row>
        <row r="198">
          <cell r="A198" t="str">
            <v>Аутомакедонија Скопје</v>
          </cell>
        </row>
        <row r="199">
          <cell r="A199" t="str">
            <v>Рудници Бањани Скопје</v>
          </cell>
          <cell r="B199">
            <v>603</v>
          </cell>
        </row>
        <row r="200">
          <cell r="A200" t="str">
            <v>Бетон Штип</v>
          </cell>
          <cell r="B200">
            <v>1886</v>
          </cell>
        </row>
        <row r="201">
          <cell r="A201" t="str">
            <v>Благој Ѓорев Велес</v>
          </cell>
        </row>
        <row r="202">
          <cell r="A202" t="str">
            <v>БИМ Свети Николе</v>
          </cell>
          <cell r="B202">
            <v>10100</v>
          </cell>
        </row>
        <row r="203">
          <cell r="A203" t="str">
            <v>Благој Туфанов Радовиш</v>
          </cell>
          <cell r="B203">
            <v>100</v>
          </cell>
        </row>
        <row r="204">
          <cell r="A204" t="str">
            <v>ФЗЦ 11 Октомври Куманово</v>
          </cell>
          <cell r="B204">
            <v>800</v>
          </cell>
        </row>
        <row r="205">
          <cell r="A205" t="str">
            <v>Централна кооперативна банка Скопје</v>
          </cell>
        </row>
        <row r="206">
          <cell r="A206" t="str">
            <v>Дебарски бањи Дебар</v>
          </cell>
        </row>
        <row r="207">
          <cell r="A207" t="str">
            <v>Димко Митрев Велес</v>
          </cell>
        </row>
        <row r="208">
          <cell r="A208" t="str">
            <v>Единство Струмица</v>
          </cell>
        </row>
        <row r="209">
          <cell r="A209" t="str">
            <v>Европа Скопје</v>
          </cell>
        </row>
        <row r="210">
          <cell r="A210" t="str">
            <v>Факом Скопје</v>
          </cell>
          <cell r="B210">
            <v>7200</v>
          </cell>
        </row>
        <row r="211">
          <cell r="A211" t="str">
            <v>Фустеларко Борец Битола</v>
          </cell>
          <cell r="B211">
            <v>1200</v>
          </cell>
        </row>
        <row r="212">
          <cell r="A212" t="str">
            <v>Герас Цунев конфекција Струмица</v>
          </cell>
        </row>
        <row r="213">
          <cell r="A213" t="str">
            <v>Герас Цунев трговија Струмица</v>
          </cell>
        </row>
        <row r="214">
          <cell r="A214" t="str">
            <v>Грозд Струмица</v>
          </cell>
        </row>
        <row r="215">
          <cell r="A215" t="str">
            <v>Градски Трговски Центар Скопје</v>
          </cell>
        </row>
        <row r="216">
          <cell r="A216" t="str">
            <v>ИДЕВЕЛОП Скопје</v>
          </cell>
        </row>
        <row r="217">
          <cell r="A217" t="str">
            <v>Интерпромет Тетово</v>
          </cell>
        </row>
        <row r="218">
          <cell r="A218" t="str">
            <v>Осигурување Македонија АД Скопје - Виена Иншуренс Груп</v>
          </cell>
        </row>
        <row r="219">
          <cell r="A219" t="str">
            <v>Кланица со ладилник Струмица</v>
          </cell>
        </row>
        <row r="220">
          <cell r="A220" t="str">
            <v>Фруктал МАК Скопје</v>
          </cell>
        </row>
        <row r="221">
          <cell r="A221" t="str">
            <v>Карпош Скопје</v>
          </cell>
        </row>
        <row r="222">
          <cell r="A222" t="str">
            <v>Карбо-Нова</v>
          </cell>
        </row>
        <row r="223">
          <cell r="A223" t="str">
            <v>Лотарија на Македонија Скопје</v>
          </cell>
        </row>
        <row r="224">
          <cell r="A224" t="str">
            <v>Пелистерка АД Скопје</v>
          </cell>
        </row>
        <row r="225">
          <cell r="A225" t="str">
            <v>АДУТ Македонија Битола</v>
          </cell>
        </row>
        <row r="226">
          <cell r="A226" t="str">
            <v>Макпромет Штип</v>
          </cell>
        </row>
        <row r="227">
          <cell r="A227" t="str">
            <v>Мермерен комбинат Прилеп</v>
          </cell>
        </row>
        <row r="228">
          <cell r="A228" t="str">
            <v>Мода Свети Николе</v>
          </cell>
        </row>
        <row r="229">
          <cell r="A229" t="str">
            <v>Вабтек МЗТ Скопје</v>
          </cell>
        </row>
        <row r="230">
          <cell r="A230" t="str">
            <v>МЗТ Пумпи Скопје</v>
          </cell>
        </row>
        <row r="231">
          <cell r="A231" t="str">
            <v>Огражден Струмица</v>
          </cell>
        </row>
        <row r="232">
          <cell r="A232" t="str">
            <v>Нова стоковна куќа Струмица</v>
          </cell>
        </row>
        <row r="233">
          <cell r="A233" t="str">
            <v>Оилко КДА Скопје</v>
          </cell>
        </row>
        <row r="234">
          <cell r="A234" t="str">
            <v>ОКТА Скопје</v>
          </cell>
        </row>
        <row r="235">
          <cell r="A235" t="str">
            <v>Оранжерии Хамзали Струмица</v>
          </cell>
        </row>
        <row r="236">
          <cell r="A236" t="str">
            <v>Пекабеско Скопје</v>
          </cell>
        </row>
        <row r="237">
          <cell r="A237" t="str">
            <v>Попова Кула Демир Капија</v>
          </cell>
        </row>
        <row r="238">
          <cell r="A238" t="str">
            <v>Прилепска Пиварница Прилеп</v>
          </cell>
        </row>
        <row r="239">
          <cell r="A239" t="str">
            <v>Раде Кончар Скопје</v>
          </cell>
        </row>
        <row r="240">
          <cell r="A240" t="str">
            <v>РЖ Економика Скопје</v>
          </cell>
        </row>
        <row r="241">
          <cell r="A241" t="str">
            <v>Арцелормиттал Скопје (ХРМ) Скопје</v>
          </cell>
        </row>
        <row r="242">
          <cell r="A242" t="str">
            <v>Арцелормиттал Скопје (ЦРМ) Скопје</v>
          </cell>
        </row>
        <row r="243">
          <cell r="A243" t="str">
            <v>РЖ Техничка контрола Скопје</v>
          </cell>
        </row>
        <row r="244">
          <cell r="A244" t="str">
            <v>РЖ Уготур Скопје</v>
          </cell>
        </row>
        <row r="245">
          <cell r="A245" t="str">
            <v>Современ дом Прилеп</v>
          </cell>
        </row>
        <row r="246">
          <cell r="A246" t="str">
            <v>Силекс Кратово</v>
          </cell>
        </row>
        <row r="247">
          <cell r="A247" t="str">
            <v>Сковин Скопје</v>
          </cell>
        </row>
        <row r="248">
          <cell r="A248" t="str">
            <v>Славеј Скопје</v>
          </cell>
        </row>
        <row r="249">
          <cell r="A249" t="str">
            <v>Струмичко поле с.Василево</v>
          </cell>
        </row>
        <row r="250">
          <cell r="A250" t="str">
            <v>Сигурносно стакло Прилеп</v>
          </cell>
        </row>
        <row r="251">
          <cell r="A251" t="str">
            <v>Стопанска банка Скопје</v>
          </cell>
        </row>
        <row r="252">
          <cell r="A252" t="str">
            <v>Стокопромет Скопје</v>
          </cell>
        </row>
        <row r="253">
          <cell r="A253" t="str">
            <v>Тајмиште Кичево</v>
          </cell>
        </row>
        <row r="254">
          <cell r="A254" t="str">
            <v>ТЕАЛ-Алумина Тетово</v>
          </cell>
        </row>
        <row r="255">
          <cell r="A255" t="str">
            <v>Технокомерц Скопје</v>
          </cell>
        </row>
        <row r="256">
          <cell r="A256" t="str">
            <v>Македонски Телеком Скопје</v>
          </cell>
        </row>
        <row r="257">
          <cell r="A257" t="str">
            <v>ГД-Тиквеш Кавадарци</v>
          </cell>
        </row>
        <row r="258">
          <cell r="A258" t="str">
            <v>НЛБ Банка АД Скопје</v>
          </cell>
        </row>
        <row r="259">
          <cell r="A259" t="str">
            <v>Трудбеник Охрид</v>
          </cell>
        </row>
        <row r="260">
          <cell r="A260" t="str">
            <v>Транскоп-Патнички сооб. Битола</v>
          </cell>
        </row>
        <row r="261">
          <cell r="A261" t="str">
            <v>Трготекстил малопродажба Скопје</v>
          </cell>
        </row>
        <row r="262">
          <cell r="A262" t="str">
            <v>Универзална Инвестициона Банка Скопје</v>
          </cell>
        </row>
        <row r="263">
          <cell r="A263" t="str">
            <v>Цементарница УСЈЕ Скопје</v>
          </cell>
        </row>
        <row r="264">
          <cell r="A264" t="str">
            <v>Триглав осигурување Скопје</v>
          </cell>
        </row>
        <row r="265">
          <cell r="A265" t="str">
            <v>Ветекс Велес</v>
          </cell>
        </row>
        <row r="266">
          <cell r="A266" t="str">
            <v>ЖАС Скопје</v>
          </cell>
        </row>
        <row r="267">
          <cell r="A267" t="str">
            <v>Жито Караорман Кичево</v>
          </cell>
        </row>
        <row r="268">
          <cell r="A268" t="str">
            <v>Жито Полог Тетово</v>
          </cell>
        </row>
        <row r="269">
          <cell r="A269" t="str">
            <v>Задолжителна котација - приоритетни акции</v>
          </cell>
        </row>
        <row r="270">
          <cell r="A270" t="str">
            <v>Стопанска банка Скопје</v>
          </cell>
        </row>
        <row r="271">
          <cell r="A271" t="str">
            <v>Редовен пазар</v>
          </cell>
        </row>
        <row r="272">
          <cell r="A272" t="str">
            <v>Пазар на акционерски друштва со посебни обврски за известување - обични акции</v>
          </cell>
        </row>
        <row r="273">
          <cell r="A273" t="str">
            <v>Агросервис Скопје</v>
          </cell>
        </row>
        <row r="274">
          <cell r="A274" t="str">
            <v>ЗЕМ Промет Скопје</v>
          </cell>
        </row>
        <row r="275">
          <cell r="A275" t="str">
            <v>Слободен пазар - обични акции</v>
          </cell>
        </row>
        <row r="276">
          <cell r="A276" t="str">
            <v>Квасара Битола</v>
          </cell>
        </row>
        <row r="277">
          <cell r="A277" t="str">
            <v>Солун 2001 Гевгелија</v>
          </cell>
        </row>
        <row r="278">
          <cell r="A278" t="str">
            <v>Вин. визба Повардарие Неготино</v>
          </cell>
        </row>
        <row r="279">
          <cell r="A279" t="str">
            <v>БЛОКОВИ</v>
          </cell>
        </row>
        <row r="280">
          <cell r="A280" t="str">
            <v>Официјален пазар</v>
          </cell>
        </row>
        <row r="281">
          <cell r="A281" t="str">
            <v>Задолжителна котација - обични акции</v>
          </cell>
        </row>
        <row r="282">
          <cell r="A282" t="str">
            <v>Оилко КДА Скопје</v>
          </cell>
        </row>
        <row r="283">
          <cell r="A283" t="str">
            <v>Вкупен промет на сите пазарни сегменти: 21.261.469,00</v>
          </cell>
        </row>
        <row r="284">
          <cell r="A284" t="str">
            <v>МБИ10</v>
          </cell>
        </row>
        <row r="285">
          <cell r="A285" t="str">
            <v>ОМБ</v>
          </cell>
        </row>
        <row r="286">
          <cell r="A286" t="str">
            <v>1 EUR = 61,5752 МКД</v>
          </cell>
        </row>
      </sheetData>
      <sheetData sheetId="1"/>
      <sheetData sheetId="2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Технометал Вардар Скопје</v>
          </cell>
        </row>
        <row r="28">
          <cell r="A28" t="str">
            <v>Тетекс Тетово</v>
          </cell>
        </row>
        <row r="29">
          <cell r="A29" t="str">
            <v>Тутунски комбинат Прилеп</v>
          </cell>
        </row>
        <row r="30">
          <cell r="A30" t="str">
            <v>Винарска визба Тиквеш Скопје</v>
          </cell>
        </row>
        <row r="31">
          <cell r="A31" t="str">
            <v>ТТК Банка АД Скопје</v>
          </cell>
        </row>
        <row r="32">
          <cell r="A32" t="str">
            <v>Витаминка Прилеп</v>
          </cell>
        </row>
        <row r="33">
          <cell r="A33" t="str">
            <v>Жито Лукс Скопје</v>
          </cell>
        </row>
        <row r="34">
          <cell r="A34" t="str">
            <v>ЗК Пелагонија Битола</v>
          </cell>
        </row>
        <row r="35">
          <cell r="A35" t="str">
            <v>Берзанска котација - приоритетни акции</v>
          </cell>
        </row>
        <row r="36">
          <cell r="A36" t="str">
            <v>Скопски пазар Скопје</v>
          </cell>
        </row>
        <row r="37">
          <cell r="A37" t="str">
            <v>Жито лукс Скопје</v>
          </cell>
        </row>
        <row r="38">
          <cell r="A38" t="str">
            <v>Берзанска котација - обврзници</v>
          </cell>
        </row>
        <row r="39">
          <cell r="A39" t="str">
            <v>Р. Македонија - државна обврзница DO2016/20-0931dk</v>
          </cell>
        </row>
        <row r="40">
          <cell r="A40" t="str">
            <v>Р. Македонија - државна обврзница DO2018/24-1120</v>
          </cell>
        </row>
        <row r="41">
          <cell r="A41" t="str">
            <v>Р. Македонија - државна обврзница DO2018/25-1133dk</v>
          </cell>
        </row>
        <row r="42">
          <cell r="A42" t="str">
            <v>Р. Македонија - државна обврзница DO2016/28-1231dk</v>
          </cell>
        </row>
        <row r="43">
          <cell r="A43" t="str">
            <v>Р. Македонија - државна обврзница DO2014/10-0524dk</v>
          </cell>
        </row>
        <row r="44">
          <cell r="A44" t="str">
            <v>Р. Македонија - државна обврзница DO2014/23-1024</v>
          </cell>
        </row>
        <row r="45">
          <cell r="A45" t="str">
            <v>Р. Македонија - државна обврзница DO2017/34-1120</v>
          </cell>
        </row>
        <row r="46">
          <cell r="A46" t="str">
            <v>Р. Македонија - државна обврзница DO2017/35-1132dk</v>
          </cell>
        </row>
        <row r="47">
          <cell r="A47" t="str">
            <v>Р. Македонија - државна обврзница DO2014/16-0724dk</v>
          </cell>
        </row>
        <row r="48">
          <cell r="A48" t="str">
            <v>Р. Македонија - државна обврзница DO2016/26-1131dk</v>
          </cell>
        </row>
        <row r="49">
          <cell r="A49" t="str">
            <v>Р. Македонија - државна обврзница DO2015/44-1230dk</v>
          </cell>
        </row>
        <row r="50">
          <cell r="A50" t="str">
            <v>Р. Македонија - државна обврзница DO2017/14-0532dk</v>
          </cell>
        </row>
        <row r="51">
          <cell r="A51" t="str">
            <v>Р. Македонија - државна обврзница DO2015/19-0630dk</v>
          </cell>
        </row>
        <row r="52">
          <cell r="A52" t="str">
            <v>Р. Македонија - државна обврзница DO2014/19-0924dk</v>
          </cell>
        </row>
        <row r="53">
          <cell r="A53" t="str">
            <v>Р. Македонија - државна обврзница DO2018/21-1021dk</v>
          </cell>
        </row>
        <row r="54">
          <cell r="A54" t="str">
            <v>Р. Македонија - државна обврзница DO2014/38-1224</v>
          </cell>
        </row>
        <row r="55">
          <cell r="A55" t="str">
            <v>Р. Македонија - државна обврзница DO2014/13-0624dk</v>
          </cell>
        </row>
        <row r="56">
          <cell r="A56" t="str">
            <v>Р. Македонија - државна обврзница DO2017/29-1020</v>
          </cell>
        </row>
        <row r="57">
          <cell r="A57" t="str">
            <v>Р. Македонија - државна обврзница DO2017/30-1032dk</v>
          </cell>
        </row>
        <row r="58">
          <cell r="A58" t="str">
            <v>Р. Македонија - државна обврзница DO2017/12-0432dk</v>
          </cell>
        </row>
        <row r="59">
          <cell r="A59" t="str">
            <v>Р. Македонија - државна обврзница DO2017/19-0732dk</v>
          </cell>
        </row>
        <row r="60">
          <cell r="A60" t="str">
            <v>Р. Македонија - државна обврзница DO2015/30-0825dk</v>
          </cell>
        </row>
        <row r="61">
          <cell r="A61" t="str">
            <v>Р. Македонија - државна обврзница DO2015/31-0830dk</v>
          </cell>
        </row>
        <row r="62">
          <cell r="A62" t="str">
            <v>Р. Македонија - државна обврзница DO2018/28-1220dk</v>
          </cell>
        </row>
        <row r="63">
          <cell r="A63" t="str">
            <v>Р. Македонија - државна обврзница DO2019/05-0324</v>
          </cell>
        </row>
        <row r="64">
          <cell r="A64" t="str">
            <v>Р. Македонија - државна обврзница DO2016/11-0426dk</v>
          </cell>
        </row>
        <row r="65">
          <cell r="A65" t="str">
            <v>Р. Македонија - државна обврзница DO2015/17-0530dk</v>
          </cell>
        </row>
        <row r="66">
          <cell r="A66" t="str">
            <v>Р. Македонија - државна обврзница DO2018/12-0633</v>
          </cell>
        </row>
        <row r="67">
          <cell r="A67" t="str">
            <v>Р. Македонија - државна обврзница DO2017/26-0932dk</v>
          </cell>
        </row>
        <row r="68">
          <cell r="A68" t="str">
            <v>Р. Македонија - државна обврзница DO2017/38-1232dk</v>
          </cell>
        </row>
        <row r="69">
          <cell r="A69" t="str">
            <v>Р. Македонија - државна обврзница DO2018/09-0320</v>
          </cell>
        </row>
        <row r="70">
          <cell r="A70" t="str">
            <v>Р. Македонија - државна обврзница DO2018/10-0333dk</v>
          </cell>
        </row>
        <row r="71">
          <cell r="A71" t="str">
            <v>Р. Македонија - државна обврзница DO2017/16-0632dk</v>
          </cell>
        </row>
        <row r="72">
          <cell r="A72" t="str">
            <v>Р. Македонија - државна обврзница DO2016/15-0731dk</v>
          </cell>
        </row>
        <row r="73">
          <cell r="A73" t="str">
            <v>Р. Македонија - државна обврзница DO2015/40-1030dk</v>
          </cell>
        </row>
        <row r="74">
          <cell r="A74" t="str">
            <v>Р. Македонија - државна обврзница DO2017/08-0332dk</v>
          </cell>
        </row>
        <row r="75">
          <cell r="A75" t="str">
            <v>Р. Македонија - државна обврзница DO2016/13-0631dk</v>
          </cell>
        </row>
        <row r="76">
          <cell r="A76" t="str">
            <v>Р. Македонија - државна обврзница DO2015/23-0725</v>
          </cell>
        </row>
        <row r="77">
          <cell r="A77" t="str">
            <v>Р. Македонија - државна обврзница DO2015/24-0725dk</v>
          </cell>
        </row>
        <row r="78">
          <cell r="A78" t="str">
            <v>Р. Македонија - државна обврзница DO2015/25-0730dk</v>
          </cell>
        </row>
        <row r="79">
          <cell r="A79" t="str">
            <v>Р. Македонија - државна обврзница DO2018/16-0821</v>
          </cell>
        </row>
        <row r="80">
          <cell r="A80" t="str">
            <v>Р. Македонија - државна обврзница DO2018/17-0833dk</v>
          </cell>
        </row>
        <row r="81">
          <cell r="A81" t="str">
            <v>Р. Македонија - државна обврзница DO2017/21-0822dk</v>
          </cell>
        </row>
        <row r="82">
          <cell r="A82" t="str">
            <v>Р. Македонија - државна обврзница DO2017/22-0832dk</v>
          </cell>
        </row>
        <row r="83">
          <cell r="A83" t="str">
            <v>Р. Македонија - државна обврзница DO2018/01-0121</v>
          </cell>
        </row>
        <row r="84">
          <cell r="A84" t="str">
            <v>Р. Македонија - државна обврзница DO2018/02-0128</v>
          </cell>
        </row>
        <row r="85">
          <cell r="A85" t="str">
            <v>Р. Македонија - државна обврзница DO2018/03-0133dk</v>
          </cell>
        </row>
        <row r="86">
          <cell r="A86" t="str">
            <v>Р. Македонија - државна обврзница DO2016/05-0226</v>
          </cell>
        </row>
        <row r="87">
          <cell r="A87" t="str">
            <v>Р. Македонија - државна обврзница DO2016/06-0226dk</v>
          </cell>
        </row>
        <row r="88">
          <cell r="A88" t="str">
            <v>Р. Македонија - државна обврзница DO2016/07-0231dk</v>
          </cell>
        </row>
        <row r="89">
          <cell r="A89" t="str">
            <v>Р. Македонија - државна обврзница DO2017/02-0132dk</v>
          </cell>
        </row>
        <row r="90">
          <cell r="A90" t="str">
            <v>Р. Македонија - државна обврзница DO2015/05-0230dk</v>
          </cell>
        </row>
        <row r="91">
          <cell r="A91" t="str">
            <v>Р. Македонија - државна обврзница DO2015/09-0325</v>
          </cell>
        </row>
        <row r="92">
          <cell r="A92" t="str">
            <v>Р. Македонија - државна обврзница DO2015/10-0330dk</v>
          </cell>
        </row>
        <row r="93">
          <cell r="A93" t="str">
            <v>Р. Македонија - државна обврзница DO2016/01-0126dk</v>
          </cell>
        </row>
        <row r="94">
          <cell r="A94" t="str">
            <v>Р. Македонија - државна обврзница DO2016/02-0131dk</v>
          </cell>
        </row>
        <row r="95">
          <cell r="A95" t="str">
            <v>Р. Македонија - државна обврзница DO2019/03-0224dk</v>
          </cell>
        </row>
        <row r="96">
          <cell r="A96" t="str">
            <v>Р. Македонија - државна обврзница DO2016/12-0431dk</v>
          </cell>
        </row>
        <row r="97">
          <cell r="A97" t="str">
            <v>Р. Македонија - државна обврзница DO2016/23-1031dk</v>
          </cell>
        </row>
        <row r="98">
          <cell r="A98" t="str">
            <v>Р. Македонија - државна обврзница DO2018/06-0221</v>
          </cell>
        </row>
        <row r="99">
          <cell r="A99" t="str">
            <v>Р. Македонија - државна обврзница DO2018/07-0223</v>
          </cell>
        </row>
        <row r="100">
          <cell r="A100" t="str">
            <v>Р. Македонија - државна обврзница DO2018/08-0233dk</v>
          </cell>
        </row>
        <row r="101">
          <cell r="A101" t="str">
            <v>Р. Македонија - државна обврзница DO2017/06-0232dk</v>
          </cell>
        </row>
        <row r="102">
          <cell r="A102" t="str">
            <v>Р. Македонија - државна обврзница DO2015/15-0430dk</v>
          </cell>
        </row>
        <row r="103">
          <cell r="A103" t="str">
            <v>Р. Македонија - државна обврзница DO2014/27-1024</v>
          </cell>
        </row>
        <row r="104">
          <cell r="A104" t="str">
            <v>Р. Македонија - државна обврзница DO2014/28-1024dk</v>
          </cell>
        </row>
        <row r="105">
          <cell r="A105" t="str">
            <v>Р. Македонија - државна обврзница DO2019/01-0121</v>
          </cell>
        </row>
        <row r="106">
          <cell r="A106" t="str">
            <v>Р. Македонија - државна обврзница DO2016/08-0331dk</v>
          </cell>
        </row>
        <row r="107">
          <cell r="A107" t="str">
            <v>Р. Македонија - државна обврзница DO2017/23-0822dk</v>
          </cell>
        </row>
        <row r="108">
          <cell r="A108" t="str">
            <v>Р. Македонија - државна обврзница DO2017/24-0832dk</v>
          </cell>
        </row>
        <row r="109">
          <cell r="A109" t="str">
            <v>Р. Македонија - државна обврзница DO2015/37-0930dk</v>
          </cell>
        </row>
        <row r="110">
          <cell r="A110" t="str">
            <v>Р. Македонија - државна обврзница DO2015/45-1225dk</v>
          </cell>
        </row>
        <row r="111">
          <cell r="A111" t="str">
            <v>Р. Македонија - државна обврзница DO2016/17-0826</v>
          </cell>
        </row>
        <row r="112">
          <cell r="A112" t="str">
            <v>Р. Македонија - државна обврзница DO2016/18-0826dk</v>
          </cell>
        </row>
        <row r="113">
          <cell r="A113" t="str">
            <v>Р. Македонија - државна обврзница DO2016/19-0831dk</v>
          </cell>
        </row>
        <row r="114">
          <cell r="A114" t="str">
            <v>Р. Македонија - државна обврзница DO2018/22-1020dk</v>
          </cell>
        </row>
        <row r="115">
          <cell r="A115" t="str">
            <v>Р. Македонија - државна обврзница DO2018/23-1048dk</v>
          </cell>
        </row>
        <row r="116">
          <cell r="A116" t="str">
            <v>Р. Македонија - државна обврзница DO2018/14-0723</v>
          </cell>
        </row>
        <row r="117">
          <cell r="A117" t="str">
            <v>Р. Македонија - државна обврзница DO2018/15-0748dk</v>
          </cell>
        </row>
        <row r="118">
          <cell r="A118" t="str">
            <v>Р. Македонија - државна обврзница DO2017/32-1032dk</v>
          </cell>
        </row>
        <row r="119">
          <cell r="A119" t="str">
            <v>Р. Македонија - државна обврзница DO2015/42-1125dk</v>
          </cell>
        </row>
        <row r="120">
          <cell r="A120" t="str">
            <v>Р. Македонија - државна обврзница DO2015/43-1130dk</v>
          </cell>
        </row>
        <row r="121">
          <cell r="A121" t="str">
            <v>Р. Македонија - државна обврзница DO2017/20-0732dk</v>
          </cell>
        </row>
        <row r="122">
          <cell r="A122" t="str">
            <v>Р. Македонија - државна обврзница DO2015/32-0825</v>
          </cell>
        </row>
        <row r="123">
          <cell r="A123" t="str">
            <v>Р. Македонија - државна обврзница DO2015/33-0830dk</v>
          </cell>
        </row>
        <row r="124">
          <cell r="A124" t="str">
            <v>Р. Македонија - државна обврзница DO2018/18-0921</v>
          </cell>
        </row>
        <row r="125">
          <cell r="A125" t="str">
            <v>Р. Македонија - државна обврзница DO2018/19-0933</v>
          </cell>
        </row>
        <row r="126">
          <cell r="A126" t="str">
            <v>Р. Македонија - државна обврзница DO2018/20-0933dk</v>
          </cell>
        </row>
        <row r="127">
          <cell r="A127" t="str">
            <v>Р. Македонија - државна обврзница DO2015/18-0525dk</v>
          </cell>
        </row>
        <row r="128">
          <cell r="A128" t="str">
            <v>Р. Македонија - државна обврзница DO2018/13-0633dk</v>
          </cell>
        </row>
        <row r="129">
          <cell r="A129" t="str">
            <v>Р. Македонија - државна обврзница DO2014/18-0824dk</v>
          </cell>
        </row>
        <row r="130">
          <cell r="A130" t="str">
            <v>Р. Македонија - државна обврзница DO2017/27-0932dk</v>
          </cell>
        </row>
        <row r="131">
          <cell r="A131" t="str">
            <v>Р. Македонија - државна обврзница DO2016/03-0131dk</v>
          </cell>
        </row>
        <row r="132">
          <cell r="A132" t="str">
            <v>Р. Македонија - државна обврзница DO2017/17-0632dk</v>
          </cell>
        </row>
        <row r="133">
          <cell r="A133" t="str">
            <v>Р. Македонија - државна обврзница DO2016/21-0931dk</v>
          </cell>
        </row>
        <row r="134">
          <cell r="A134" t="str">
            <v>Р. Македонија - државна обврзница DO2018/26-1120dk</v>
          </cell>
        </row>
        <row r="135">
          <cell r="A135" t="str">
            <v>Р. Македонија - државна обврзница DO2018/27-1133dk</v>
          </cell>
        </row>
        <row r="136">
          <cell r="A136" t="str">
            <v>Р. Македонија - државна обврзница DO2016/29-1231dk</v>
          </cell>
        </row>
        <row r="137">
          <cell r="A137" t="str">
            <v>Р. Македонија - државна обврзница DO2014/02-0124</v>
          </cell>
        </row>
        <row r="138">
          <cell r="A138" t="str">
            <v>Р. Македонија - државна обврзница DO2014/03-0124dk</v>
          </cell>
        </row>
        <row r="139">
          <cell r="A139" t="str">
            <v>Р. Македонија - државна обврзница DO2017/10-0332dk</v>
          </cell>
        </row>
        <row r="140">
          <cell r="A140" t="str">
            <v>Р. Македонија - државна обврзница DO2016/14-0631dk</v>
          </cell>
        </row>
        <row r="141">
          <cell r="A141" t="str">
            <v>Р. Македонија - државна обврзница DO2015/27-0725dk</v>
          </cell>
        </row>
        <row r="142">
          <cell r="A142" t="str">
            <v>Р. Македонија - државна обврзница DO2015/28-0730dk</v>
          </cell>
        </row>
        <row r="143">
          <cell r="A143" t="str">
            <v>Р. Македонија - државна обврзница DO2017/36-1132dk</v>
          </cell>
        </row>
        <row r="144">
          <cell r="A144" t="str">
            <v>Р. Македонија - државна обврзница DO2016/09-0326</v>
          </cell>
        </row>
        <row r="145">
          <cell r="A145" t="str">
            <v>Р. Македонија - државна обврзница DO2014/17-0724dk</v>
          </cell>
        </row>
        <row r="146">
          <cell r="A146" t="str">
            <v>Р. Македонија - државна обврзница DO2015/38-0925dk</v>
          </cell>
        </row>
        <row r="147">
          <cell r="A147" t="str">
            <v>Р. Македонија - државна обврзница DO2015/39-0930dk</v>
          </cell>
        </row>
        <row r="148">
          <cell r="A148" t="str">
            <v>Р. Македонија - државна обврзница DO2015/46-1225dk</v>
          </cell>
        </row>
        <row r="149">
          <cell r="A149" t="str">
            <v>Р. Македонија - државна обврзница DO2018/04-0133</v>
          </cell>
        </row>
        <row r="150">
          <cell r="A150" t="str">
            <v>Р. Македонија - државна обврзница DO2018/05-0133dk</v>
          </cell>
        </row>
        <row r="151">
          <cell r="A151" t="str">
            <v>Р. Македонија - државна обврзница DO2015/20-0625</v>
          </cell>
        </row>
        <row r="152">
          <cell r="A152" t="str">
            <v>Р. Македонија - државна обврзница DO2015/21-0625dk</v>
          </cell>
        </row>
        <row r="153">
          <cell r="A153" t="str">
            <v>Р. Македонија - државна обврзница DO2015/22-0630dk</v>
          </cell>
        </row>
        <row r="154">
          <cell r="A154" t="str">
            <v>Р. Македонија - државна обврзница DO2017/05-0132dk</v>
          </cell>
        </row>
        <row r="155">
          <cell r="A155" t="str">
            <v>Р. Македонија - државна обврзница DO2015/08-0230dk</v>
          </cell>
        </row>
        <row r="156">
          <cell r="A156" t="str">
            <v>Р. Македонија - државна обврзница DO2015/12-0325</v>
          </cell>
        </row>
        <row r="157">
          <cell r="A157" t="str">
            <v>Р. Македонија - државна обврзница DO2015/13-0330dk</v>
          </cell>
        </row>
        <row r="158">
          <cell r="A158" t="str">
            <v>Р. Македонија - државна обврзница DO2018/11-0448dk</v>
          </cell>
        </row>
        <row r="159">
          <cell r="A159" t="str">
            <v>Р. Македонија - државна обврзница DO2015/34-0825</v>
          </cell>
        </row>
        <row r="160">
          <cell r="A160" t="str">
            <v>Р. Македонија - државна обврзница DO2015/35-0825dk</v>
          </cell>
        </row>
        <row r="161">
          <cell r="A161" t="str">
            <v>Р. Македонија - државна обврзница DO2015/36-0830dk</v>
          </cell>
        </row>
        <row r="162">
          <cell r="A162" t="str">
            <v>Р. Македонија - државна обврзница DO2018/29-1220dk</v>
          </cell>
        </row>
        <row r="163">
          <cell r="A163" t="str">
            <v>Р. Македонија - државна обврзница DO2016/04-0131dk</v>
          </cell>
        </row>
        <row r="164">
          <cell r="A164" t="str">
            <v>Р. Македонија - државна обврзница DO2019/04-0234</v>
          </cell>
        </row>
        <row r="165">
          <cell r="A165" t="str">
            <v>Р. Македонија - државна обврзница DO2016/16-0731dk</v>
          </cell>
        </row>
        <row r="166">
          <cell r="A166" t="str">
            <v>Р. Македонија - државна обврзница DO2015/03-0125</v>
          </cell>
        </row>
        <row r="167">
          <cell r="A167" t="str">
            <v>Р. Македонија - државна обврзница DO2015/04-0125dk</v>
          </cell>
        </row>
        <row r="168">
          <cell r="A168" t="str">
            <v>Р. Македонија - државна обврзница DO2017/18-0632dk</v>
          </cell>
        </row>
        <row r="169">
          <cell r="A169" t="str">
            <v>Р. Македонија - државна обврзница DO2016/22-0931dk</v>
          </cell>
        </row>
        <row r="170">
          <cell r="A170" t="str">
            <v>Р. Македонија - државна обврзница DO2015/41-1030dk</v>
          </cell>
        </row>
        <row r="171">
          <cell r="A171" t="str">
            <v>Р. Македонија - државна обврзница DO2017/11-0332dk</v>
          </cell>
        </row>
        <row r="172">
          <cell r="A172" t="str">
            <v>Р. Македонија - државна обврзница DO2015/29-0730dk</v>
          </cell>
        </row>
        <row r="173">
          <cell r="A173" t="str">
            <v>Р. Македонија - државна обврзница DO2014/30-1024dk</v>
          </cell>
        </row>
        <row r="174">
          <cell r="A174" t="str">
            <v>Р. Македонија - државна обврзница DO2017/37-1132dk</v>
          </cell>
        </row>
        <row r="175">
          <cell r="A175" t="str">
            <v>Р. Македонија - државна обврзница DO2019/02-0149dk</v>
          </cell>
        </row>
        <row r="176">
          <cell r="A176" t="str">
            <v>Р. Македонија - државна обврзница DO2016/10-0331dk</v>
          </cell>
        </row>
        <row r="177">
          <cell r="A177" t="str">
            <v>Р. Македонија - денационализација 08</v>
          </cell>
          <cell r="B177">
            <v>98.5</v>
          </cell>
        </row>
        <row r="178">
          <cell r="A178" t="str">
            <v>Р. Македонија - денационализација 09</v>
          </cell>
          <cell r="B178">
            <v>98.3</v>
          </cell>
        </row>
        <row r="179">
          <cell r="A179" t="str">
            <v>Р. Македонија - денационализација 10</v>
          </cell>
          <cell r="B179">
            <v>99.8</v>
          </cell>
        </row>
        <row r="180">
          <cell r="A180" t="str">
            <v>Р. Македонија - денационализација 11</v>
          </cell>
          <cell r="B180">
            <v>99</v>
          </cell>
        </row>
        <row r="181">
          <cell r="A181" t="str">
            <v>Р. Македонија - денационализација 12</v>
          </cell>
          <cell r="B181">
            <v>98.5</v>
          </cell>
        </row>
        <row r="182">
          <cell r="A182" t="str">
            <v>Р. Македонија - денационализација 13</v>
          </cell>
          <cell r="B182">
            <v>99</v>
          </cell>
        </row>
        <row r="183">
          <cell r="A183" t="str">
            <v>Р. Македонија - денационализација 14</v>
          </cell>
        </row>
        <row r="184">
          <cell r="A184" t="str">
            <v>Р. Македонија - денационализација 15</v>
          </cell>
          <cell r="B184">
            <v>98</v>
          </cell>
        </row>
        <row r="185">
          <cell r="A185" t="str">
            <v>Р. Македонија - денационализација 16</v>
          </cell>
          <cell r="B185">
            <v>98</v>
          </cell>
        </row>
        <row r="186">
          <cell r="A186" t="str">
            <v>Р. Македонија - денационализација 17</v>
          </cell>
          <cell r="B186">
            <v>98</v>
          </cell>
        </row>
        <row r="187">
          <cell r="A187" t="str">
            <v>Обв. за надом. на сел. кредити на НБРМ</v>
          </cell>
        </row>
        <row r="188">
          <cell r="A188" t="str">
            <v>Берзанска котација - други хартии од вредност</v>
          </cell>
        </row>
        <row r="189">
          <cell r="A189" t="str">
            <v>Универзална Инвестициона Банка Скопје - перпетуални обврзници</v>
          </cell>
          <cell r="B189">
            <v>100.6</v>
          </cell>
        </row>
        <row r="190">
          <cell r="A190" t="str">
            <v>Задолжителна котација - обични акции</v>
          </cell>
        </row>
        <row r="191">
          <cell r="A191" t="str">
            <v>Адинг Скопје</v>
          </cell>
          <cell r="B191">
            <v>691</v>
          </cell>
        </row>
        <row r="192">
          <cell r="A192" t="str">
            <v>Агроплод Ресен</v>
          </cell>
          <cell r="B192">
            <v>11900</v>
          </cell>
        </row>
        <row r="193">
          <cell r="A193" t="str">
            <v>Агромеханика Скопје</v>
          </cell>
          <cell r="B193">
            <v>2800</v>
          </cell>
        </row>
        <row r="194">
          <cell r="A194" t="str">
            <v>Ангропромет-Тиквешанка Кавадарци</v>
          </cell>
        </row>
        <row r="195">
          <cell r="A195" t="str">
            <v>Аутомакедонија Скопје</v>
          </cell>
          <cell r="B195">
            <v>1900</v>
          </cell>
        </row>
        <row r="196">
          <cell r="A196" t="str">
            <v>Рудници Бањани Скопје</v>
          </cell>
        </row>
        <row r="197">
          <cell r="A197" t="str">
            <v>Бетон Штип</v>
          </cell>
        </row>
        <row r="198">
          <cell r="A198" t="str">
            <v>Благој Ѓорев Велес</v>
          </cell>
          <cell r="B198">
            <v>240</v>
          </cell>
        </row>
        <row r="199">
          <cell r="A199" t="str">
            <v>БИМ Свети Николе</v>
          </cell>
          <cell r="B199">
            <v>10100</v>
          </cell>
        </row>
        <row r="200">
          <cell r="A200" t="str">
            <v>Благој Туфанов Радовиш</v>
          </cell>
          <cell r="B200">
            <v>100</v>
          </cell>
        </row>
        <row r="201">
          <cell r="A201" t="str">
            <v>ФЗЦ 11 Октомври Куманово</v>
          </cell>
        </row>
        <row r="202">
          <cell r="A202" t="str">
            <v>Централна кооперативна банка Скопје</v>
          </cell>
          <cell r="B202">
            <v>700</v>
          </cell>
        </row>
        <row r="203">
          <cell r="A203" t="str">
            <v>Дебарски бањи Дебар</v>
          </cell>
          <cell r="B203">
            <v>1550</v>
          </cell>
        </row>
        <row r="204">
          <cell r="A204" t="str">
            <v>Димко Митрев Велес</v>
          </cell>
          <cell r="B204">
            <v>185</v>
          </cell>
        </row>
        <row r="205">
          <cell r="A205" t="str">
            <v>Единство Струмица</v>
          </cell>
          <cell r="B205">
            <v>303</v>
          </cell>
        </row>
        <row r="206">
          <cell r="A206" t="str">
            <v>Европа Скопје</v>
          </cell>
          <cell r="B206">
            <v>3010</v>
          </cell>
        </row>
        <row r="207">
          <cell r="A207" t="str">
            <v>Факом Скопје</v>
          </cell>
          <cell r="B207">
            <v>6000</v>
          </cell>
        </row>
        <row r="208">
          <cell r="A208" t="str">
            <v>Фустеларко Борец Битола</v>
          </cell>
          <cell r="B208">
            <v>1000</v>
          </cell>
        </row>
        <row r="209">
          <cell r="A209" t="str">
            <v>Герас Цунев конфекција Струмица</v>
          </cell>
          <cell r="B209">
            <v>500</v>
          </cell>
        </row>
        <row r="210">
          <cell r="A210" t="str">
            <v>Герас Цунев трговија Струмица</v>
          </cell>
          <cell r="B210">
            <v>500</v>
          </cell>
        </row>
        <row r="211">
          <cell r="A211" t="str">
            <v>Грозд Струмица</v>
          </cell>
        </row>
        <row r="212">
          <cell r="A212" t="str">
            <v>Градски Трговски Центар Скопје</v>
          </cell>
          <cell r="B212">
            <v>1795</v>
          </cell>
        </row>
        <row r="213">
          <cell r="A213" t="str">
            <v>ИДЕВЕЛОП Скопје</v>
          </cell>
          <cell r="B213">
            <v>20</v>
          </cell>
        </row>
        <row r="214">
          <cell r="A214" t="str">
            <v>Интерпромет Тетово</v>
          </cell>
        </row>
        <row r="215">
          <cell r="A215" t="str">
            <v>Осигурување Македонија АД Скопје - Виена Иншуренс Груп</v>
          </cell>
        </row>
        <row r="216">
          <cell r="A216" t="str">
            <v>Кланица со ладилник Струмица</v>
          </cell>
        </row>
        <row r="217">
          <cell r="A217" t="str">
            <v>Фруктал МАК Скопје</v>
          </cell>
        </row>
        <row r="218">
          <cell r="A218" t="str">
            <v>Карпош Скопје</v>
          </cell>
        </row>
        <row r="219">
          <cell r="A219" t="str">
            <v>Карбо-Нова</v>
          </cell>
        </row>
        <row r="220">
          <cell r="A220" t="str">
            <v>Лотарија на Македонија Скопје</v>
          </cell>
        </row>
        <row r="221">
          <cell r="A221" t="str">
            <v>Пелистерка АД Скопје</v>
          </cell>
        </row>
        <row r="222">
          <cell r="A222" t="str">
            <v>АДУТ Македонија Битола</v>
          </cell>
        </row>
        <row r="223">
          <cell r="A223" t="str">
            <v>Макпромет Штип</v>
          </cell>
        </row>
        <row r="224">
          <cell r="A224" t="str">
            <v>Мермерен комбинат Прилеп</v>
          </cell>
        </row>
        <row r="225">
          <cell r="A225" t="str">
            <v>Мода Свети Николе</v>
          </cell>
        </row>
        <row r="226">
          <cell r="A226" t="str">
            <v>Вабтек МЗТ Скопје</v>
          </cell>
        </row>
        <row r="227">
          <cell r="A227" t="str">
            <v>МЗТ Пумпи Скопје</v>
          </cell>
        </row>
        <row r="228">
          <cell r="A228" t="str">
            <v>Огражден Струмица</v>
          </cell>
        </row>
        <row r="229">
          <cell r="A229" t="str">
            <v>Нова стоковна куќа Струмица</v>
          </cell>
        </row>
        <row r="230">
          <cell r="A230" t="str">
            <v>Оилко КДА Скопје</v>
          </cell>
        </row>
        <row r="231">
          <cell r="A231" t="str">
            <v>ОКТА Скопје</v>
          </cell>
        </row>
        <row r="232">
          <cell r="A232" t="str">
            <v>Оранжерии Хамзали Струмица</v>
          </cell>
        </row>
        <row r="233">
          <cell r="A233" t="str">
            <v>Пекабеско АД Кадино, Илинден</v>
          </cell>
        </row>
        <row r="234">
          <cell r="A234" t="str">
            <v>Попова Кула Демир Капија</v>
          </cell>
        </row>
        <row r="235">
          <cell r="A235" t="str">
            <v>Прилепска Пиварница Прилеп</v>
          </cell>
        </row>
        <row r="236">
          <cell r="A236" t="str">
            <v>Раде Кончар Скопје</v>
          </cell>
        </row>
        <row r="237">
          <cell r="A237" t="str">
            <v>РЖ Економика Скопје</v>
          </cell>
        </row>
        <row r="238">
          <cell r="A238" t="str">
            <v>Арцелормиттал Скопје (ХРМ) Скопје</v>
          </cell>
        </row>
        <row r="239">
          <cell r="A239" t="str">
            <v>Арцелормиттал Скопје (ЦРМ) Скопје</v>
          </cell>
        </row>
        <row r="240">
          <cell r="A240" t="str">
            <v>РЖ Техничка контрола Скопје</v>
          </cell>
        </row>
        <row r="241">
          <cell r="A241" t="str">
            <v>РЖ Уготур Скопје</v>
          </cell>
        </row>
        <row r="242">
          <cell r="A242" t="str">
            <v>Современ дом Прилеп</v>
          </cell>
        </row>
        <row r="243">
          <cell r="A243" t="str">
            <v>Силекс Кратово</v>
          </cell>
        </row>
        <row r="244">
          <cell r="A244" t="str">
            <v>Сковин Скопје</v>
          </cell>
        </row>
        <row r="245">
          <cell r="A245" t="str">
            <v>Славеј Скопје</v>
          </cell>
        </row>
        <row r="246">
          <cell r="A246" t="str">
            <v>Струмичко поле с.Василево</v>
          </cell>
        </row>
        <row r="247">
          <cell r="A247" t="str">
            <v>Сигурносно стакло Прилеп</v>
          </cell>
        </row>
        <row r="248">
          <cell r="A248" t="str">
            <v>Стопанска банка Скопје</v>
          </cell>
        </row>
        <row r="249">
          <cell r="A249" t="str">
            <v>Стокопромет Скопје</v>
          </cell>
        </row>
        <row r="250">
          <cell r="A250" t="str">
            <v>Тајмиште Кичево</v>
          </cell>
        </row>
        <row r="251">
          <cell r="A251" t="str">
            <v>ТЕАЛ-Алумина Тетово</v>
          </cell>
        </row>
        <row r="252">
          <cell r="A252" t="str">
            <v>Технокомерц Скопје</v>
          </cell>
        </row>
        <row r="253">
          <cell r="A253" t="str">
            <v>Македонски Телеком Скопје</v>
          </cell>
        </row>
        <row r="254">
          <cell r="A254" t="str">
            <v>ГД-Тиквеш Кавадарци</v>
          </cell>
        </row>
        <row r="255">
          <cell r="A255" t="str">
            <v>НЛБ Банка АД Скопје</v>
          </cell>
        </row>
        <row r="256">
          <cell r="A256" t="str">
            <v>Трудбеник Охрид</v>
          </cell>
        </row>
        <row r="257">
          <cell r="A257" t="str">
            <v>Транскоп-Патнички сооб. Битола</v>
          </cell>
        </row>
        <row r="258">
          <cell r="A258" t="str">
            <v>Трготекстил малопродажба Скопје</v>
          </cell>
        </row>
        <row r="259">
          <cell r="A259" t="str">
            <v>Универзална Инвестициона Банка Скопје</v>
          </cell>
        </row>
        <row r="260">
          <cell r="A260" t="str">
            <v>Цементарница УСЈЕ Скопје</v>
          </cell>
        </row>
        <row r="261">
          <cell r="A261" t="str">
            <v>Велес табак Велес</v>
          </cell>
        </row>
        <row r="262">
          <cell r="A262" t="str">
            <v>Триглав осигурување Скопје</v>
          </cell>
        </row>
        <row r="263">
          <cell r="A263" t="str">
            <v>Ветекс Велес</v>
          </cell>
        </row>
        <row r="264">
          <cell r="A264" t="str">
            <v>ЖАС Скопје</v>
          </cell>
        </row>
        <row r="265">
          <cell r="A265" t="str">
            <v>Жито Караорман Кичево</v>
          </cell>
        </row>
        <row r="266">
          <cell r="A266" t="str">
            <v>Жито Полог Тетово</v>
          </cell>
        </row>
        <row r="267">
          <cell r="A267" t="str">
            <v>Задолжителна котација - приоритетни акции</v>
          </cell>
        </row>
        <row r="268">
          <cell r="A268" t="str">
            <v>Стопанска банка Скопје</v>
          </cell>
        </row>
        <row r="269">
          <cell r="A269" t="str">
            <v>Редовен пазар</v>
          </cell>
        </row>
        <row r="270">
          <cell r="A270" t="str">
            <v>Пазар на акционерски друштва со посебни обврски за известување - обични акции</v>
          </cell>
        </row>
        <row r="271">
          <cell r="A271" t="str">
            <v>Агросервис Скопје</v>
          </cell>
        </row>
        <row r="272">
          <cell r="A272" t="str">
            <v>Отекс Охрид</v>
          </cell>
        </row>
        <row r="273">
          <cell r="A273" t="str">
            <v>ЗЕМ Промет Скопје</v>
          </cell>
        </row>
        <row r="274">
          <cell r="A274" t="str">
            <v>Слободен пазар - обични акции</v>
          </cell>
        </row>
        <row r="275">
          <cell r="A275" t="str">
            <v>Алкалоид Берово</v>
          </cell>
        </row>
        <row r="276">
          <cell r="A276" t="str">
            <v>Градинар Свети Николе</v>
          </cell>
        </row>
        <row r="277">
          <cell r="A277" t="str">
            <v>Југоопрема Скопје</v>
          </cell>
        </row>
        <row r="278">
          <cell r="A278" t="str">
            <v>Квасара Битола</v>
          </cell>
        </row>
        <row r="279">
          <cell r="A279" t="str">
            <v>МЗТ заеднички работи АД Скопје</v>
          </cell>
        </row>
        <row r="280">
          <cell r="A280" t="str">
            <v>Скопска Пивара Скопје</v>
          </cell>
        </row>
        <row r="281">
          <cell r="A281" t="str">
            <v>Солун 2001 Гевгелија</v>
          </cell>
        </row>
        <row r="282">
          <cell r="A282" t="str">
            <v>Вин. визба Повардарие Неготино</v>
          </cell>
        </row>
        <row r="283">
          <cell r="A283" t="str">
            <v>ЗИМ Скопје</v>
          </cell>
        </row>
        <row r="284">
          <cell r="A284" t="str">
            <v>Вкупен промет на сите пазарни сегменти: 4.102.415,00</v>
          </cell>
        </row>
        <row r="285">
          <cell r="A285" t="str">
            <v>МБИ10</v>
          </cell>
        </row>
        <row r="286">
          <cell r="A286" t="str">
            <v>ОМБ</v>
          </cell>
        </row>
        <row r="287">
          <cell r="A287" t="str">
            <v>1 EUR = 61,5449 МКД</v>
          </cell>
        </row>
      </sheetData>
      <sheetData sheetId="1"/>
      <sheetData sheetId="2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Технометал Вардар Скопје</v>
          </cell>
        </row>
        <row r="28">
          <cell r="A28" t="str">
            <v>Тетекс Тетово</v>
          </cell>
        </row>
        <row r="29">
          <cell r="A29" t="str">
            <v>Тутунски комбинат Прилеп</v>
          </cell>
        </row>
        <row r="30">
          <cell r="A30" t="str">
            <v>Винарска визба Тиквеш Скопје</v>
          </cell>
        </row>
        <row r="31">
          <cell r="A31" t="str">
            <v>ТТК Банка АД Скопје</v>
          </cell>
        </row>
        <row r="32">
          <cell r="A32" t="str">
            <v>Витаминка Прилеп</v>
          </cell>
        </row>
        <row r="33">
          <cell r="A33" t="str">
            <v>Жито Лукс Скопје</v>
          </cell>
        </row>
        <row r="34">
          <cell r="A34" t="str">
            <v>ЗК Пелагонија Битола</v>
          </cell>
        </row>
        <row r="35">
          <cell r="A35" t="str">
            <v>Берзанска котација - приоритетни акции</v>
          </cell>
        </row>
        <row r="36">
          <cell r="A36" t="str">
            <v>Скопски пазар Скопје</v>
          </cell>
        </row>
        <row r="37">
          <cell r="A37" t="str">
            <v>Жито лукс Скопје</v>
          </cell>
        </row>
        <row r="38">
          <cell r="A38" t="str">
            <v>Берзанска котација - обврзници</v>
          </cell>
        </row>
        <row r="39">
          <cell r="A39" t="str">
            <v>Р. Македонија - денационализација 08</v>
          </cell>
        </row>
        <row r="40">
          <cell r="A40" t="str">
            <v>Р. Македонија - денационализација 09</v>
          </cell>
        </row>
        <row r="41">
          <cell r="A41" t="str">
            <v>Р. Македонија - денационализација 10</v>
          </cell>
        </row>
        <row r="42">
          <cell r="A42" t="str">
            <v>Р. Македонија - денационализација 11</v>
          </cell>
        </row>
        <row r="43">
          <cell r="A43" t="str">
            <v>Р. Македонија - денационализација 12</v>
          </cell>
        </row>
        <row r="44">
          <cell r="A44" t="str">
            <v>Р. Македонија - денационализација 13</v>
          </cell>
        </row>
        <row r="45">
          <cell r="A45" t="str">
            <v>Р. Македонија - денационализација 14</v>
          </cell>
        </row>
        <row r="46">
          <cell r="A46" t="str">
            <v>Р. Македонија - денационализација 15</v>
          </cell>
        </row>
        <row r="47">
          <cell r="A47" t="str">
            <v>Р. Македонија - денационализација 16</v>
          </cell>
        </row>
        <row r="48">
          <cell r="A48" t="str">
            <v>Р. Македонија - денационализација 17</v>
          </cell>
        </row>
        <row r="49">
          <cell r="A49" t="str">
            <v>Обв. за надом. на сел. кредити на НБРМ</v>
          </cell>
        </row>
        <row r="50">
          <cell r="A50" t="str">
            <v>Задолжителна котација - обични акции</v>
          </cell>
        </row>
        <row r="51">
          <cell r="A51" t="str">
            <v>Адинг Скопје</v>
          </cell>
        </row>
        <row r="52">
          <cell r="A52" t="str">
            <v>Агроплод Ресен</v>
          </cell>
        </row>
        <row r="53">
          <cell r="A53" t="str">
            <v>Агромеханика Скопје</v>
          </cell>
        </row>
        <row r="54">
          <cell r="A54" t="str">
            <v>Ангропромет-Тиквешанка Кавадарци</v>
          </cell>
        </row>
        <row r="55">
          <cell r="A55" t="str">
            <v>Аутомакедонија Скопје</v>
          </cell>
        </row>
        <row r="56">
          <cell r="A56" t="str">
            <v>Рудници Бањани Скопје</v>
          </cell>
        </row>
        <row r="57">
          <cell r="A57" t="str">
            <v>Бетон Штип</v>
          </cell>
        </row>
        <row r="58">
          <cell r="A58" t="str">
            <v>Благој Ѓорев Велес</v>
          </cell>
        </row>
        <row r="59">
          <cell r="A59" t="str">
            <v>БИМ Свети Николе</v>
          </cell>
        </row>
        <row r="60">
          <cell r="A60" t="str">
            <v>Благој Туфанов Радовиш</v>
          </cell>
        </row>
        <row r="61">
          <cell r="A61" t="str">
            <v>ФЗЦ 11 Октомври Куманово</v>
          </cell>
        </row>
        <row r="62">
          <cell r="A62" t="str">
            <v>Централна кооперативна банка Скопје</v>
          </cell>
        </row>
        <row r="63">
          <cell r="A63" t="str">
            <v>Дебарски бањи Дебар</v>
          </cell>
        </row>
        <row r="64">
          <cell r="A64" t="str">
            <v>Димко Митрев Велес</v>
          </cell>
        </row>
        <row r="65">
          <cell r="A65" t="str">
            <v>Единство Струмица</v>
          </cell>
        </row>
        <row r="66">
          <cell r="A66" t="str">
            <v>Европа Скопје</v>
          </cell>
        </row>
        <row r="67">
          <cell r="A67" t="str">
            <v>Факом Скопје</v>
          </cell>
        </row>
        <row r="68">
          <cell r="A68" t="str">
            <v>Фустеларко Борец Битола</v>
          </cell>
        </row>
        <row r="69">
          <cell r="A69" t="str">
            <v>Герас Цунев конфекција Струмица</v>
          </cell>
        </row>
        <row r="70">
          <cell r="A70" t="str">
            <v>Герас Цунев трговија Струмица</v>
          </cell>
        </row>
        <row r="71">
          <cell r="A71" t="str">
            <v>Грозд Струмица</v>
          </cell>
        </row>
        <row r="72">
          <cell r="A72" t="str">
            <v>Градски Трговски Центар Скопје</v>
          </cell>
        </row>
        <row r="73">
          <cell r="A73" t="str">
            <v>ИДЕВЕЛОП Скопје</v>
          </cell>
        </row>
        <row r="74">
          <cell r="A74" t="str">
            <v>Интерпромет Тетово</v>
          </cell>
        </row>
        <row r="75">
          <cell r="A75" t="str">
            <v>Осигурување Македонија АД Скопје - Виена Иншуренс Груп</v>
          </cell>
        </row>
        <row r="76">
          <cell r="A76" t="str">
            <v>Кланица со ладилник Струмица</v>
          </cell>
        </row>
        <row r="77">
          <cell r="A77" t="str">
            <v>Фруктал МАК Скопје</v>
          </cell>
        </row>
        <row r="78">
          <cell r="A78" t="str">
            <v>Карпош Скопје</v>
          </cell>
        </row>
        <row r="79">
          <cell r="A79" t="str">
            <v>Карбо-Нова</v>
          </cell>
        </row>
        <row r="80">
          <cell r="A80" t="str">
            <v>Лотарија на Македонија Скопје</v>
          </cell>
        </row>
        <row r="81">
          <cell r="A81" t="str">
            <v>Пелистерка АД Скопје</v>
          </cell>
        </row>
        <row r="82">
          <cell r="A82" t="str">
            <v>АДУТ Македонија Битола</v>
          </cell>
        </row>
        <row r="83">
          <cell r="A83" t="str">
            <v>Макпромет Штип</v>
          </cell>
        </row>
        <row r="84">
          <cell r="A84" t="str">
            <v>Мермерен комбинат Прилеп</v>
          </cell>
        </row>
        <row r="85">
          <cell r="A85" t="str">
            <v>Мода Свети Николе</v>
          </cell>
        </row>
        <row r="86">
          <cell r="A86" t="str">
            <v>Вабтек МЗТ Скопје</v>
          </cell>
        </row>
        <row r="87">
          <cell r="A87" t="str">
            <v>МЗТ Пумпи Скопје</v>
          </cell>
        </row>
        <row r="88">
          <cell r="A88" t="str">
            <v>Огражден Струмица</v>
          </cell>
        </row>
        <row r="89">
          <cell r="A89" t="str">
            <v>Нова стоковна куќа Струмица</v>
          </cell>
        </row>
        <row r="90">
          <cell r="A90" t="str">
            <v>Оилко КДА Скопје</v>
          </cell>
        </row>
        <row r="91">
          <cell r="A91" t="str">
            <v>ОКТА Скопје</v>
          </cell>
        </row>
        <row r="92">
          <cell r="A92" t="str">
            <v>Оранжерии Хамзали Струмица</v>
          </cell>
        </row>
        <row r="93">
          <cell r="A93" t="str">
            <v>Пекабеско АД Кадино, Илинден</v>
          </cell>
        </row>
        <row r="94">
          <cell r="A94" t="str">
            <v>Попова Кула Демир Капија</v>
          </cell>
        </row>
        <row r="95">
          <cell r="A95" t="str">
            <v>Прилепска Пиварница Прилеп</v>
          </cell>
        </row>
        <row r="96">
          <cell r="A96" t="str">
            <v>Раде Кончар Скопје</v>
          </cell>
        </row>
        <row r="97">
          <cell r="A97" t="str">
            <v>РЖ Економика Скопје</v>
          </cell>
        </row>
        <row r="98">
          <cell r="A98" t="str">
            <v>Арцелормиттал Скопје (ХРМ) Скопје</v>
          </cell>
        </row>
        <row r="99">
          <cell r="A99" t="str">
            <v>Арцелормиттал Скопје (ЦРМ) Скопје</v>
          </cell>
        </row>
        <row r="100">
          <cell r="A100" t="str">
            <v>РЖ Техничка контрола Скопје</v>
          </cell>
        </row>
        <row r="101">
          <cell r="A101" t="str">
            <v>РЖ Уготур Скопје</v>
          </cell>
        </row>
        <row r="102">
          <cell r="A102" t="str">
            <v>Современ дом Прилеп</v>
          </cell>
        </row>
        <row r="103">
          <cell r="A103" t="str">
            <v>Силекс Кратово</v>
          </cell>
        </row>
        <row r="104">
          <cell r="A104" t="str">
            <v>Сковин Скопје</v>
          </cell>
        </row>
        <row r="105">
          <cell r="A105" t="str">
            <v>Славеј Скопје</v>
          </cell>
        </row>
        <row r="106">
          <cell r="A106" t="str">
            <v>Струмичко поле с.Василево</v>
          </cell>
        </row>
        <row r="107">
          <cell r="A107" t="str">
            <v>Сигурносно стакло Прилеп</v>
          </cell>
        </row>
        <row r="108">
          <cell r="A108" t="str">
            <v>Стопанска банка Скопје</v>
          </cell>
        </row>
        <row r="109">
          <cell r="A109" t="str">
            <v>Стокопромет Скопје</v>
          </cell>
        </row>
        <row r="110">
          <cell r="A110" t="str">
            <v>Струмица Табак Струмица</v>
          </cell>
        </row>
        <row r="111">
          <cell r="A111" t="str">
            <v>Тајмиште Кичево</v>
          </cell>
        </row>
        <row r="112">
          <cell r="A112" t="str">
            <v>ТЕАЛ-Алумина Тетово</v>
          </cell>
        </row>
        <row r="113">
          <cell r="A113" t="str">
            <v>Технокомерц Скопје</v>
          </cell>
        </row>
        <row r="114">
          <cell r="A114" t="str">
            <v>Македонски Телеком Скопје</v>
          </cell>
        </row>
        <row r="115">
          <cell r="A115" t="str">
            <v>ГД-Тиквеш Кавадарци</v>
          </cell>
        </row>
        <row r="116">
          <cell r="A116" t="str">
            <v>НЛБ Банка АД Скопје</v>
          </cell>
        </row>
        <row r="117">
          <cell r="A117" t="str">
            <v>Трудбеник Охрид</v>
          </cell>
        </row>
        <row r="118">
          <cell r="A118" t="str">
            <v>Транскоп-Патнички сооб. Битола</v>
          </cell>
        </row>
        <row r="119">
          <cell r="A119" t="str">
            <v>Трготекстил малопродажба Скопје</v>
          </cell>
        </row>
        <row r="120">
          <cell r="A120" t="str">
            <v>Универзална Инвестициона Банка Скопје</v>
          </cell>
        </row>
        <row r="121">
          <cell r="A121" t="str">
            <v>Цементарница УСЈЕ Скопје</v>
          </cell>
        </row>
        <row r="122">
          <cell r="A122" t="str">
            <v>Велес табак Велес</v>
          </cell>
        </row>
        <row r="123">
          <cell r="A123" t="str">
            <v>Триглав осигурување Скопје</v>
          </cell>
        </row>
        <row r="124">
          <cell r="A124" t="str">
            <v>Ветекс Велес</v>
          </cell>
        </row>
        <row r="125">
          <cell r="A125" t="str">
            <v>ЖАС Скопје</v>
          </cell>
        </row>
        <row r="126">
          <cell r="A126" t="str">
            <v>Жито Караорман Кичево</v>
          </cell>
        </row>
        <row r="127">
          <cell r="A127" t="str">
            <v>Жито Полог Тетово</v>
          </cell>
        </row>
        <row r="128">
          <cell r="A128" t="str">
            <v>Задолжителна котација - приоритетни акции</v>
          </cell>
        </row>
        <row r="129">
          <cell r="A129" t="str">
            <v>Стопанска банка Скопје</v>
          </cell>
        </row>
        <row r="130">
          <cell r="A130" t="str">
            <v>Редовен пазар</v>
          </cell>
        </row>
        <row r="131">
          <cell r="A131" t="str">
            <v>Пазар на акционерски друштва со посебни обврски за известување - обични акции</v>
          </cell>
        </row>
        <row r="132">
          <cell r="A132" t="str">
            <v>Агросервис Скопје</v>
          </cell>
        </row>
        <row r="133">
          <cell r="A133" t="str">
            <v>Шпаркасе банка Македонија АД Скопје</v>
          </cell>
        </row>
        <row r="134">
          <cell r="A134" t="str">
            <v>Отекс Охрид</v>
          </cell>
        </row>
        <row r="135">
          <cell r="A135" t="str">
            <v>ЗЕМ Промет Скопје</v>
          </cell>
        </row>
        <row r="136">
          <cell r="A136" t="str">
            <v>Слободен пазар - обични акции</v>
          </cell>
        </row>
        <row r="137">
          <cell r="A137" t="str">
            <v>Алкалоид Берово</v>
          </cell>
        </row>
        <row r="138">
          <cell r="A138" t="str">
            <v>Караорман Скопје</v>
          </cell>
        </row>
        <row r="139">
          <cell r="A139" t="str">
            <v>Макпетрол-Тема АД Скопје</v>
          </cell>
        </row>
        <row r="140">
          <cell r="A140" t="str">
            <v>Премиум груп АД Скопје</v>
          </cell>
        </row>
        <row r="141">
          <cell r="A141" t="str">
            <v>РЖ Инжинеринг Скопје</v>
          </cell>
        </row>
        <row r="142">
          <cell r="A142" t="str">
            <v>СН Осигурителен брокер АД Битола</v>
          </cell>
        </row>
        <row r="143">
          <cell r="A143" t="str">
            <v>Вин. визба Повардарие Неготино</v>
          </cell>
        </row>
        <row r="144">
          <cell r="A144" t="str">
            <v>Вкупен промет на сите пазарни сегменти: 24.752.837,00</v>
          </cell>
        </row>
        <row r="145">
          <cell r="A145" t="str">
            <v>МБИ10</v>
          </cell>
        </row>
        <row r="146">
          <cell r="A146" t="str">
            <v>ОМБ</v>
          </cell>
        </row>
        <row r="147">
          <cell r="A147" t="str">
            <v>1 EUR = 61,4917 МКД</v>
          </cell>
        </row>
      </sheetData>
      <sheetData sheetId="1"/>
      <sheetData sheetId="2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Технометал Вардар Скопје</v>
          </cell>
        </row>
        <row r="28">
          <cell r="A28" t="str">
            <v>Тетекс Тетово</v>
          </cell>
        </row>
        <row r="29">
          <cell r="A29" t="str">
            <v>Тутунски комбинат Прилеп</v>
          </cell>
        </row>
        <row r="30">
          <cell r="A30" t="str">
            <v>Винарска визба Тиквеш Скопје</v>
          </cell>
        </row>
        <row r="31">
          <cell r="A31" t="str">
            <v>Топлификација Скопје</v>
          </cell>
        </row>
        <row r="32">
          <cell r="A32" t="str">
            <v>ТТК Банка АД Скопје</v>
          </cell>
        </row>
        <row r="33">
          <cell r="A33" t="str">
            <v>Витаминка Прилеп</v>
          </cell>
        </row>
        <row r="34">
          <cell r="A34" t="str">
            <v>Жито Лукс Скопје</v>
          </cell>
        </row>
        <row r="35">
          <cell r="A35" t="str">
            <v>ЗК Пелагонија Битола</v>
          </cell>
        </row>
        <row r="36">
          <cell r="A36" t="str">
            <v>Берзанска котација - приоритетни акции</v>
          </cell>
        </row>
        <row r="37">
          <cell r="A37" t="str">
            <v>Скопски пазар Скопје</v>
          </cell>
        </row>
        <row r="38">
          <cell r="A38" t="str">
            <v>Жито лукс Скопје</v>
          </cell>
        </row>
        <row r="39">
          <cell r="A39" t="str">
            <v>Берзанска котација - обврзници</v>
          </cell>
        </row>
        <row r="40">
          <cell r="A40" t="str">
            <v>Р. Македонија - денационализација 08</v>
          </cell>
        </row>
        <row r="41">
          <cell r="A41" t="str">
            <v>Р. Македонија - денационализација 09</v>
          </cell>
        </row>
        <row r="42">
          <cell r="A42" t="str">
            <v>Р. Македонија - денационализација 10</v>
          </cell>
        </row>
        <row r="43">
          <cell r="A43" t="str">
            <v>Р. Македонија - денационализација 11</v>
          </cell>
        </row>
        <row r="44">
          <cell r="A44" t="str">
            <v>Р. Македонија - денационализација 12</v>
          </cell>
        </row>
        <row r="45">
          <cell r="A45" t="str">
            <v>Р. Македонија - денационализација 13</v>
          </cell>
        </row>
        <row r="46">
          <cell r="A46" t="str">
            <v>Р. Македонија - денационализација 14</v>
          </cell>
        </row>
        <row r="47">
          <cell r="A47" t="str">
            <v>Р. Македонија - денационализација 15</v>
          </cell>
        </row>
        <row r="48">
          <cell r="A48" t="str">
            <v>Р. Македонија - денационализација 16</v>
          </cell>
        </row>
        <row r="49">
          <cell r="A49" t="str">
            <v>Р. Македонија - денационализација 17</v>
          </cell>
        </row>
        <row r="50">
          <cell r="A50" t="str">
            <v>Обв. за надом. на сел. кредити на НБРМ</v>
          </cell>
        </row>
        <row r="51">
          <cell r="A51" t="str">
            <v>Задолжителна котација - обични акции</v>
          </cell>
        </row>
        <row r="52">
          <cell r="A52" t="str">
            <v>Адинг Скопје</v>
          </cell>
        </row>
        <row r="53">
          <cell r="A53" t="str">
            <v>Агроплод Ресен</v>
          </cell>
        </row>
        <row r="54">
          <cell r="A54" t="str">
            <v>Агромеханика Скопје</v>
          </cell>
        </row>
        <row r="55">
          <cell r="A55" t="str">
            <v>Ангропромет-Тиквешанка Кавадарци</v>
          </cell>
        </row>
        <row r="56">
          <cell r="A56" t="str">
            <v>Аутомакедонија Скопје</v>
          </cell>
        </row>
        <row r="57">
          <cell r="A57" t="str">
            <v>Рудници Бањани Скопје</v>
          </cell>
        </row>
        <row r="58">
          <cell r="A58" t="str">
            <v>Бетон Штип</v>
          </cell>
        </row>
        <row r="59">
          <cell r="A59" t="str">
            <v>Благој Ѓорев Велес</v>
          </cell>
        </row>
        <row r="60">
          <cell r="A60" t="str">
            <v>БИМ Свети Николе</v>
          </cell>
        </row>
        <row r="61">
          <cell r="A61" t="str">
            <v>Благој Туфанов Радовиш</v>
          </cell>
        </row>
        <row r="62">
          <cell r="A62" t="str">
            <v>ФЗЦ 11 Октомври Куманово</v>
          </cell>
        </row>
        <row r="63">
          <cell r="A63" t="str">
            <v>Централна кооперативна банка Скопје</v>
          </cell>
        </row>
        <row r="64">
          <cell r="A64" t="str">
            <v>Дебарски бањи Дебар</v>
          </cell>
        </row>
        <row r="65">
          <cell r="A65" t="str">
            <v>Димко Митрев Велес</v>
          </cell>
        </row>
        <row r="66">
          <cell r="A66" t="str">
            <v>Единство Струмица</v>
          </cell>
        </row>
        <row r="67">
          <cell r="A67" t="str">
            <v>Европа Скопје</v>
          </cell>
        </row>
        <row r="68">
          <cell r="A68" t="str">
            <v>Факом Скопје</v>
          </cell>
        </row>
        <row r="69">
          <cell r="A69" t="str">
            <v>Фустеларко Борец Битола</v>
          </cell>
        </row>
        <row r="70">
          <cell r="A70" t="str">
            <v>Герас Цунев конфекција Струмица</v>
          </cell>
        </row>
        <row r="71">
          <cell r="A71" t="str">
            <v>Герас Цунев трговија Струмица</v>
          </cell>
        </row>
        <row r="72">
          <cell r="A72" t="str">
            <v>Грозд Струмица</v>
          </cell>
        </row>
        <row r="73">
          <cell r="A73" t="str">
            <v>Градски Трговски Центар Скопје</v>
          </cell>
        </row>
        <row r="74">
          <cell r="A74" t="str">
            <v>ИДЕВЕЛОП Скопје</v>
          </cell>
        </row>
        <row r="75">
          <cell r="A75" t="str">
            <v>Интерпромет Тетово</v>
          </cell>
        </row>
        <row r="76">
          <cell r="A76" t="str">
            <v>Осигурување Македонија АД Скопје - Виена Иншуренс Груп</v>
          </cell>
        </row>
        <row r="77">
          <cell r="A77" t="str">
            <v>Кланица со ладилник Струмица</v>
          </cell>
        </row>
        <row r="78">
          <cell r="A78" t="str">
            <v>Фруктал МАК Скопје</v>
          </cell>
        </row>
        <row r="79">
          <cell r="A79" t="str">
            <v>Карпош Скопје</v>
          </cell>
        </row>
        <row r="80">
          <cell r="A80" t="str">
            <v>Карбо-Нова</v>
          </cell>
        </row>
        <row r="81">
          <cell r="A81" t="str">
            <v>Лотарија на Македонија Скопје</v>
          </cell>
        </row>
        <row r="82">
          <cell r="A82" t="str">
            <v>Пелистерка АД Скопје</v>
          </cell>
        </row>
        <row r="83">
          <cell r="A83" t="str">
            <v>АДУТ Македонија Битола</v>
          </cell>
        </row>
        <row r="84">
          <cell r="A84" t="str">
            <v>Макпромет Штип</v>
          </cell>
        </row>
        <row r="85">
          <cell r="A85" t="str">
            <v>Мермерен комбинат Прилеп</v>
          </cell>
        </row>
        <row r="86">
          <cell r="A86" t="str">
            <v>Мода Свети Николе</v>
          </cell>
        </row>
        <row r="87">
          <cell r="A87" t="str">
            <v>Вабтек МЗТ Скопје</v>
          </cell>
        </row>
        <row r="88">
          <cell r="A88" t="str">
            <v>МЗТ Пумпи Скопје</v>
          </cell>
        </row>
        <row r="89">
          <cell r="A89" t="str">
            <v>Огражден Струмица</v>
          </cell>
        </row>
        <row r="90">
          <cell r="A90" t="str">
            <v>Нова стоковна куќа Струмица</v>
          </cell>
        </row>
        <row r="91">
          <cell r="A91" t="str">
            <v>Оилко КДА Скопје</v>
          </cell>
        </row>
        <row r="92">
          <cell r="A92" t="str">
            <v>ОКТА Скопје</v>
          </cell>
        </row>
        <row r="93">
          <cell r="A93" t="str">
            <v>Оранжерии Хамзали Струмица</v>
          </cell>
        </row>
        <row r="94">
          <cell r="A94" t="str">
            <v>Пекабеско АД Кадино, Илинден</v>
          </cell>
        </row>
        <row r="95">
          <cell r="A95" t="str">
            <v>Попова Кула Демир Капија</v>
          </cell>
        </row>
        <row r="96">
          <cell r="A96" t="str">
            <v>Прилепска Пиварница Прилеп</v>
          </cell>
        </row>
        <row r="97">
          <cell r="A97" t="str">
            <v>Раде Кончар Скопје</v>
          </cell>
        </row>
        <row r="98">
          <cell r="A98" t="str">
            <v>РЖ Економика Скопје</v>
          </cell>
        </row>
        <row r="99">
          <cell r="A99" t="str">
            <v>Арцелормиттал Скопје (ХРМ) Скопје</v>
          </cell>
        </row>
        <row r="100">
          <cell r="A100" t="str">
            <v>Арцелормиттал Скопје (ЦРМ) Скопје</v>
          </cell>
        </row>
        <row r="101">
          <cell r="A101" t="str">
            <v>РЖ Техничка контрола Скопје</v>
          </cell>
        </row>
        <row r="102">
          <cell r="A102" t="str">
            <v>РЖ Уготур Скопје</v>
          </cell>
        </row>
        <row r="103">
          <cell r="A103" t="str">
            <v>Современ дом Прилеп</v>
          </cell>
        </row>
        <row r="104">
          <cell r="A104" t="str">
            <v>Силекс Кратово</v>
          </cell>
        </row>
        <row r="105">
          <cell r="A105" t="str">
            <v>Сковин Скопје</v>
          </cell>
        </row>
        <row r="106">
          <cell r="A106" t="str">
            <v>Славеј Скопје</v>
          </cell>
        </row>
        <row r="107">
          <cell r="A107" t="str">
            <v>Струмичко поле с.Василево</v>
          </cell>
        </row>
        <row r="108">
          <cell r="A108" t="str">
            <v>Сигурносно стакло Прилеп</v>
          </cell>
        </row>
        <row r="109">
          <cell r="A109" t="str">
            <v>Стопанска банка Скопје</v>
          </cell>
        </row>
        <row r="110">
          <cell r="A110" t="str">
            <v>Стокопромет Скопје</v>
          </cell>
        </row>
        <row r="111">
          <cell r="A111" t="str">
            <v>Струмица Табак Струмица</v>
          </cell>
        </row>
        <row r="112">
          <cell r="A112" t="str">
            <v>Тајмиште Кичево</v>
          </cell>
        </row>
        <row r="113">
          <cell r="A113" t="str">
            <v>ТЕАЛ-Алумина Тетово</v>
          </cell>
        </row>
        <row r="114">
          <cell r="A114" t="str">
            <v>Технокомерц Скопје</v>
          </cell>
        </row>
        <row r="115">
          <cell r="A115" t="str">
            <v>Македонски Телеком Скопје</v>
          </cell>
        </row>
        <row r="116">
          <cell r="A116" t="str">
            <v>ГД-Тиквеш Кавадарци</v>
          </cell>
        </row>
        <row r="117">
          <cell r="A117" t="str">
            <v>НЛБ Банка АД Скопје</v>
          </cell>
        </row>
        <row r="118">
          <cell r="A118" t="str">
            <v>Трудбеник Охрид</v>
          </cell>
        </row>
        <row r="119">
          <cell r="A119" t="str">
            <v>Транскоп-Патнички сооб. Битола</v>
          </cell>
        </row>
        <row r="120">
          <cell r="A120" t="str">
            <v>Трготекстил малопродажба Скопје</v>
          </cell>
        </row>
        <row r="121">
          <cell r="A121" t="str">
            <v>Универзална Инвестициона Банка Скопје</v>
          </cell>
        </row>
        <row r="122">
          <cell r="A122" t="str">
            <v>Цементарница УСЈЕ Скопје</v>
          </cell>
        </row>
        <row r="123">
          <cell r="A123" t="str">
            <v>Велес табак Велес</v>
          </cell>
        </row>
        <row r="124">
          <cell r="A124" t="str">
            <v>Триглав осигурување Скопје</v>
          </cell>
        </row>
        <row r="125">
          <cell r="A125" t="str">
            <v>Ветекс Велес</v>
          </cell>
        </row>
        <row r="126">
          <cell r="A126" t="str">
            <v>ЖАС Скопје</v>
          </cell>
        </row>
        <row r="127">
          <cell r="A127" t="str">
            <v>Жито Караорман Кичево</v>
          </cell>
        </row>
        <row r="128">
          <cell r="A128" t="str">
            <v>Жито Полог Тетово</v>
          </cell>
        </row>
        <row r="129">
          <cell r="A129" t="str">
            <v>Задолжителна котација - приоритетни акции</v>
          </cell>
        </row>
        <row r="130">
          <cell r="A130" t="str">
            <v>Стопанска банка Скопје</v>
          </cell>
        </row>
        <row r="131">
          <cell r="A131" t="str">
            <v>Редовен пазар</v>
          </cell>
        </row>
        <row r="132">
          <cell r="A132" t="str">
            <v>Пазар на акционерски друштва со посебни обврски за известување - обични акции</v>
          </cell>
        </row>
        <row r="133">
          <cell r="A133" t="str">
            <v>Агросервис Скопје</v>
          </cell>
        </row>
        <row r="134">
          <cell r="A134" t="str">
            <v>Шпаркасе банка Македонија АД Скопје</v>
          </cell>
        </row>
        <row r="135">
          <cell r="A135" t="str">
            <v>Отекс Охрид</v>
          </cell>
        </row>
        <row r="136">
          <cell r="A136" t="str">
            <v>Слободен пазар - обични акции</v>
          </cell>
        </row>
        <row r="137">
          <cell r="A137" t="str">
            <v>Аитоникс АД Скопје</v>
          </cell>
        </row>
        <row r="138">
          <cell r="A138" t="str">
            <v>Алкалоид Берово</v>
          </cell>
        </row>
        <row r="139">
          <cell r="A139" t="str">
            <v>Централен депозитар за харии од вредност</v>
          </cell>
        </row>
        <row r="140">
          <cell r="A140" t="str">
            <v>Металец Битола</v>
          </cell>
        </row>
        <row r="141">
          <cell r="A141" t="str">
            <v>Караорман Скопје</v>
          </cell>
        </row>
        <row r="142">
          <cell r="A142" t="str">
            <v>Квасара Битола</v>
          </cell>
        </row>
        <row r="143">
          <cell r="A143" t="str">
            <v>Македонска Берза</v>
          </cell>
        </row>
        <row r="144">
          <cell r="A144" t="str">
            <v>Просветно дело Скопје</v>
          </cell>
        </row>
        <row r="145">
          <cell r="A145" t="str">
            <v>Солун 2001 Гевгелија</v>
          </cell>
        </row>
        <row r="146">
          <cell r="A146" t="str">
            <v>Вин. визба Повардарие Неготино</v>
          </cell>
        </row>
        <row r="147">
          <cell r="A147" t="str">
            <v>Вкупен промет на сите пазарни сегменти: 37.546.882,00</v>
          </cell>
        </row>
        <row r="148">
          <cell r="A148" t="str">
            <v>МБИ10</v>
          </cell>
        </row>
        <row r="149">
          <cell r="A149" t="str">
            <v>ОМБ</v>
          </cell>
        </row>
        <row r="150">
          <cell r="A150" t="str">
            <v>1 EUR = 61,4950 МКД</v>
          </cell>
        </row>
        <row r="151">
          <cell r="A151">
            <v>5256.56</v>
          </cell>
        </row>
        <row r="153">
          <cell r="A153">
            <v>8352.34</v>
          </cell>
        </row>
        <row r="154">
          <cell r="A154">
            <v>10100</v>
          </cell>
        </row>
        <row r="155">
          <cell r="A155">
            <v>62830.25</v>
          </cell>
        </row>
        <row r="156">
          <cell r="A156">
            <v>864.59</v>
          </cell>
        </row>
        <row r="157">
          <cell r="A157">
            <v>4005</v>
          </cell>
        </row>
        <row r="158">
          <cell r="A158">
            <v>400</v>
          </cell>
        </row>
        <row r="159">
          <cell r="A159">
            <v>50</v>
          </cell>
        </row>
        <row r="160">
          <cell r="A160">
            <v>238</v>
          </cell>
        </row>
        <row r="161">
          <cell r="A161">
            <v>350</v>
          </cell>
        </row>
        <row r="162">
          <cell r="A162">
            <v>48343.11</v>
          </cell>
        </row>
        <row r="163">
          <cell r="A163">
            <v>4875.67</v>
          </cell>
        </row>
        <row r="164">
          <cell r="A164">
            <v>6600</v>
          </cell>
        </row>
        <row r="165">
          <cell r="A165">
            <v>67000</v>
          </cell>
        </row>
        <row r="166">
          <cell r="A166">
            <v>120</v>
          </cell>
        </row>
        <row r="167">
          <cell r="A167">
            <v>25</v>
          </cell>
        </row>
        <row r="168">
          <cell r="A168">
            <v>118.25</v>
          </cell>
        </row>
        <row r="169">
          <cell r="A169">
            <v>2441</v>
          </cell>
        </row>
        <row r="170">
          <cell r="A170">
            <v>16818</v>
          </cell>
        </row>
        <row r="171">
          <cell r="A171">
            <v>143.76</v>
          </cell>
        </row>
        <row r="172">
          <cell r="A172">
            <v>100</v>
          </cell>
        </row>
        <row r="173">
          <cell r="A173">
            <v>2300</v>
          </cell>
        </row>
        <row r="174">
          <cell r="A174">
            <v>250</v>
          </cell>
        </row>
        <row r="175">
          <cell r="A175">
            <v>5155.62</v>
          </cell>
        </row>
        <row r="176">
          <cell r="A176">
            <v>1269.52</v>
          </cell>
        </row>
        <row r="177">
          <cell r="A177">
            <v>1199.05</v>
          </cell>
        </row>
        <row r="178">
          <cell r="A178">
            <v>9189</v>
          </cell>
        </row>
        <row r="179">
          <cell r="A179">
            <v>256</v>
          </cell>
        </row>
        <row r="180">
          <cell r="A180">
            <v>2853</v>
          </cell>
        </row>
        <row r="182">
          <cell r="A182">
            <v>3298</v>
          </cell>
        </row>
        <row r="183">
          <cell r="A183">
            <v>560</v>
          </cell>
        </row>
        <row r="185">
          <cell r="A185">
            <v>98.5</v>
          </cell>
        </row>
        <row r="186">
          <cell r="A186">
            <v>98</v>
          </cell>
        </row>
        <row r="187">
          <cell r="A187">
            <v>95.3</v>
          </cell>
        </row>
        <row r="188">
          <cell r="A188">
            <v>97</v>
          </cell>
        </row>
        <row r="189">
          <cell r="A189">
            <v>97.1</v>
          </cell>
        </row>
        <row r="190">
          <cell r="A190">
            <v>95.12</v>
          </cell>
        </row>
        <row r="191">
          <cell r="A191">
            <v>96.3</v>
          </cell>
        </row>
        <row r="192">
          <cell r="A192">
            <v>95.5</v>
          </cell>
        </row>
        <row r="193">
          <cell r="A193">
            <v>96</v>
          </cell>
        </row>
        <row r="194">
          <cell r="A194">
            <v>96.3</v>
          </cell>
        </row>
        <row r="197">
          <cell r="A197">
            <v>560</v>
          </cell>
        </row>
        <row r="198">
          <cell r="A198">
            <v>11900</v>
          </cell>
        </row>
        <row r="199">
          <cell r="A199">
            <v>2800</v>
          </cell>
        </row>
        <row r="200">
          <cell r="A200">
            <v>750</v>
          </cell>
        </row>
        <row r="201">
          <cell r="A201">
            <v>1900</v>
          </cell>
        </row>
        <row r="202">
          <cell r="A202">
            <v>603</v>
          </cell>
        </row>
        <row r="203">
          <cell r="A203">
            <v>1886</v>
          </cell>
        </row>
        <row r="204">
          <cell r="A204">
            <v>350</v>
          </cell>
        </row>
        <row r="205">
          <cell r="A205">
            <v>10100</v>
          </cell>
        </row>
        <row r="206">
          <cell r="A206">
            <v>100</v>
          </cell>
        </row>
        <row r="207">
          <cell r="A207">
            <v>1000</v>
          </cell>
        </row>
        <row r="208">
          <cell r="A208">
            <v>600</v>
          </cell>
        </row>
        <row r="209">
          <cell r="A209">
            <v>1550</v>
          </cell>
        </row>
        <row r="210">
          <cell r="A210">
            <v>185</v>
          </cell>
        </row>
        <row r="211">
          <cell r="A211">
            <v>303</v>
          </cell>
        </row>
        <row r="212">
          <cell r="A212">
            <v>3276</v>
          </cell>
        </row>
        <row r="213">
          <cell r="A213">
            <v>6000</v>
          </cell>
        </row>
        <row r="214">
          <cell r="A214">
            <v>900</v>
          </cell>
        </row>
        <row r="215">
          <cell r="A215">
            <v>500</v>
          </cell>
        </row>
        <row r="216">
          <cell r="A216">
            <v>500</v>
          </cell>
        </row>
        <row r="217">
          <cell r="A217">
            <v>2250</v>
          </cell>
        </row>
        <row r="218">
          <cell r="A218">
            <v>1795</v>
          </cell>
        </row>
        <row r="219">
          <cell r="A219">
            <v>20</v>
          </cell>
        </row>
        <row r="220">
          <cell r="A220">
            <v>620</v>
          </cell>
        </row>
        <row r="221">
          <cell r="A221">
            <v>1505</v>
          </cell>
        </row>
        <row r="222">
          <cell r="A222">
            <v>120</v>
          </cell>
        </row>
        <row r="223">
          <cell r="A223">
            <v>100</v>
          </cell>
        </row>
        <row r="224">
          <cell r="A224">
            <v>290</v>
          </cell>
        </row>
        <row r="225">
          <cell r="A225">
            <v>26</v>
          </cell>
        </row>
        <row r="226">
          <cell r="A226">
            <v>600</v>
          </cell>
        </row>
        <row r="227">
          <cell r="A227">
            <v>2400</v>
          </cell>
        </row>
        <row r="228">
          <cell r="A228">
            <v>1000</v>
          </cell>
        </row>
        <row r="229">
          <cell r="A229">
            <v>570</v>
          </cell>
        </row>
        <row r="230">
          <cell r="A230">
            <v>2200</v>
          </cell>
        </row>
        <row r="231">
          <cell r="A231">
            <v>151</v>
          </cell>
        </row>
        <row r="232">
          <cell r="A232">
            <v>3133</v>
          </cell>
        </row>
        <row r="233">
          <cell r="A233">
            <v>607</v>
          </cell>
        </row>
        <row r="234">
          <cell r="A234">
            <v>1250</v>
          </cell>
        </row>
        <row r="235">
          <cell r="A235">
            <v>61500</v>
          </cell>
        </row>
        <row r="236">
          <cell r="A236">
            <v>6000</v>
          </cell>
        </row>
        <row r="237">
          <cell r="A237">
            <v>4946.67</v>
          </cell>
        </row>
        <row r="238">
          <cell r="A238">
            <v>77</v>
          </cell>
        </row>
        <row r="239">
          <cell r="A239">
            <v>14000</v>
          </cell>
        </row>
        <row r="240">
          <cell r="A240">
            <v>20</v>
          </cell>
        </row>
        <row r="241">
          <cell r="A241">
            <v>46500</v>
          </cell>
        </row>
        <row r="242">
          <cell r="A242">
            <v>1700</v>
          </cell>
        </row>
        <row r="243">
          <cell r="A243">
            <v>30</v>
          </cell>
        </row>
        <row r="244">
          <cell r="A244">
            <v>20</v>
          </cell>
        </row>
        <row r="245">
          <cell r="A245">
            <v>64.79</v>
          </cell>
        </row>
        <row r="246">
          <cell r="A246">
            <v>526</v>
          </cell>
        </row>
        <row r="247">
          <cell r="A247">
            <v>10</v>
          </cell>
        </row>
        <row r="248">
          <cell r="A248">
            <v>30</v>
          </cell>
        </row>
        <row r="249">
          <cell r="A249">
            <v>70</v>
          </cell>
        </row>
        <row r="250">
          <cell r="A250">
            <v>201</v>
          </cell>
        </row>
        <row r="251">
          <cell r="A251">
            <v>3600</v>
          </cell>
        </row>
        <row r="253">
          <cell r="A253">
            <v>350</v>
          </cell>
        </row>
        <row r="254">
          <cell r="A254">
            <v>1155.69</v>
          </cell>
        </row>
        <row r="255">
          <cell r="A255">
            <v>179</v>
          </cell>
        </row>
        <row r="256">
          <cell r="A256">
            <v>100</v>
          </cell>
        </row>
        <row r="257">
          <cell r="A257">
            <v>1550</v>
          </cell>
        </row>
        <row r="258">
          <cell r="A258">
            <v>730</v>
          </cell>
        </row>
        <row r="259">
          <cell r="A259">
            <v>1000</v>
          </cell>
        </row>
        <row r="260">
          <cell r="A260">
            <v>288.58</v>
          </cell>
        </row>
        <row r="261">
          <cell r="A261">
            <v>157</v>
          </cell>
        </row>
        <row r="262">
          <cell r="A262">
            <v>14276.4</v>
          </cell>
        </row>
        <row r="264">
          <cell r="A264">
            <v>1500</v>
          </cell>
        </row>
        <row r="265">
          <cell r="A265">
            <v>49</v>
          </cell>
        </row>
        <row r="266">
          <cell r="A266">
            <v>2364.28</v>
          </cell>
        </row>
        <row r="267">
          <cell r="A267">
            <v>23800</v>
          </cell>
        </row>
        <row r="268">
          <cell r="A268">
            <v>20</v>
          </cell>
        </row>
        <row r="269">
          <cell r="A269">
            <v>14640</v>
          </cell>
        </row>
        <row r="270">
          <cell r="A270">
            <v>945</v>
          </cell>
        </row>
        <row r="271">
          <cell r="A271">
            <v>310</v>
          </cell>
        </row>
        <row r="272">
          <cell r="A272">
            <v>970</v>
          </cell>
        </row>
        <row r="273">
          <cell r="A273">
            <v>2000</v>
          </cell>
        </row>
        <row r="275">
          <cell r="A275">
            <v>1293.07</v>
          </cell>
        </row>
        <row r="278">
          <cell r="A278">
            <v>615</v>
          </cell>
        </row>
        <row r="279">
          <cell r="A279">
            <v>5000</v>
          </cell>
        </row>
        <row r="280">
          <cell r="A280">
            <v>45</v>
          </cell>
        </row>
        <row r="282">
          <cell r="A282">
            <v>300000</v>
          </cell>
        </row>
        <row r="283">
          <cell r="A283">
            <v>18510</v>
          </cell>
        </row>
        <row r="284">
          <cell r="A284">
            <v>15000</v>
          </cell>
        </row>
        <row r="285">
          <cell r="A285">
            <v>1227</v>
          </cell>
        </row>
        <row r="286">
          <cell r="A286">
            <v>659</v>
          </cell>
        </row>
        <row r="287">
          <cell r="A287">
            <v>13647</v>
          </cell>
        </row>
        <row r="288">
          <cell r="A288">
            <v>36300</v>
          </cell>
        </row>
        <row r="289">
          <cell r="A289">
            <v>1600</v>
          </cell>
        </row>
        <row r="290">
          <cell r="A290">
            <v>170</v>
          </cell>
        </row>
        <row r="291">
          <cell r="A291">
            <v>5000</v>
          </cell>
        </row>
        <row r="293">
          <cell r="A293">
            <v>3530.08</v>
          </cell>
        </row>
        <row r="294">
          <cell r="A294">
            <v>129.48</v>
          </cell>
        </row>
      </sheetData>
      <sheetData sheetId="1"/>
      <sheetData sheetId="2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6">
          <cell r="A6" t="str">
            <v>Комерцијална банка Скопје</v>
          </cell>
        </row>
        <row r="7">
          <cell r="A7" t="str">
            <v>Берзанска котација - обични акции</v>
          </cell>
        </row>
        <row r="8">
          <cell r="A8" t="str">
            <v>Алкалоид Скопје</v>
          </cell>
        </row>
        <row r="9">
          <cell r="A9" t="str">
            <v>Бетон Скопје</v>
          </cell>
        </row>
        <row r="10">
          <cell r="A10" t="str">
            <v>Фершпед Скопје</v>
          </cell>
        </row>
        <row r="11">
          <cell r="A11" t="str">
            <v>Гранит Скопје</v>
          </cell>
        </row>
        <row r="12">
          <cell r="A12" t="str">
            <v>Интернешнел Хотелс АД Скопје</v>
          </cell>
        </row>
        <row r="13">
          <cell r="A13" t="str">
            <v>ДС Смитх АД Скопје</v>
          </cell>
        </row>
        <row r="14">
          <cell r="A14" t="str">
            <v>Макотекс Скопје</v>
          </cell>
        </row>
        <row r="15">
          <cell r="A15" t="str">
            <v>Макошпед Скопје</v>
          </cell>
        </row>
        <row r="16">
          <cell r="A16" t="str">
            <v>Хотели Метропол Охрид</v>
          </cell>
        </row>
        <row r="17">
          <cell r="A17" t="str">
            <v>Макпетрол Скопје</v>
          </cell>
        </row>
        <row r="18">
          <cell r="A18" t="str">
            <v>Македонијатурист Скопје</v>
          </cell>
        </row>
        <row r="19">
          <cell r="A19" t="str">
            <v>Охридска банка АД Скопје</v>
          </cell>
        </row>
        <row r="20">
          <cell r="A20" t="str">
            <v>Реплек Скопје</v>
          </cell>
        </row>
        <row r="21">
          <cell r="A21" t="str">
            <v>РЖ Институт Скопје</v>
          </cell>
        </row>
        <row r="22">
          <cell r="A22" t="str">
            <v>РЖ Интер-Трансшпед Скопје</v>
          </cell>
        </row>
        <row r="23">
          <cell r="A23" t="str">
            <v>РЖ Услуги Скопје</v>
          </cell>
        </row>
        <row r="24">
          <cell r="A24" t="str">
            <v>Стопанска банка Битола</v>
          </cell>
        </row>
        <row r="25">
          <cell r="A25" t="str">
            <v>Скопски Пазар Скопје</v>
          </cell>
        </row>
        <row r="26">
          <cell r="A26" t="str">
            <v>Макстил Скопје</v>
          </cell>
        </row>
        <row r="27">
          <cell r="A27" t="str">
            <v>Технометал Вардар Скопје</v>
          </cell>
        </row>
        <row r="28">
          <cell r="A28" t="str">
            <v>Тетекс Тетово</v>
          </cell>
        </row>
        <row r="29">
          <cell r="A29" t="str">
            <v>Тутунски комбинат Прилеп</v>
          </cell>
        </row>
        <row r="30">
          <cell r="A30" t="str">
            <v>Винарска визба Тиквеш Скопје</v>
          </cell>
        </row>
        <row r="31">
          <cell r="A31" t="str">
            <v>Топлификација Скопје</v>
          </cell>
        </row>
        <row r="32">
          <cell r="A32" t="str">
            <v>ТТК Банка АД Скопје</v>
          </cell>
        </row>
        <row r="33">
          <cell r="A33" t="str">
            <v>Витаминка Прилеп</v>
          </cell>
        </row>
        <row r="34">
          <cell r="A34" t="str">
            <v>Жито Лукс Скопје</v>
          </cell>
        </row>
        <row r="35">
          <cell r="A35" t="str">
            <v>ЗК Пелагонија Битола</v>
          </cell>
        </row>
        <row r="36">
          <cell r="A36" t="str">
            <v>Берзанска котација - приоритетни акции</v>
          </cell>
        </row>
        <row r="37">
          <cell r="A37" t="str">
            <v>Скопски пазар Скопје</v>
          </cell>
        </row>
        <row r="38">
          <cell r="A38" t="str">
            <v>Жито лукс Скопје</v>
          </cell>
        </row>
        <row r="39">
          <cell r="A39" t="str">
            <v>Берзанска котација - обврзници</v>
          </cell>
        </row>
        <row r="40">
          <cell r="A40" t="str">
            <v>Р. Македонија - денационализација 08</v>
          </cell>
        </row>
        <row r="41">
          <cell r="A41" t="str">
            <v>Р. Македонија - денационализација 09</v>
          </cell>
        </row>
        <row r="42">
          <cell r="A42" t="str">
            <v>Р. Македонија - денационализација 10</v>
          </cell>
        </row>
        <row r="43">
          <cell r="A43" t="str">
            <v>Р. Македонија - денационализација 11</v>
          </cell>
        </row>
        <row r="44">
          <cell r="A44" t="str">
            <v>Р. Македонија - денационализација 12</v>
          </cell>
        </row>
        <row r="45">
          <cell r="A45" t="str">
            <v>Р. Македонија - денационализација 13</v>
          </cell>
        </row>
        <row r="46">
          <cell r="A46" t="str">
            <v>Р. Македонија - денационализација 14</v>
          </cell>
        </row>
        <row r="47">
          <cell r="A47" t="str">
            <v>Р. Македонија - денационализација 15</v>
          </cell>
        </row>
        <row r="48">
          <cell r="A48" t="str">
            <v>Р. Македонија - денационализација 16</v>
          </cell>
        </row>
        <row r="49">
          <cell r="A49" t="str">
            <v>Р. Македонија - денационализација 17</v>
          </cell>
        </row>
        <row r="50">
          <cell r="A50" t="str">
            <v>Обв. за надом. на сел. кредити на НБРМ</v>
          </cell>
        </row>
        <row r="51">
          <cell r="A51" t="str">
            <v>Задолжителна котација - обични акции</v>
          </cell>
        </row>
        <row r="52">
          <cell r="A52" t="str">
            <v>Адинг Скопје</v>
          </cell>
        </row>
        <row r="53">
          <cell r="A53" t="str">
            <v>Агроплод Ресен</v>
          </cell>
        </row>
        <row r="54">
          <cell r="A54" t="str">
            <v>Агромеханика Скопје</v>
          </cell>
        </row>
        <row r="55">
          <cell r="A55" t="str">
            <v>Ангропромет-Тиквешанка Кавадарци</v>
          </cell>
        </row>
        <row r="56">
          <cell r="A56" t="str">
            <v>Аутомакедонија Скопје</v>
          </cell>
        </row>
        <row r="57">
          <cell r="A57" t="str">
            <v>Рудници Бањани Скопје</v>
          </cell>
        </row>
        <row r="58">
          <cell r="A58" t="str">
            <v>Бетон Штип</v>
          </cell>
        </row>
        <row r="59">
          <cell r="A59" t="str">
            <v>Благој Ѓорев Велес</v>
          </cell>
        </row>
        <row r="60">
          <cell r="A60" t="str">
            <v>БИМ Свети Николе</v>
          </cell>
        </row>
        <row r="61">
          <cell r="A61" t="str">
            <v>Благој Туфанов Радовиш</v>
          </cell>
        </row>
        <row r="62">
          <cell r="A62" t="str">
            <v>ФЗЦ 11 Октомври Куманово</v>
          </cell>
        </row>
        <row r="63">
          <cell r="A63" t="str">
            <v>Централна кооперативна банка Скопје</v>
          </cell>
        </row>
        <row r="64">
          <cell r="A64" t="str">
            <v>Дебарски бањи Дебар</v>
          </cell>
        </row>
        <row r="65">
          <cell r="A65" t="str">
            <v>Димко Митрев Велес</v>
          </cell>
        </row>
        <row r="66">
          <cell r="A66" t="str">
            <v>Единство Струмица</v>
          </cell>
        </row>
        <row r="67">
          <cell r="A67" t="str">
            <v>Европа Скопје</v>
          </cell>
        </row>
        <row r="68">
          <cell r="A68" t="str">
            <v>Факом Скопје</v>
          </cell>
        </row>
        <row r="69">
          <cell r="A69" t="str">
            <v>Фустеларко Борец Битола</v>
          </cell>
        </row>
        <row r="70">
          <cell r="A70" t="str">
            <v>Герас Цунев конфекција Струмица</v>
          </cell>
        </row>
        <row r="71">
          <cell r="A71" t="str">
            <v>Герас Цунев трговија Струмица</v>
          </cell>
        </row>
        <row r="72">
          <cell r="A72" t="str">
            <v>Грозд Струмица</v>
          </cell>
        </row>
        <row r="73">
          <cell r="A73" t="str">
            <v>Градски Трговски Центар Скопје</v>
          </cell>
        </row>
        <row r="74">
          <cell r="A74" t="str">
            <v>ИДЕВЕЛОП Скопје</v>
          </cell>
        </row>
        <row r="75">
          <cell r="A75" t="str">
            <v>Интерпромет Тетово</v>
          </cell>
        </row>
        <row r="76">
          <cell r="A76" t="str">
            <v>Осигурување Македонија АД Скопје - Виена Иншуренс Груп</v>
          </cell>
        </row>
        <row r="77">
          <cell r="A77" t="str">
            <v>Кланица со ладилник Струмица</v>
          </cell>
        </row>
        <row r="78">
          <cell r="A78" t="str">
            <v>Фруктал МАК Скопје</v>
          </cell>
        </row>
        <row r="79">
          <cell r="A79" t="str">
            <v>Карпош Скопје</v>
          </cell>
        </row>
        <row r="80">
          <cell r="A80" t="str">
            <v>Карбо-Нова</v>
          </cell>
        </row>
        <row r="81">
          <cell r="A81" t="str">
            <v>Лотарија на Македонија Скопје</v>
          </cell>
        </row>
        <row r="82">
          <cell r="A82" t="str">
            <v>Пелистерка АД Скопје</v>
          </cell>
        </row>
        <row r="83">
          <cell r="A83" t="str">
            <v>АДУТ Македонија Битола</v>
          </cell>
        </row>
        <row r="84">
          <cell r="A84" t="str">
            <v>Макпромет Штип</v>
          </cell>
        </row>
        <row r="85">
          <cell r="A85" t="str">
            <v>Мермерен комбинат Прилеп</v>
          </cell>
        </row>
        <row r="86">
          <cell r="A86" t="str">
            <v>Мода Свети Николе</v>
          </cell>
        </row>
        <row r="87">
          <cell r="A87" t="str">
            <v>Вабтек МЗТ Скопје</v>
          </cell>
        </row>
        <row r="88">
          <cell r="A88" t="str">
            <v>МЗТ Пумпи Скопје</v>
          </cell>
        </row>
        <row r="89">
          <cell r="A89" t="str">
            <v>Огражден Струмица</v>
          </cell>
        </row>
        <row r="90">
          <cell r="A90" t="str">
            <v>Нова стоковна куќа Струмица</v>
          </cell>
        </row>
        <row r="91">
          <cell r="A91" t="str">
            <v>Оилко КДА Скопје</v>
          </cell>
        </row>
        <row r="92">
          <cell r="A92" t="str">
            <v>ОКТА Скопје</v>
          </cell>
        </row>
        <row r="93">
          <cell r="A93" t="str">
            <v>Оранжерии Хамзали Струмица</v>
          </cell>
        </row>
        <row r="94">
          <cell r="A94" t="str">
            <v>Пекабеско АД Кадино, Илинден</v>
          </cell>
        </row>
        <row r="95">
          <cell r="A95" t="str">
            <v>Попова Кула Демир Капија</v>
          </cell>
        </row>
        <row r="96">
          <cell r="A96" t="str">
            <v>Прилепска Пиварница Прилеп</v>
          </cell>
        </row>
        <row r="97">
          <cell r="A97" t="str">
            <v>Раде Кончар Скопје</v>
          </cell>
        </row>
        <row r="98">
          <cell r="A98" t="str">
            <v>РЖ Економика Скопје</v>
          </cell>
        </row>
        <row r="99">
          <cell r="A99" t="str">
            <v>Арцелормиттал Скопје (ХРМ) Скопје</v>
          </cell>
        </row>
        <row r="100">
          <cell r="A100" t="str">
            <v>Арцелормиттал Скопје (ЦРМ) Скопје</v>
          </cell>
        </row>
        <row r="101">
          <cell r="A101" t="str">
            <v>РЖ Техничка контрола Скопје</v>
          </cell>
        </row>
        <row r="102">
          <cell r="A102" t="str">
            <v>РЖ Уготур Скопје</v>
          </cell>
        </row>
        <row r="103">
          <cell r="A103" t="str">
            <v>Современ дом Прилеп</v>
          </cell>
        </row>
        <row r="104">
          <cell r="A104" t="str">
            <v>Силекс Кратово</v>
          </cell>
        </row>
        <row r="105">
          <cell r="A105" t="str">
            <v>Сковин Скопје</v>
          </cell>
        </row>
        <row r="106">
          <cell r="A106" t="str">
            <v>Славеј Скопје</v>
          </cell>
        </row>
        <row r="107">
          <cell r="A107" t="str">
            <v>Струмичко поле с.Василево</v>
          </cell>
        </row>
        <row r="108">
          <cell r="A108" t="str">
            <v>Сигурносно стакло Прилеп</v>
          </cell>
        </row>
        <row r="109">
          <cell r="A109" t="str">
            <v>Стопанска банка Скопје</v>
          </cell>
        </row>
        <row r="110">
          <cell r="A110" t="str">
            <v>Стокопромет Скопје</v>
          </cell>
        </row>
        <row r="111">
          <cell r="A111" t="str">
            <v>Струмица Табак Струмица</v>
          </cell>
        </row>
        <row r="112">
          <cell r="A112" t="str">
            <v>Тајмиште Кичево</v>
          </cell>
        </row>
        <row r="113">
          <cell r="A113" t="str">
            <v>ТЕАЛ-Алумина Тетово</v>
          </cell>
        </row>
        <row r="114">
          <cell r="A114" t="str">
            <v>Технокомерц Скопје</v>
          </cell>
        </row>
        <row r="115">
          <cell r="A115" t="str">
            <v>Македонски Телеком Скопје</v>
          </cell>
        </row>
        <row r="116">
          <cell r="A116" t="str">
            <v>ГД-Тиквеш Кавадарци</v>
          </cell>
        </row>
        <row r="117">
          <cell r="A117" t="str">
            <v>НЛБ Банка АД Скопје</v>
          </cell>
        </row>
        <row r="118">
          <cell r="A118" t="str">
            <v>Трудбеник Охрид</v>
          </cell>
        </row>
        <row r="119">
          <cell r="A119" t="str">
            <v>Транскоп-Патнички сооб. Битола</v>
          </cell>
        </row>
        <row r="120">
          <cell r="A120" t="str">
            <v>Трготекстил малопродажба Скопје</v>
          </cell>
        </row>
        <row r="121">
          <cell r="A121" t="str">
            <v>Универзална Инвестициона Банка Скопје</v>
          </cell>
        </row>
        <row r="122">
          <cell r="A122" t="str">
            <v>Цементарница УСЈЕ Скопје</v>
          </cell>
        </row>
        <row r="123">
          <cell r="A123" t="str">
            <v>Велес табак Велес</v>
          </cell>
        </row>
        <row r="124">
          <cell r="A124" t="str">
            <v>Триглав осигурување Скопје</v>
          </cell>
        </row>
        <row r="125">
          <cell r="A125" t="str">
            <v>Ветекс Велес</v>
          </cell>
        </row>
        <row r="126">
          <cell r="A126" t="str">
            <v>ЖАС Скопје</v>
          </cell>
        </row>
        <row r="127">
          <cell r="A127" t="str">
            <v>Жито Караорман Кичево</v>
          </cell>
        </row>
        <row r="128">
          <cell r="A128" t="str">
            <v>Жито Полог Тетово</v>
          </cell>
        </row>
        <row r="129">
          <cell r="A129" t="str">
            <v>Задолжителна котација - приоритетни акции</v>
          </cell>
        </row>
        <row r="130">
          <cell r="A130" t="str">
            <v>Стопанска банка Скопје</v>
          </cell>
        </row>
        <row r="131">
          <cell r="A131" t="str">
            <v>Редовен пазар</v>
          </cell>
        </row>
        <row r="132">
          <cell r="A132" t="str">
            <v>Пазар на акционерски друштва со посебни обврски за известување - обични акции</v>
          </cell>
        </row>
        <row r="133">
          <cell r="A133" t="str">
            <v>Агросервис Скопје</v>
          </cell>
        </row>
        <row r="134">
          <cell r="A134" t="str">
            <v>Шпаркасе банка Македонија АД Скопје</v>
          </cell>
        </row>
        <row r="135">
          <cell r="A135" t="str">
            <v>Отекс Охрид</v>
          </cell>
        </row>
        <row r="136">
          <cell r="A136" t="str">
            <v>Слободен пазар - обични акции</v>
          </cell>
        </row>
        <row r="137">
          <cell r="A137" t="str">
            <v>Аитоникс АД Скопје</v>
          </cell>
        </row>
        <row r="138">
          <cell r="A138" t="str">
            <v>Алкалоид Берово</v>
          </cell>
        </row>
        <row r="139">
          <cell r="A139" t="str">
            <v>Централен депозитар за харии од вредност</v>
          </cell>
        </row>
        <row r="140">
          <cell r="A140" t="str">
            <v>Металец Битола</v>
          </cell>
        </row>
        <row r="141">
          <cell r="A141" t="str">
            <v>Караорман Скопје</v>
          </cell>
        </row>
        <row r="142">
          <cell r="A142" t="str">
            <v>Квасара Битола</v>
          </cell>
        </row>
        <row r="143">
          <cell r="A143" t="str">
            <v>Македонска Берза</v>
          </cell>
        </row>
        <row r="144">
          <cell r="A144" t="str">
            <v>Просветно дело Скопје</v>
          </cell>
        </row>
        <row r="145">
          <cell r="A145" t="str">
            <v>Солун 2001 Гевгелија</v>
          </cell>
        </row>
        <row r="146">
          <cell r="A146" t="str">
            <v>Вин. визба Повардарие Неготино</v>
          </cell>
        </row>
        <row r="147">
          <cell r="A147" t="str">
            <v>Вкупен промет на сите пазарни сегменти: 5.378.963,00</v>
          </cell>
        </row>
        <row r="148">
          <cell r="A148" t="str">
            <v>МБИ10</v>
          </cell>
        </row>
        <row r="149">
          <cell r="A149" t="str">
            <v>ОМБ</v>
          </cell>
        </row>
        <row r="150">
          <cell r="A150" t="str">
            <v>1 EUR = 61,4831 МКД</v>
          </cell>
        </row>
      </sheetData>
      <sheetData sheetId="1"/>
      <sheetData sheetId="2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2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3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vmlDrawing" Target="../drawings/vmlDrawing4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5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6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7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8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9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10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CCCCCC"/>
    <pageSetUpPr fitToPage="false"/>
  </sheetPr>
  <dimension ref="A1:F24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10" activeCellId="0" sqref="A10"/>
    </sheetView>
  </sheetViews>
  <sheetFormatPr defaultColWidth="11.53515625" defaultRowHeight="12.8" zeroHeight="false" outlineLevelRow="0" outlineLevelCol="0"/>
  <cols>
    <col collapsed="false" customWidth="true" hidden="false" outlineLevel="0" max="6" min="1" style="1" width="18.6"/>
  </cols>
  <sheetData>
    <row r="1" customFormat="false" ht="12.8" hidden="false" customHeight="false" outlineLevel="0" collapsed="false">
      <c r="A1" s="2" t="s">
        <v>0</v>
      </c>
      <c r="B1" s="2"/>
      <c r="C1" s="2"/>
      <c r="D1" s="2"/>
      <c r="E1" s="2"/>
      <c r="F1" s="2"/>
    </row>
    <row r="2" customFormat="false" ht="12.8" hidden="false" customHeight="false" outlineLevel="0" collapsed="false">
      <c r="A2" s="3" t="s">
        <v>1</v>
      </c>
      <c r="B2" s="3"/>
      <c r="C2" s="3"/>
      <c r="D2" s="3"/>
      <c r="E2" s="3"/>
      <c r="F2" s="3"/>
    </row>
    <row r="3" customFormat="false" ht="21.45" hidden="false" customHeight="true" outlineLevel="0" collapsed="false">
      <c r="A3" s="4" t="s">
        <v>2</v>
      </c>
      <c r="B3" s="4"/>
      <c r="C3" s="4"/>
      <c r="D3" s="4"/>
      <c r="E3" s="4"/>
      <c r="F3" s="4"/>
    </row>
    <row r="4" customFormat="false" ht="21.45" hidden="false" customHeight="true" outlineLevel="0" collapsed="false">
      <c r="A4" s="5" t="s">
        <v>3</v>
      </c>
      <c r="B4" s="5"/>
      <c r="C4" s="5"/>
      <c r="D4" s="5"/>
      <c r="E4" s="5"/>
      <c r="F4" s="5"/>
    </row>
    <row r="5" customFormat="false" ht="21.45" hidden="false" customHeight="true" outlineLevel="0" collapsed="false">
      <c r="A5" s="6" t="s">
        <v>4</v>
      </c>
      <c r="B5" s="6"/>
      <c r="C5" s="6"/>
      <c r="D5" s="6"/>
      <c r="E5" s="6"/>
      <c r="F5" s="6"/>
    </row>
    <row r="6" customFormat="false" ht="21.45" hidden="false" customHeight="true" outlineLevel="0" collapsed="false">
      <c r="A6" s="7" t="s">
        <v>5</v>
      </c>
      <c r="B6" s="7"/>
      <c r="C6" s="7"/>
      <c r="D6" s="7"/>
      <c r="E6" s="7"/>
      <c r="F6" s="7"/>
    </row>
    <row r="7" customFormat="false" ht="27.95" hidden="false" customHeight="true" outlineLevel="0" collapsed="false">
      <c r="A7" s="8" t="s">
        <v>6</v>
      </c>
      <c r="B7" s="8"/>
      <c r="C7" s="8"/>
      <c r="D7" s="8"/>
      <c r="E7" s="8"/>
      <c r="F7" s="8"/>
    </row>
    <row r="8" customFormat="false" ht="27.95" hidden="false" customHeight="true" outlineLevel="0" collapsed="false">
      <c r="A8" s="6" t="s">
        <v>7</v>
      </c>
      <c r="B8" s="6"/>
      <c r="C8" s="6"/>
      <c r="D8" s="6"/>
      <c r="E8" s="6"/>
      <c r="F8" s="6"/>
    </row>
    <row r="9" customFormat="false" ht="12.8" hidden="false" customHeight="false" outlineLevel="0" collapsed="false">
      <c r="A9" s="9" t="s">
        <v>8</v>
      </c>
      <c r="B9" s="9"/>
      <c r="C9" s="9"/>
      <c r="D9" s="9"/>
      <c r="E9" s="9"/>
      <c r="F9" s="9"/>
    </row>
    <row r="10" customFormat="false" ht="21.45" hidden="false" customHeight="true" outlineLevel="0" collapsed="false">
      <c r="A10" s="7" t="s">
        <v>9</v>
      </c>
      <c r="B10" s="7"/>
      <c r="C10" s="7"/>
      <c r="D10" s="7"/>
      <c r="E10" s="7"/>
      <c r="F10" s="7"/>
    </row>
    <row r="11" customFormat="false" ht="21.45" hidden="false" customHeight="true" outlineLevel="0" collapsed="false">
      <c r="A11" s="10" t="s">
        <v>10</v>
      </c>
      <c r="B11" s="10"/>
      <c r="C11" s="10"/>
      <c r="D11" s="10"/>
      <c r="E11" s="10"/>
      <c r="F11" s="10"/>
    </row>
    <row r="12" customFormat="false" ht="21.45" hidden="false" customHeight="true" outlineLevel="0" collapsed="false">
      <c r="A12" s="11" t="s">
        <v>11</v>
      </c>
      <c r="B12" s="11"/>
      <c r="C12" s="11"/>
      <c r="D12" s="11"/>
      <c r="E12" s="11"/>
      <c r="F12" s="11"/>
    </row>
    <row r="13" customFormat="false" ht="21.45" hidden="false" customHeight="true" outlineLevel="0" collapsed="false">
      <c r="A13" s="12" t="s">
        <v>12</v>
      </c>
      <c r="B13" s="12"/>
      <c r="C13" s="12"/>
      <c r="D13" s="12"/>
      <c r="E13" s="12"/>
      <c r="F13" s="12"/>
    </row>
    <row r="14" customFormat="false" ht="21.45" hidden="false" customHeight="true" outlineLevel="0" collapsed="false">
      <c r="A14" s="13" t="s">
        <v>13</v>
      </c>
      <c r="B14" s="13"/>
      <c r="C14" s="13"/>
      <c r="D14" s="13"/>
      <c r="E14" s="13"/>
      <c r="F14" s="13"/>
    </row>
    <row r="15" customFormat="false" ht="21.45" hidden="false" customHeight="true" outlineLevel="0" collapsed="false">
      <c r="A15" s="14" t="s">
        <v>14</v>
      </c>
      <c r="B15" s="14"/>
      <c r="C15" s="14"/>
      <c r="D15" s="14"/>
      <c r="E15" s="14"/>
      <c r="F15" s="14"/>
    </row>
    <row r="16" customFormat="false" ht="21.45" hidden="false" customHeight="true" outlineLevel="0" collapsed="false">
      <c r="A16" s="15" t="s">
        <v>15</v>
      </c>
      <c r="B16" s="15"/>
      <c r="C16" s="15"/>
      <c r="D16" s="15"/>
      <c r="E16" s="15"/>
      <c r="F16" s="15"/>
    </row>
    <row r="17" customFormat="false" ht="21.45" hidden="false" customHeight="true" outlineLevel="0" collapsed="false">
      <c r="A17" s="5" t="s">
        <v>16</v>
      </c>
      <c r="B17" s="5"/>
      <c r="C17" s="5"/>
      <c r="D17" s="5"/>
      <c r="E17" s="5"/>
      <c r="F17" s="5"/>
    </row>
    <row r="18" customFormat="false" ht="12.8" hidden="false" customHeight="false" outlineLevel="0" collapsed="false">
      <c r="A18" s="9" t="s">
        <v>17</v>
      </c>
      <c r="B18" s="9"/>
      <c r="C18" s="9"/>
      <c r="D18" s="9"/>
      <c r="E18" s="9"/>
      <c r="F18" s="9"/>
    </row>
    <row r="19" customFormat="false" ht="12.8" hidden="false" customHeight="false" outlineLevel="0" collapsed="false">
      <c r="A19" s="16" t="s">
        <v>18</v>
      </c>
      <c r="B19" s="16"/>
      <c r="C19" s="16"/>
      <c r="D19" s="16"/>
      <c r="E19" s="16"/>
      <c r="F19" s="16"/>
    </row>
    <row r="20" customFormat="false" ht="12.8" hidden="false" customHeight="false" outlineLevel="0" collapsed="false">
      <c r="A20" s="17" t="s">
        <v>19</v>
      </c>
      <c r="B20" s="17"/>
      <c r="C20" s="17"/>
      <c r="D20" s="17"/>
      <c r="E20" s="17"/>
      <c r="F20" s="17"/>
    </row>
    <row r="21" customFormat="false" ht="12.8" hidden="false" customHeight="false" outlineLevel="0" collapsed="false">
      <c r="A21" s="5" t="s">
        <v>20</v>
      </c>
      <c r="B21" s="5"/>
      <c r="C21" s="5"/>
      <c r="D21" s="5"/>
      <c r="E21" s="5"/>
      <c r="F21" s="5"/>
    </row>
    <row r="22" customFormat="false" ht="12.8" hidden="false" customHeight="false" outlineLevel="0" collapsed="false">
      <c r="A22" s="9" t="s">
        <v>21</v>
      </c>
      <c r="B22" s="9"/>
      <c r="C22" s="9"/>
      <c r="D22" s="9"/>
      <c r="E22" s="9"/>
      <c r="F22" s="9"/>
    </row>
    <row r="23" customFormat="false" ht="12.8" hidden="false" customHeight="false" outlineLevel="0" collapsed="false">
      <c r="A23" s="17" t="s">
        <v>22</v>
      </c>
      <c r="B23" s="17"/>
      <c r="C23" s="17"/>
      <c r="D23" s="17"/>
      <c r="E23" s="17"/>
      <c r="F23" s="17"/>
    </row>
    <row r="24" customFormat="false" ht="12.8" hidden="false" customHeight="false" outlineLevel="0" collapsed="false">
      <c r="A24" s="9" t="s">
        <v>23</v>
      </c>
      <c r="B24" s="9"/>
      <c r="C24" s="9"/>
      <c r="D24" s="9"/>
      <c r="E24" s="9"/>
      <c r="F24" s="9"/>
    </row>
  </sheetData>
  <mergeCells count="24"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A18:F18"/>
    <mergeCell ref="A19:F19"/>
    <mergeCell ref="A20:F20"/>
    <mergeCell ref="A21:F21"/>
    <mergeCell ref="A22:F22"/>
    <mergeCell ref="A23:F23"/>
    <mergeCell ref="A24:F24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O15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Q43" activeCellId="0" sqref="Q43"/>
    </sheetView>
  </sheetViews>
  <sheetFormatPr defaultColWidth="11.53515625" defaultRowHeight="12.8" zeroHeight="false" outlineLevelRow="0" outlineLevelCol="0"/>
  <cols>
    <col collapsed="false" customWidth="true" hidden="false" outlineLevel="0" max="2" min="1" style="1" width="15.38"/>
    <col collapsed="false" customWidth="true" hidden="false" outlineLevel="0" max="5" min="5" style="1" width="12.43"/>
    <col collapsed="false" customWidth="true" hidden="false" outlineLevel="0" max="12" min="11" style="1" width="12.95"/>
  </cols>
  <sheetData>
    <row r="1" customFormat="false" ht="12.8" hidden="false" customHeight="false" outlineLevel="0" collapsed="false">
      <c r="B1" s="18" t="s">
        <v>24</v>
      </c>
      <c r="C1" s="18" t="s">
        <v>25</v>
      </c>
      <c r="D1" s="18" t="s">
        <v>26</v>
      </c>
      <c r="E1" s="18" t="s">
        <v>27</v>
      </c>
      <c r="F1" s="18"/>
      <c r="G1" s="1" t="s">
        <v>28</v>
      </c>
      <c r="H1" s="1" t="s">
        <v>29</v>
      </c>
      <c r="L1" s="1" t="s">
        <v>30</v>
      </c>
      <c r="M1" s="1" t="s">
        <v>31</v>
      </c>
    </row>
    <row r="2" customFormat="false" ht="12.8" hidden="false" customHeight="false" outlineLevel="0" collapsed="false">
      <c r="A2" s="19" t="s">
        <v>32</v>
      </c>
      <c r="B2" s="20" t="n">
        <v>461004114.06</v>
      </c>
      <c r="C2" s="1" t="n">
        <v>1</v>
      </c>
      <c r="D2" s="20" t="n">
        <v>15234224.3902439</v>
      </c>
      <c r="E2" s="21"/>
      <c r="H2" s="21"/>
      <c r="I2" s="22"/>
      <c r="M2" s="21"/>
    </row>
    <row r="3" customFormat="false" ht="12.8" hidden="false" customHeight="false" outlineLevel="0" collapsed="false">
      <c r="A3" s="23" t="s">
        <v>33</v>
      </c>
      <c r="B3" s="20" t="n">
        <v>462882584.08</v>
      </c>
      <c r="C3" s="1" t="n">
        <v>2</v>
      </c>
      <c r="D3" s="20" t="n">
        <v>17144850.0325203</v>
      </c>
      <c r="E3" s="21"/>
      <c r="H3" s="21"/>
      <c r="I3" s="22"/>
      <c r="M3" s="21"/>
    </row>
    <row r="4" customFormat="false" ht="12.8" hidden="false" customHeight="false" outlineLevel="0" collapsed="false">
      <c r="A4" s="24" t="s">
        <v>34</v>
      </c>
      <c r="B4" s="25" t="n">
        <v>481133649.08</v>
      </c>
      <c r="C4" s="1" t="n">
        <v>3</v>
      </c>
      <c r="D4" s="26" t="n">
        <v>17659005.1056911</v>
      </c>
      <c r="E4" s="21"/>
      <c r="H4" s="21"/>
      <c r="I4" s="22"/>
      <c r="M4" s="21"/>
    </row>
    <row r="5" customFormat="false" ht="12.8" hidden="false" customHeight="false" outlineLevel="0" collapsed="false">
      <c r="A5" s="27" t="s">
        <v>35</v>
      </c>
      <c r="B5" s="25" t="n">
        <v>527217866.14</v>
      </c>
      <c r="C5" s="1" t="n">
        <v>4</v>
      </c>
      <c r="D5" s="26" t="n">
        <v>15234224.3902439</v>
      </c>
      <c r="E5" s="21"/>
      <c r="H5" s="21"/>
      <c r="I5" s="22"/>
      <c r="M5" s="21"/>
      <c r="O5" s="20"/>
    </row>
    <row r="6" customFormat="false" ht="12.8" hidden="false" customHeight="false" outlineLevel="0" collapsed="false">
      <c r="A6" s="28" t="s">
        <v>36</v>
      </c>
      <c r="B6" s="20" t="n">
        <v>619203604.32</v>
      </c>
      <c r="C6" s="1" t="n">
        <v>5</v>
      </c>
      <c r="D6" s="20" t="n">
        <v>16186363.4146341</v>
      </c>
      <c r="E6" s="29" t="n">
        <v>119691434.920976</v>
      </c>
      <c r="F6" s="1" t="n">
        <v>1</v>
      </c>
      <c r="G6" s="20" t="n">
        <v>5048780.48780488</v>
      </c>
      <c r="H6" s="21"/>
      <c r="I6" s="22"/>
      <c r="M6" s="21"/>
    </row>
    <row r="7" customFormat="false" ht="12.8" hidden="false" customHeight="false" outlineLevel="0" collapsed="false">
      <c r="A7" s="23" t="s">
        <v>37</v>
      </c>
      <c r="B7" s="20" t="n">
        <v>665115131.1</v>
      </c>
      <c r="C7" s="1" t="n">
        <v>6</v>
      </c>
      <c r="D7" s="20" t="n">
        <v>16802079.9837398</v>
      </c>
      <c r="E7" s="29" t="n">
        <v>124259735.810732</v>
      </c>
      <c r="F7" s="1" t="n">
        <v>2</v>
      </c>
      <c r="G7" s="20" t="n">
        <v>5200243.90243902</v>
      </c>
      <c r="H7" s="21"/>
      <c r="I7" s="22"/>
      <c r="M7" s="21"/>
    </row>
    <row r="8" customFormat="false" ht="12.8" hidden="false" customHeight="false" outlineLevel="0" collapsed="false">
      <c r="A8" s="28" t="s">
        <v>38</v>
      </c>
      <c r="B8" s="20" t="n">
        <v>667246707.26</v>
      </c>
      <c r="C8" s="1" t="n">
        <v>7</v>
      </c>
      <c r="D8" s="20" t="n">
        <v>18408021.1382114</v>
      </c>
      <c r="E8" s="29" t="n">
        <v>129700833.686829</v>
      </c>
      <c r="F8" s="1" t="n">
        <v>3</v>
      </c>
      <c r="G8" s="20" t="n">
        <v>5301219.51219512</v>
      </c>
      <c r="H8" s="21"/>
      <c r="I8" s="22" t="s">
        <v>39</v>
      </c>
      <c r="K8" s="22" t="s">
        <v>39</v>
      </c>
      <c r="M8" s="29" t="n">
        <v>70819000.9756098</v>
      </c>
      <c r="N8" s="1" t="n">
        <v>1</v>
      </c>
    </row>
    <row r="9" customFormat="false" ht="12.8" hidden="false" customHeight="false" outlineLevel="0" collapsed="false">
      <c r="A9" s="23" t="s">
        <v>40</v>
      </c>
      <c r="B9" s="20" t="n">
        <v>804146000.28</v>
      </c>
      <c r="C9" s="1" t="n">
        <v>8</v>
      </c>
      <c r="D9" s="20" t="n">
        <v>19042780.4878049</v>
      </c>
      <c r="E9" s="30" t="n">
        <v>144269067.671545</v>
      </c>
      <c r="F9" s="1" t="n">
        <v>4</v>
      </c>
      <c r="G9" s="31"/>
      <c r="H9" s="29" t="n">
        <v>48889756.097561</v>
      </c>
      <c r="I9" s="25"/>
      <c r="J9" s="1" t="n">
        <v>1</v>
      </c>
      <c r="L9" s="32" t="n">
        <v>479189055.560976</v>
      </c>
      <c r="M9" s="29" t="n">
        <v>67433560.9756098</v>
      </c>
      <c r="N9" s="1" t="n">
        <v>2</v>
      </c>
    </row>
    <row r="10" customFormat="false" ht="12.8" hidden="false" customHeight="false" outlineLevel="0" collapsed="false">
      <c r="A10" s="28" t="s">
        <v>41</v>
      </c>
      <c r="B10" s="20" t="n">
        <v>869685667.34</v>
      </c>
      <c r="C10" s="1" t="n">
        <v>9</v>
      </c>
      <c r="D10" s="20" t="n">
        <v>19677539.8373984</v>
      </c>
      <c r="E10" s="33" t="n">
        <v>148928279.203577</v>
      </c>
      <c r="F10" s="1" t="n">
        <v>5</v>
      </c>
      <c r="H10" s="29" t="n">
        <v>62639789.2682927</v>
      </c>
      <c r="I10" s="34" t="n">
        <f aca="false">H10/H9-1</f>
        <v>0.281245689655173</v>
      </c>
      <c r="J10" s="1" t="n">
        <v>2</v>
      </c>
      <c r="K10" s="34" t="n">
        <f aca="false">L10/L9-1</f>
        <v>0.0747753654864247</v>
      </c>
      <c r="L10" s="32" t="n">
        <v>515020592.327642</v>
      </c>
      <c r="M10" s="35" t="n">
        <v>73607860.3902439</v>
      </c>
      <c r="N10" s="1" t="n">
        <v>3</v>
      </c>
    </row>
    <row r="11" customFormat="false" ht="12.8" hidden="false" customHeight="false" outlineLevel="0" collapsed="false">
      <c r="A11" s="23" t="s">
        <v>42</v>
      </c>
      <c r="B11" s="20" t="n">
        <v>899672259.78</v>
      </c>
      <c r="C11" s="1" t="n">
        <v>10</v>
      </c>
      <c r="D11" s="20" t="n">
        <v>19553317.4326829</v>
      </c>
      <c r="E11" s="33" t="n">
        <v>155324715.447154</v>
      </c>
      <c r="F11" s="1" t="n">
        <v>6</v>
      </c>
      <c r="H11" s="29" t="n">
        <v>60212370.7317073</v>
      </c>
      <c r="I11" s="34" t="n">
        <f aca="false">H11/H10-1</f>
        <v>-0.0387520227149628</v>
      </c>
      <c r="J11" s="1" t="n">
        <v>3</v>
      </c>
      <c r="K11" s="34" t="n">
        <f aca="false">L11/L10-1</f>
        <v>0.0077004593613228</v>
      </c>
      <c r="L11" s="32" t="n">
        <v>518986487.469106</v>
      </c>
      <c r="M11" s="36" t="n">
        <v>81456989.2682927</v>
      </c>
      <c r="N11" s="1" t="n">
        <v>4</v>
      </c>
    </row>
    <row r="12" customFormat="false" ht="12.8" hidden="false" customHeight="false" outlineLevel="0" collapsed="false">
      <c r="A12" s="23" t="s">
        <v>43</v>
      </c>
      <c r="B12" s="20" t="n">
        <v>869378456.52</v>
      </c>
      <c r="C12" s="1" t="n">
        <v>11</v>
      </c>
      <c r="D12" s="20" t="n">
        <v>21264438.2113821</v>
      </c>
      <c r="E12" s="33" t="n">
        <v>155096643.94439</v>
      </c>
      <c r="F12" s="1" t="n">
        <v>7</v>
      </c>
      <c r="H12" s="29" t="n">
        <v>60212370.7317073</v>
      </c>
      <c r="I12" s="34" t="n">
        <f aca="false">H12/H11-1</f>
        <v>0</v>
      </c>
      <c r="J12" s="1" t="n">
        <v>4</v>
      </c>
      <c r="K12" s="34" t="n">
        <f aca="false">L12/L11-1</f>
        <v>-0.0129176485888349</v>
      </c>
      <c r="L12" s="32" t="n">
        <v>512282402.401626</v>
      </c>
      <c r="M12" s="36" t="n">
        <v>81456989.2682927</v>
      </c>
      <c r="N12" s="1" t="n">
        <v>5</v>
      </c>
    </row>
    <row r="13" customFormat="false" ht="12.8" hidden="false" customHeight="false" outlineLevel="0" collapsed="false">
      <c r="A13" s="19" t="s">
        <v>44</v>
      </c>
      <c r="B13" s="20" t="n">
        <v>889062183.8</v>
      </c>
      <c r="C13" s="1" t="n">
        <v>12</v>
      </c>
      <c r="D13" s="20" t="n">
        <v>20312616.5666667</v>
      </c>
      <c r="E13" s="33" t="n">
        <v>159310018.722602</v>
      </c>
      <c r="F13" s="1" t="n">
        <v>8</v>
      </c>
      <c r="H13" s="29" t="n">
        <v>63105211.3170732</v>
      </c>
      <c r="I13" s="34" t="n">
        <f aca="false">H13/H12-1</f>
        <v>0.0480439575823328</v>
      </c>
      <c r="J13" s="1" t="n">
        <v>5</v>
      </c>
      <c r="K13" s="34" t="n">
        <f aca="false">L13/L12-1</f>
        <v>0.0117273714386963</v>
      </c>
      <c r="L13" s="32" t="n">
        <v>518290128.416098</v>
      </c>
      <c r="M13" s="36" t="n">
        <v>81456989.2682927</v>
      </c>
      <c r="N13" s="1" t="n">
        <v>6</v>
      </c>
    </row>
    <row r="14" customFormat="false" ht="12.8" hidden="false" customHeight="false" outlineLevel="0" collapsed="false">
      <c r="A14" s="1" t="s">
        <v>45</v>
      </c>
      <c r="B14" s="31" t="n">
        <f aca="false">CORREL(B2:B13,C2:C13)</f>
        <v>0.971320251791307</v>
      </c>
      <c r="C14" s="31" t="n">
        <f aca="false">CORREL(B2:B13,D2:D13)</f>
        <v>0.856550626427363</v>
      </c>
      <c r="D14" s="31" t="n">
        <f aca="false">CORREL(C2:C13,D2:D13)</f>
        <v>0.88028134863461</v>
      </c>
      <c r="H14" s="1" t="n">
        <f aca="false">CORREL(H9:H13,J9:J13)</f>
        <v>0.707053148939004</v>
      </c>
      <c r="I14" s="37"/>
      <c r="J14" s="1" t="n">
        <f aca="false">CORREL(H9:H13,L9:L13)</f>
        <v>0.969402858974887</v>
      </c>
      <c r="K14" s="37"/>
      <c r="L14" s="1" t="n">
        <f aca="false">CORREL(L9:L13,M9:M13)</f>
        <v>0.855758314175209</v>
      </c>
      <c r="M14" s="1" t="n">
        <f aca="false">CORREL(M8:M13,N8:N13)</f>
        <v>0.881910183281294</v>
      </c>
    </row>
    <row r="15" customFormat="false" ht="12.8" hidden="false" customHeight="false" outlineLevel="0" collapsed="false">
      <c r="B15" s="1" t="s">
        <v>46</v>
      </c>
      <c r="C15" s="1" t="s">
        <v>47</v>
      </c>
      <c r="D15" s="1" t="s">
        <v>48</v>
      </c>
      <c r="H15" s="1" t="n">
        <f aca="false">H13/H9</f>
        <v>1.29076551724138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AQ109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95" activeCellId="0" sqref="B95"/>
    </sheetView>
  </sheetViews>
  <sheetFormatPr defaultColWidth="11.53515625" defaultRowHeight="12.8" zeroHeight="false" outlineLevelRow="1" outlineLevelCol="0"/>
  <cols>
    <col collapsed="false" customWidth="true" hidden="false" outlineLevel="0" max="1" min="1" style="1" width="21.4"/>
    <col collapsed="false" customWidth="false" hidden="false" outlineLevel="0" max="2" min="2" style="38" width="11.56"/>
    <col collapsed="false" customWidth="true" hidden="false" outlineLevel="0" max="3" min="3" style="39" width="13.21"/>
    <col collapsed="false" customWidth="true" hidden="false" outlineLevel="0" max="4" min="4" style="1" width="9.14"/>
    <col collapsed="false" customWidth="true" hidden="false" outlineLevel="0" max="5" min="5" style="40" width="12.15"/>
    <col collapsed="false" customWidth="true" hidden="false" outlineLevel="0" max="6" min="6" style="1" width="13"/>
    <col collapsed="false" customWidth="true" hidden="false" outlineLevel="0" max="7" min="7" style="40" width="13"/>
    <col collapsed="false" customWidth="true" hidden="false" outlineLevel="0" max="8" min="8" style="1" width="13"/>
    <col collapsed="false" customWidth="true" hidden="false" outlineLevel="0" max="9" min="9" style="41" width="11.93"/>
    <col collapsed="false" customWidth="true" hidden="false" outlineLevel="0" max="10" min="10" style="21" width="13"/>
    <col collapsed="false" customWidth="true" hidden="false" outlineLevel="0" max="11" min="11" style="39" width="13"/>
    <col collapsed="false" customWidth="true" hidden="false" outlineLevel="0" max="12" min="12" style="1" width="13"/>
    <col collapsed="false" customWidth="true" hidden="false" outlineLevel="0" max="13" min="13" style="40" width="12.78"/>
    <col collapsed="false" customWidth="true" hidden="false" outlineLevel="0" max="14" min="14" style="40" width="10.2"/>
    <col collapsed="false" customWidth="true" hidden="false" outlineLevel="0" max="15" min="15" style="1" width="13"/>
    <col collapsed="false" customWidth="true" hidden="false" outlineLevel="0" max="16" min="16" style="42" width="13"/>
    <col collapsed="false" customWidth="true" hidden="false" outlineLevel="0" max="17" min="17" style="21" width="13"/>
    <col collapsed="false" customWidth="true" hidden="false" outlineLevel="0" max="18" min="18" style="1" width="13"/>
    <col collapsed="false" customWidth="true" hidden="false" outlineLevel="0" max="19" min="19" style="40" width="10.2"/>
    <col collapsed="false" customWidth="true" hidden="false" outlineLevel="0" max="21" min="20" style="1" width="13"/>
    <col collapsed="false" customWidth="true" hidden="false" outlineLevel="0" max="23" min="22" style="40" width="12.35"/>
    <col collapsed="false" customWidth="true" hidden="false" outlineLevel="0" max="24" min="24" style="41" width="12.35"/>
    <col collapsed="false" customWidth="true" hidden="false" outlineLevel="0" max="25" min="25" style="21" width="13"/>
    <col collapsed="false" customWidth="true" hidden="false" outlineLevel="0" max="26" min="26" style="1" width="13"/>
    <col collapsed="false" customWidth="true" hidden="false" outlineLevel="0" max="27" min="27" style="40" width="10.2"/>
    <col collapsed="false" customWidth="true" hidden="false" outlineLevel="0" max="28" min="28" style="1" width="13"/>
    <col collapsed="false" customWidth="true" hidden="false" outlineLevel="0" max="29" min="29" style="42" width="13"/>
    <col collapsed="false" customWidth="true" hidden="false" outlineLevel="0" max="30" min="30" style="21" width="13"/>
    <col collapsed="false" customWidth="true" hidden="false" outlineLevel="0" max="31" min="31" style="1" width="13"/>
    <col collapsed="false" customWidth="true" hidden="false" outlineLevel="0" max="32" min="32" style="40" width="10.2"/>
    <col collapsed="false" customWidth="true" hidden="false" outlineLevel="0" max="34" min="33" style="1" width="13"/>
    <col collapsed="false" customWidth="true" hidden="false" outlineLevel="0" max="35" min="35" style="41" width="13.21"/>
    <col collapsed="false" customWidth="true" hidden="false" outlineLevel="0" max="36" min="36" style="21" width="13"/>
    <col collapsed="false" customWidth="true" hidden="false" outlineLevel="0" max="39" min="37" style="1" width="13"/>
    <col collapsed="false" customWidth="true" hidden="false" outlineLevel="0" max="40" min="40" style="42" width="13"/>
    <col collapsed="false" customWidth="true" hidden="false" outlineLevel="0" max="41" min="41" style="21" width="13"/>
    <col collapsed="false" customWidth="true" hidden="false" outlineLevel="0" max="42" min="42" style="1" width="13"/>
  </cols>
  <sheetData>
    <row r="1" customFormat="false" ht="12.8" hidden="false" customHeight="false" outlineLevel="0" collapsed="false">
      <c r="B1" s="43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19" t="s">
        <v>79</v>
      </c>
    </row>
    <row r="2" customFormat="false" ht="12.8" hidden="true" customHeight="false" outlineLevel="1" collapsed="false">
      <c r="C2" s="48"/>
      <c r="D2" s="49"/>
      <c r="E2" s="48"/>
      <c r="F2" s="49" t="n">
        <f aca="false">F3/H3-1</f>
        <v>0.0746264166264794</v>
      </c>
      <c r="G2" s="48"/>
      <c r="H2" s="49" t="n">
        <f aca="false">H3/I3-1</f>
        <v>0.0625171975051679</v>
      </c>
      <c r="I2" s="50"/>
      <c r="J2" s="51" t="n">
        <f aca="false">J3/L3-1</f>
        <v>0.0297280488869855</v>
      </c>
      <c r="K2" s="48"/>
      <c r="L2" s="49" t="n">
        <f aca="false">L3/O3-1</f>
        <v>0.0146389926140951</v>
      </c>
      <c r="M2" s="48"/>
      <c r="N2" s="48"/>
      <c r="O2" s="49" t="n">
        <f aca="false">O3/P3-1</f>
        <v>-0.000584970558115572</v>
      </c>
      <c r="P2" s="52" t="n">
        <f aca="false">P3/Q3-1</f>
        <v>0.055706909617161</v>
      </c>
      <c r="Q2" s="51" t="n">
        <f aca="false">Q3/R3-1</f>
        <v>0.0450263803870088</v>
      </c>
      <c r="R2" s="49" t="n">
        <f aca="false">R3/T3-1</f>
        <v>-0.0664906572345302</v>
      </c>
      <c r="S2" s="48"/>
      <c r="T2" s="49" t="n">
        <f aca="false">T3/U3-1</f>
        <v>-0.0586064714764767</v>
      </c>
      <c r="U2" s="49" t="n">
        <f aca="false">U3/Y3-1</f>
        <v>0.0548480874343853</v>
      </c>
      <c r="V2" s="48"/>
      <c r="W2" s="48"/>
      <c r="X2" s="50"/>
      <c r="Y2" s="51" t="n">
        <f aca="false">Y3/Z3-1</f>
        <v>0.0755246032253627</v>
      </c>
      <c r="Z2" s="49" t="n">
        <f aca="false">Z3/AB3-1</f>
        <v>0.0822409131528852</v>
      </c>
      <c r="AA2" s="48"/>
      <c r="AB2" s="49" t="n">
        <f aca="false">AB3/AC3-1</f>
        <v>0.0647201820378685</v>
      </c>
      <c r="AC2" s="52" t="n">
        <f aca="false">AC3/AD3-1</f>
        <v>0.0580060651919272</v>
      </c>
      <c r="AD2" s="51" t="n">
        <f aca="false">AD3/AE3-1</f>
        <v>0.0131997178668779</v>
      </c>
      <c r="AE2" s="49" t="n">
        <f aca="false">AE3/AG3-1</f>
        <v>0.0489296857297383</v>
      </c>
      <c r="AF2" s="48"/>
      <c r="AG2" s="49" t="n">
        <f aca="false">AG3/AH3-1</f>
        <v>0.168142105947466</v>
      </c>
      <c r="AH2" s="49" t="n">
        <f aca="false">AH3/AJ3-1</f>
        <v>-0.174433773593021</v>
      </c>
      <c r="AI2" s="50"/>
      <c r="AJ2" s="51" t="n">
        <f aca="false">AJ3/AK3-1</f>
        <v>0.0434659844766632</v>
      </c>
      <c r="AK2" s="49" t="n">
        <f aca="false">AK3/AM3-1</f>
        <v>0.0944325001510573</v>
      </c>
      <c r="AL2" s="49"/>
      <c r="AM2" s="49" t="n">
        <f aca="false">AM3/AN3-1</f>
        <v>-0.0285059545601205</v>
      </c>
      <c r="AN2" s="52" t="n">
        <f aca="false">AN3/AO3-1</f>
        <v>0.00772138245975707</v>
      </c>
      <c r="AO2" s="51" t="n">
        <f aca="false">AO3/AP3-1</f>
        <v>0.0158525215200411</v>
      </c>
      <c r="AP2" s="49" t="s">
        <v>80</v>
      </c>
    </row>
    <row r="3" s="59" customFormat="true" ht="12.8" hidden="false" customHeight="false" outlineLevel="0" collapsed="false">
      <c r="A3" s="53" t="s">
        <v>81</v>
      </c>
      <c r="B3" s="54" t="n">
        <v>2314.06418594999</v>
      </c>
      <c r="C3" s="48" t="n">
        <v>2250.01403515989</v>
      </c>
      <c r="D3" s="55" t="n">
        <v>2308.87009429186</v>
      </c>
      <c r="E3" s="56" t="n">
        <v>2221.03245277769</v>
      </c>
      <c r="F3" s="55" t="n">
        <v>2116.32344991411</v>
      </c>
      <c r="G3" s="56" t="n">
        <v>1952.67751507467</v>
      </c>
      <c r="H3" s="55" t="n">
        <v>1969.35736658864</v>
      </c>
      <c r="I3" s="50" t="n">
        <v>1853.48281534903</v>
      </c>
      <c r="J3" s="51" t="n">
        <v>1642.13923034423</v>
      </c>
      <c r="K3" s="48" t="n">
        <v>1638.23305230433</v>
      </c>
      <c r="L3" s="55" t="n">
        <v>1594.73098952601</v>
      </c>
      <c r="M3" s="56" t="n">
        <v>1594.17394108074</v>
      </c>
      <c r="N3" s="56" t="n">
        <v>1588.26575558469</v>
      </c>
      <c r="O3" s="55" t="n">
        <v>1571.72255465698</v>
      </c>
      <c r="P3" s="52" t="n">
        <v>1572.64250422039</v>
      </c>
      <c r="Q3" s="51" t="n">
        <v>1489.65824689988</v>
      </c>
      <c r="R3" s="55" t="n">
        <v>1425.47429888632</v>
      </c>
      <c r="S3" s="56" t="n">
        <v>1502.74253104396</v>
      </c>
      <c r="T3" s="55" t="n">
        <v>1527.0059265432</v>
      </c>
      <c r="U3" s="55" t="n">
        <v>1622.06970865643</v>
      </c>
      <c r="V3" s="56" t="n">
        <v>1577.32031210834</v>
      </c>
      <c r="W3" s="56" t="n">
        <v>1505.87585302734</v>
      </c>
      <c r="X3" s="50" t="n">
        <v>1622.10899099261</v>
      </c>
      <c r="Y3" s="51" t="n">
        <v>1537.72825488232</v>
      </c>
      <c r="Z3" s="55" t="n">
        <v>1429.74716735523</v>
      </c>
      <c r="AA3" s="56" t="n">
        <v>1489.40185088379</v>
      </c>
      <c r="AB3" s="55" t="n">
        <v>1321.09879600648</v>
      </c>
      <c r="AC3" s="52" t="n">
        <v>1240.79435920704</v>
      </c>
      <c r="AD3" s="51" t="n">
        <v>1172.76677330007</v>
      </c>
      <c r="AE3" s="55" t="n">
        <v>1157.48825490115</v>
      </c>
      <c r="AF3" s="56" t="n">
        <v>1177.56827191917</v>
      </c>
      <c r="AG3" s="55" t="n">
        <v>1103.49461040936</v>
      </c>
      <c r="AH3" s="55" t="n">
        <v>944.657850094641</v>
      </c>
      <c r="AI3" s="50" t="n">
        <v>1191.57504625014</v>
      </c>
      <c r="AJ3" s="51" t="n">
        <v>1144.25447635615</v>
      </c>
      <c r="AK3" s="55" t="n">
        <v>1096.5901077552</v>
      </c>
      <c r="AL3" s="55" t="n">
        <v>1068.43234745447</v>
      </c>
      <c r="AM3" s="55" t="n">
        <v>1001.9714396309</v>
      </c>
      <c r="AN3" s="52" t="n">
        <v>1031.37167369587</v>
      </c>
      <c r="AO3" s="51" t="n">
        <v>1023.46907751266</v>
      </c>
      <c r="AP3" s="57" t="n">
        <v>1007.49769856477</v>
      </c>
      <c r="AQ3" s="58" t="n">
        <v>1000</v>
      </c>
    </row>
    <row r="4" s="59" customFormat="true" ht="12.8" hidden="true" customHeight="false" outlineLevel="1" collapsed="false">
      <c r="A4" s="53"/>
      <c r="B4" s="54"/>
      <c r="C4" s="48"/>
      <c r="D4" s="49"/>
      <c r="E4" s="48"/>
      <c r="F4" s="49" t="n">
        <f aca="false">F5/H5-1</f>
        <v>0.0751903064692208</v>
      </c>
      <c r="G4" s="48"/>
      <c r="H4" s="49" t="n">
        <f aca="false">H5/I5-1</f>
        <v>0.0589097502826561</v>
      </c>
      <c r="I4" s="50"/>
      <c r="J4" s="51" t="n">
        <f aca="false">J5/L5-1</f>
        <v>0.0285900545458002</v>
      </c>
      <c r="K4" s="48"/>
      <c r="L4" s="49" t="n">
        <f aca="false">L5/O5-1</f>
        <v>0.0130752856846421</v>
      </c>
      <c r="M4" s="48"/>
      <c r="N4" s="48"/>
      <c r="O4" s="49" t="n">
        <f aca="false">O5/P5-1</f>
        <v>-0.00106132055609975</v>
      </c>
      <c r="P4" s="52" t="n">
        <f aca="false">P5/Q5-1</f>
        <v>0.0534371397451658</v>
      </c>
      <c r="Q4" s="51" t="n">
        <f aca="false">Q5/R5-1</f>
        <v>0.0446394684228131</v>
      </c>
      <c r="R4" s="49" t="n">
        <f aca="false">R5/T5-1</f>
        <v>-0.0629232375501414</v>
      </c>
      <c r="S4" s="48"/>
      <c r="T4" s="49" t="n">
        <f aca="false">T5/U5-1</f>
        <v>-0.0530549880517073</v>
      </c>
      <c r="U4" s="49" t="n">
        <f aca="false">U5/Y5-1</f>
        <v>0.0521470073083254</v>
      </c>
      <c r="V4" s="48"/>
      <c r="W4" s="48"/>
      <c r="X4" s="50"/>
      <c r="Y4" s="51" t="n">
        <f aca="false">Y5/Z5-1</f>
        <v>0.0704604657759089</v>
      </c>
      <c r="Z4" s="49" t="n">
        <f aca="false">Z5/AB5-1</f>
        <v>0.0741311205516355</v>
      </c>
      <c r="AA4" s="48"/>
      <c r="AB4" s="49" t="n">
        <f aca="false">AB5/AC5-1</f>
        <v>0.0631837398761928</v>
      </c>
      <c r="AC4" s="52" t="n">
        <f aca="false">AC5/AD5-1</f>
        <v>0.0584263693035603</v>
      </c>
      <c r="AD4" s="51" t="n">
        <f aca="false">AD5/AE5-1</f>
        <v>0.0095126652933013</v>
      </c>
      <c r="AE4" s="49" t="n">
        <f aca="false">AE5/AG5-1</f>
        <v>0.046974378005636</v>
      </c>
      <c r="AF4" s="48"/>
      <c r="AG4" s="49" t="n">
        <f aca="false">AG5/AH5-1</f>
        <v>0.152573067412629</v>
      </c>
      <c r="AH4" s="49" t="n">
        <f aca="false">AH5/AJ5-1</f>
        <v>-0.166436514427882</v>
      </c>
      <c r="AI4" s="50"/>
      <c r="AJ4" s="51" t="n">
        <f aca="false">AJ5/AK5-1</f>
        <v>0.0404231295997901</v>
      </c>
      <c r="AK4" s="49" t="n">
        <f aca="false">AK5/AM5-1</f>
        <v>0.0853081389922654</v>
      </c>
      <c r="AL4" s="49"/>
      <c r="AM4" s="49" t="n">
        <f aca="false">AM5/AN5-1</f>
        <v>-0.0305916686146661</v>
      </c>
      <c r="AN4" s="52" t="n">
        <f aca="false">AN5/AO5-1</f>
        <v>0.00913866442946132</v>
      </c>
      <c r="AO4" s="51" t="n">
        <f aca="false">AO5/AP5-1</f>
        <v>0.0157037938965408</v>
      </c>
      <c r="AP4" s="60" t="s">
        <v>80</v>
      </c>
      <c r="AQ4" s="58"/>
    </row>
    <row r="5" s="59" customFormat="true" ht="12.8" hidden="false" customHeight="false" outlineLevel="0" collapsed="false">
      <c r="A5" s="53" t="s">
        <v>82</v>
      </c>
      <c r="B5" s="54" t="n">
        <v>2216.23792496176</v>
      </c>
      <c r="C5" s="48" t="n">
        <v>2158.74343574608</v>
      </c>
      <c r="D5" s="55" t="n">
        <v>2211.74420443663</v>
      </c>
      <c r="E5" s="56" t="n">
        <v>2132.12556367939</v>
      </c>
      <c r="F5" s="55" t="n">
        <v>2033.66179080457</v>
      </c>
      <c r="G5" s="56" t="n">
        <v>1878.1380748435</v>
      </c>
      <c r="H5" s="55" t="n">
        <v>1891.44356916948</v>
      </c>
      <c r="I5" s="50" t="n">
        <v>1786.21791768807</v>
      </c>
      <c r="J5" s="51" t="n">
        <v>1588.47620755325</v>
      </c>
      <c r="K5" s="48" t="n">
        <v>1584.8539228282</v>
      </c>
      <c r="L5" s="55" t="n">
        <v>1544.32390293204</v>
      </c>
      <c r="M5" s="56" t="n">
        <v>1542.97401297869</v>
      </c>
      <c r="N5" s="56" t="n">
        <v>1537.04718235714</v>
      </c>
      <c r="O5" s="55" t="n">
        <v>1524.39204149411</v>
      </c>
      <c r="P5" s="52" t="n">
        <v>1526.01162900482</v>
      </c>
      <c r="Q5" s="51" t="n">
        <v>1448.60245707112</v>
      </c>
      <c r="R5" s="55" t="n">
        <v>1386.70086748513</v>
      </c>
      <c r="S5" s="56" t="n">
        <v>1456.55058843393</v>
      </c>
      <c r="T5" s="55" t="n">
        <v>1479.81565977561</v>
      </c>
      <c r="U5" s="55" t="n">
        <v>1562.72607290149</v>
      </c>
      <c r="V5" s="56" t="n">
        <v>1523.05543404351</v>
      </c>
      <c r="W5" s="56" t="n">
        <v>1456.68323299085</v>
      </c>
      <c r="X5" s="50" t="n">
        <v>1562.65497412156</v>
      </c>
      <c r="Y5" s="51" t="n">
        <v>1485.27350460214</v>
      </c>
      <c r="Z5" s="55" t="n">
        <v>1387.5089758925</v>
      </c>
      <c r="AA5" s="56" t="n">
        <v>1442.5659041325</v>
      </c>
      <c r="AB5" s="55" t="n">
        <v>1291.75009395494</v>
      </c>
      <c r="AC5" s="52" t="n">
        <v>1214.98292863787</v>
      </c>
      <c r="AD5" s="51" t="n">
        <v>1147.91445477433</v>
      </c>
      <c r="AE5" s="55" t="n">
        <v>1137.09762565566</v>
      </c>
      <c r="AF5" s="56" t="n">
        <v>1156.02576880072</v>
      </c>
      <c r="AG5" s="55" t="n">
        <v>1086.07970695682</v>
      </c>
      <c r="AH5" s="55" t="n">
        <v>942.308767803262</v>
      </c>
      <c r="AI5" s="50" t="n">
        <v>1174.77816910207</v>
      </c>
      <c r="AJ5" s="51" t="n">
        <v>1130.45830835129</v>
      </c>
      <c r="AK5" s="55" t="n">
        <v>1086.53707918444</v>
      </c>
      <c r="AL5" s="55" t="n">
        <v>1060.30138968193</v>
      </c>
      <c r="AM5" s="55" t="n">
        <v>1001.13234218746</v>
      </c>
      <c r="AN5" s="52" t="n">
        <v>1032.72512704403</v>
      </c>
      <c r="AO5" s="51" t="n">
        <v>1023.37286583693</v>
      </c>
      <c r="AP5" s="61" t="n">
        <v>1007.5505004377</v>
      </c>
      <c r="AQ5" s="58" t="n">
        <v>1000</v>
      </c>
    </row>
    <row r="6" s="59" customFormat="true" ht="12.8" hidden="true" customHeight="false" outlineLevel="1" collapsed="false">
      <c r="A6" s="53"/>
      <c r="B6" s="54"/>
      <c r="C6" s="48"/>
      <c r="D6" s="49"/>
      <c r="E6" s="48"/>
      <c r="F6" s="49" t="n">
        <f aca="false">F7/H7-1</f>
        <v>0.126638952009817</v>
      </c>
      <c r="G6" s="48"/>
      <c r="H6" s="49" t="n">
        <f aca="false">H7/I7-1</f>
        <v>0.111739731132069</v>
      </c>
      <c r="I6" s="50"/>
      <c r="J6" s="51" t="n">
        <f aca="false">J7/L7-1</f>
        <v>0.086177054745999</v>
      </c>
      <c r="K6" s="48"/>
      <c r="L6" s="49" t="n">
        <f aca="false">L7/O7-1</f>
        <v>0.0700687211084821</v>
      </c>
      <c r="M6" s="48"/>
      <c r="N6" s="48"/>
      <c r="O6" s="49" t="n">
        <f aca="false">O7/P7-1</f>
        <v>-0.0492727773938766</v>
      </c>
      <c r="P6" s="52" t="n">
        <f aca="false">P7/Q7-1</f>
        <v>0.0459812985059822</v>
      </c>
      <c r="Q6" s="51" t="n">
        <f aca="false">Q7/R7-1</f>
        <v>0.02996709809105</v>
      </c>
      <c r="R6" s="49" t="n">
        <f aca="false">R7/T7-1</f>
        <v>-0.0459099427914006</v>
      </c>
      <c r="S6" s="48"/>
      <c r="T6" s="49" t="n">
        <f aca="false">T7/U7-1</f>
        <v>-0.0975496436882971</v>
      </c>
      <c r="U6" s="49" t="n">
        <f aca="false">U7/Y7-1</f>
        <v>0.0506410349786479</v>
      </c>
      <c r="V6" s="48"/>
      <c r="W6" s="48"/>
      <c r="X6" s="50"/>
      <c r="Y6" s="51" t="n">
        <f aca="false">Y7/Z7-1</f>
        <v>0.115472417865164</v>
      </c>
      <c r="Z6" s="49" t="n">
        <f aca="false">Z7/AB7-1</f>
        <v>0.15237848942295</v>
      </c>
      <c r="AA6" s="48"/>
      <c r="AB6" s="49" t="n">
        <f aca="false">AB7/AC7-1</f>
        <v>0.0826875352615502</v>
      </c>
      <c r="AC6" s="52" t="n">
        <f aca="false">AC7/AD7-1</f>
        <v>0.0492732525059125</v>
      </c>
      <c r="AD6" s="51" t="n">
        <f aca="false">AD7/AE7-1</f>
        <v>0.0348046507125159</v>
      </c>
      <c r="AE6" s="49" t="n">
        <f aca="false">AE7/AG7-1</f>
        <v>0.113684268045682</v>
      </c>
      <c r="AF6" s="48"/>
      <c r="AG6" s="49" t="n">
        <f aca="false">AG7/AH7-1</f>
        <v>0.118047955037103</v>
      </c>
      <c r="AH6" s="49" t="n">
        <f aca="false">AH7/AJ7-1</f>
        <v>-0.206371916380773</v>
      </c>
      <c r="AI6" s="50"/>
      <c r="AJ6" s="51" t="n">
        <f aca="false">AJ7/AK7-1</f>
        <v>0.0322399518467831</v>
      </c>
      <c r="AK6" s="49" t="n">
        <f aca="false">AK7/AM7-1</f>
        <v>0.127597136657101</v>
      </c>
      <c r="AL6" s="49"/>
      <c r="AM6" s="49" t="n">
        <f aca="false">AM7/AN7-1</f>
        <v>-0.0833495228440854</v>
      </c>
      <c r="AN6" s="52" t="n">
        <f aca="false">AN7/AO7-1</f>
        <v>0.0113749251140405</v>
      </c>
      <c r="AO6" s="51" t="n">
        <f aca="false">AO7/AP7-1</f>
        <v>0.0245943660795611</v>
      </c>
      <c r="AP6" s="60" t="s">
        <v>80</v>
      </c>
      <c r="AQ6" s="58"/>
    </row>
    <row r="7" s="59" customFormat="true" ht="12.8" hidden="false" customHeight="false" outlineLevel="0" collapsed="false">
      <c r="A7" s="53" t="s">
        <v>83</v>
      </c>
      <c r="B7" s="54" t="n">
        <v>2967.16438808461</v>
      </c>
      <c r="C7" s="48" t="n">
        <v>2849.184743394</v>
      </c>
      <c r="D7" s="55" t="n">
        <v>2934.13606352296</v>
      </c>
      <c r="E7" s="56" t="n">
        <v>2786.422056701</v>
      </c>
      <c r="F7" s="55" t="n">
        <v>2599.17112228757</v>
      </c>
      <c r="G7" s="56" t="n">
        <v>2295.74397368338</v>
      </c>
      <c r="H7" s="55" t="n">
        <v>2307.01336719354</v>
      </c>
      <c r="I7" s="50" t="n">
        <v>2075.13800450789</v>
      </c>
      <c r="J7" s="51" t="n">
        <v>1810.70093415713</v>
      </c>
      <c r="K7" s="48" t="n">
        <v>1774.60490134432</v>
      </c>
      <c r="L7" s="55" t="n">
        <v>1667.04031009066</v>
      </c>
      <c r="M7" s="56" t="n">
        <v>1668.32494628544</v>
      </c>
      <c r="N7" s="56" t="n">
        <v>1649.44676758636</v>
      </c>
      <c r="O7" s="55" t="n">
        <v>1557.88154275155</v>
      </c>
      <c r="P7" s="52" t="n">
        <v>1638.62094795298</v>
      </c>
      <c r="Q7" s="51" t="n">
        <v>1566.58723276744</v>
      </c>
      <c r="R7" s="55" t="n">
        <v>1521.00706485767</v>
      </c>
      <c r="S7" s="56" t="n">
        <v>1602.32224251837</v>
      </c>
      <c r="T7" s="55" t="n">
        <v>1594.19653665369</v>
      </c>
      <c r="U7" s="55" t="n">
        <v>1766.51992600362</v>
      </c>
      <c r="V7" s="56" t="n">
        <v>1691.21528138643</v>
      </c>
      <c r="W7" s="56" t="n">
        <v>1589.66528825362</v>
      </c>
      <c r="X7" s="50" t="n">
        <v>1758.21433547699</v>
      </c>
      <c r="Y7" s="51" t="n">
        <v>1681.37343506626</v>
      </c>
      <c r="Z7" s="55" t="n">
        <v>1507.31959673565</v>
      </c>
      <c r="AA7" s="56" t="n">
        <v>1562.74740298156</v>
      </c>
      <c r="AB7" s="55" t="n">
        <v>1308.00740431248</v>
      </c>
      <c r="AC7" s="52" t="n">
        <v>1208.11163120715</v>
      </c>
      <c r="AD7" s="51" t="n">
        <v>1151.37942220665</v>
      </c>
      <c r="AE7" s="55" t="n">
        <v>1112.65389212724</v>
      </c>
      <c r="AF7" s="56" t="n">
        <v>1141.13414569332</v>
      </c>
      <c r="AG7" s="55" t="n">
        <v>999.074804279807</v>
      </c>
      <c r="AH7" s="55" t="n">
        <v>893.588508237692</v>
      </c>
      <c r="AI7" s="50" t="n">
        <v>1228.45764007316</v>
      </c>
      <c r="AJ7" s="51" t="n">
        <v>1125.95373914014</v>
      </c>
      <c r="AK7" s="55" t="n">
        <v>1090.78682444493</v>
      </c>
      <c r="AL7" s="55" t="n">
        <v>1088.53608504996</v>
      </c>
      <c r="AM7" s="55" t="n">
        <v>967.355085415258</v>
      </c>
      <c r="AN7" s="52" t="n">
        <v>1055.31509503673</v>
      </c>
      <c r="AO7" s="51" t="n">
        <v>1043.44597520819</v>
      </c>
      <c r="AP7" s="57" t="n">
        <v>1018.39909504945</v>
      </c>
      <c r="AQ7" s="58" t="n">
        <v>1000</v>
      </c>
    </row>
    <row r="8" s="59" customFormat="true" ht="12.8" hidden="true" customHeight="false" outlineLevel="1" collapsed="false">
      <c r="A8" s="53"/>
      <c r="B8" s="54"/>
      <c r="C8" s="48"/>
      <c r="D8" s="49"/>
      <c r="E8" s="48"/>
      <c r="F8" s="49" t="n">
        <f aca="false">F9/H9-1</f>
        <v>0.219885331405852</v>
      </c>
      <c r="G8" s="48"/>
      <c r="H8" s="49" t="n">
        <f aca="false">H9/I9-1</f>
        <v>0.0292086006702192</v>
      </c>
      <c r="I8" s="50"/>
      <c r="J8" s="51" t="n">
        <f aca="false">J9/L9-1</f>
        <v>0.0664419146869029</v>
      </c>
      <c r="K8" s="48"/>
      <c r="L8" s="49" t="n">
        <f aca="false">L9/O9-1</f>
        <v>-0.0336467434433144</v>
      </c>
      <c r="M8" s="48"/>
      <c r="N8" s="48"/>
      <c r="O8" s="49" t="n">
        <f aca="false">O9/P9-1</f>
        <v>-0.0274044765527453</v>
      </c>
      <c r="P8" s="52" t="n">
        <f aca="false">P9/Q9-1</f>
        <v>0.0402239206337425</v>
      </c>
      <c r="Q8" s="51" t="n">
        <f aca="false">Q9/R9-1</f>
        <v>0.0150650939521866</v>
      </c>
      <c r="R8" s="49" t="n">
        <f aca="false">R9/T9-1</f>
        <v>-0.221877369594343</v>
      </c>
      <c r="S8" s="48"/>
      <c r="T8" s="49" t="n">
        <f aca="false">T9/U9-1</f>
        <v>-0.172757917077493</v>
      </c>
      <c r="U8" s="49" t="n">
        <f aca="false">U9/Y9-1</f>
        <v>0.203208417857311</v>
      </c>
      <c r="V8" s="48"/>
      <c r="W8" s="48"/>
      <c r="X8" s="50"/>
      <c r="Y8" s="51" t="n">
        <f aca="false">Y9/Z9-1</f>
        <v>-0.00924186264030968</v>
      </c>
      <c r="Z8" s="49" t="n">
        <f aca="false">Z9/AB9-1</f>
        <v>0.246156248556082</v>
      </c>
      <c r="AA8" s="48"/>
      <c r="AB8" s="49" t="n">
        <f aca="false">AB9/AC9-1</f>
        <v>-0.0216179892993509</v>
      </c>
      <c r="AC8" s="52" t="n">
        <f aca="false">AC9/AD9-1</f>
        <v>0.143414675845683</v>
      </c>
      <c r="AD8" s="51" t="n">
        <f aca="false">AD9/AE9-1</f>
        <v>0.0487004662186141</v>
      </c>
      <c r="AE8" s="49" t="n">
        <f aca="false">AE9/AG9-1</f>
        <v>0.00827125128892714</v>
      </c>
      <c r="AF8" s="48"/>
      <c r="AG8" s="49" t="n">
        <f aca="false">AG9/AH9-1</f>
        <v>0.0652033666378935</v>
      </c>
      <c r="AH8" s="49" t="n">
        <f aca="false">AH9/AJ9-1</f>
        <v>-0.0459871134171241</v>
      </c>
      <c r="AI8" s="50"/>
      <c r="AJ8" s="51" t="n">
        <f aca="false">AJ9/AK9-1</f>
        <v>0.10745984985817</v>
      </c>
      <c r="AK8" s="49" t="n">
        <f aca="false">AK9/AM9-1</f>
        <v>-0.00616519292999229</v>
      </c>
      <c r="AL8" s="49"/>
      <c r="AM8" s="49" t="n">
        <f aca="false">AM9/AN9-1</f>
        <v>-0.0286355513036596</v>
      </c>
      <c r="AN8" s="52" t="n">
        <f aca="false">AN9/AO9-1</f>
        <v>0.0251710968736292</v>
      </c>
      <c r="AO8" s="51" t="n">
        <f aca="false">AO9/AP9-1</f>
        <v>-0.0236587449553231</v>
      </c>
      <c r="AP8" s="60" t="s">
        <v>80</v>
      </c>
      <c r="AQ8" s="58"/>
    </row>
    <row r="9" s="59" customFormat="true" ht="12.8" hidden="false" customHeight="false" outlineLevel="0" collapsed="false">
      <c r="A9" s="53" t="s">
        <v>84</v>
      </c>
      <c r="B9" s="54" t="n">
        <v>1541.50383701283</v>
      </c>
      <c r="C9" s="48" t="n">
        <v>1590.23985586307</v>
      </c>
      <c r="D9" s="55" t="n">
        <v>1590.25852269658</v>
      </c>
      <c r="E9" s="56" t="n">
        <v>1604.0945877875</v>
      </c>
      <c r="F9" s="55" t="n">
        <v>1613.55935228735</v>
      </c>
      <c r="G9" s="56" t="n">
        <v>1315.6761014154</v>
      </c>
      <c r="H9" s="55" t="n">
        <v>1322.71395576813</v>
      </c>
      <c r="I9" s="50" t="n">
        <v>1285.17576991368</v>
      </c>
      <c r="J9" s="51" t="n">
        <v>1291.33189068898</v>
      </c>
      <c r="K9" s="48" t="n">
        <v>1207.14193033547</v>
      </c>
      <c r="L9" s="55" t="n">
        <v>1210.87878571249</v>
      </c>
      <c r="M9" s="56" t="n">
        <v>1211.10271061625</v>
      </c>
      <c r="N9" s="56" t="n">
        <v>1213.14122036019</v>
      </c>
      <c r="O9" s="55" t="n">
        <v>1253.03948374645</v>
      </c>
      <c r="P9" s="52" t="n">
        <v>1288.34592956504</v>
      </c>
      <c r="Q9" s="51" t="n">
        <v>1238.52749779118</v>
      </c>
      <c r="R9" s="55" t="n">
        <v>1220.14588539237</v>
      </c>
      <c r="S9" s="56" t="n">
        <v>1201.25690599736</v>
      </c>
      <c r="T9" s="55" t="n">
        <v>1568.06374434358</v>
      </c>
      <c r="U9" s="55" t="n">
        <v>1895.53188445621</v>
      </c>
      <c r="V9" s="56" t="n">
        <v>1854.97914589338</v>
      </c>
      <c r="W9" s="56" t="n">
        <v>1860.65556872531</v>
      </c>
      <c r="X9" s="50" t="n">
        <v>1846.69162091404</v>
      </c>
      <c r="Y9" s="51" t="n">
        <v>1575.39779170744</v>
      </c>
      <c r="Z9" s="55" t="n">
        <v>1590.09321478376</v>
      </c>
      <c r="AA9" s="56" t="n">
        <v>1498.02053658996</v>
      </c>
      <c r="AB9" s="55" t="n">
        <v>1275.99826797498</v>
      </c>
      <c r="AC9" s="52" t="n">
        <v>1304.1922827886</v>
      </c>
      <c r="AD9" s="51" t="n">
        <v>1140.61180981782</v>
      </c>
      <c r="AE9" s="55" t="n">
        <v>1087.64308452214</v>
      </c>
      <c r="AF9" s="56" t="n">
        <v>1094.71399173852</v>
      </c>
      <c r="AG9" s="55" t="n">
        <v>1078.72071442258</v>
      </c>
      <c r="AH9" s="55" t="n">
        <v>1012.68992213886</v>
      </c>
      <c r="AI9" s="50" t="n">
        <v>1018.1650665603</v>
      </c>
      <c r="AJ9" s="51" t="n">
        <v>1061.50549576553</v>
      </c>
      <c r="AK9" s="55" t="n">
        <v>958.504722226702</v>
      </c>
      <c r="AL9" s="55" t="n">
        <v>965.867422312371</v>
      </c>
      <c r="AM9" s="55" t="n">
        <v>964.450747154384</v>
      </c>
      <c r="AN9" s="52" t="n">
        <v>992.882484477134</v>
      </c>
      <c r="AO9" s="51" t="n">
        <v>968.504172137741</v>
      </c>
      <c r="AP9" s="57" t="n">
        <v>991.97300854958</v>
      </c>
      <c r="AQ9" s="58" t="n">
        <v>1000</v>
      </c>
    </row>
    <row r="10" s="59" customFormat="true" ht="12.8" hidden="true" customHeight="false" outlineLevel="1" collapsed="false">
      <c r="A10" s="53"/>
      <c r="B10" s="54"/>
      <c r="C10" s="48"/>
      <c r="D10" s="49"/>
      <c r="E10" s="48"/>
      <c r="F10" s="49" t="n">
        <f aca="false">F11/H11-1</f>
        <v>0.000478165742423986</v>
      </c>
      <c r="G10" s="48"/>
      <c r="H10" s="49" t="n">
        <f aca="false">H11/I11-1</f>
        <v>0.00224272135348658</v>
      </c>
      <c r="I10" s="50"/>
      <c r="J10" s="51" t="n">
        <f aca="false">J11/L11-1</f>
        <v>0.0307793358416208</v>
      </c>
      <c r="K10" s="48"/>
      <c r="L10" s="49" t="n">
        <f aca="false">L11/O11-1</f>
        <v>-0.0206603205957236</v>
      </c>
      <c r="M10" s="48"/>
      <c r="N10" s="48"/>
      <c r="O10" s="49" t="n">
        <f aca="false">O11/P11-1</f>
        <v>-0.000779257696527647</v>
      </c>
      <c r="P10" s="52" t="n">
        <f aca="false">P11/Q11-1</f>
        <v>0.0564445818618138</v>
      </c>
      <c r="Q10" s="51" t="n">
        <f aca="false">Q11/R11-1</f>
        <v>0.0832533008380407</v>
      </c>
      <c r="R10" s="49" t="n">
        <f aca="false">R11/T11-1</f>
        <v>-0.0523580105847259</v>
      </c>
      <c r="S10" s="48"/>
      <c r="T10" s="49" t="n">
        <f aca="false">T11/U11-1</f>
        <v>-0.0808115237505181</v>
      </c>
      <c r="U10" s="49" t="n">
        <f aca="false">U11/Y11-1</f>
        <v>-0.0135708103263369</v>
      </c>
      <c r="V10" s="48"/>
      <c r="W10" s="48"/>
      <c r="X10" s="50"/>
      <c r="Y10" s="51" t="n">
        <f aca="false">Y11/Z11-1</f>
        <v>0.0998217664755281</v>
      </c>
      <c r="Z10" s="49" t="n">
        <f aca="false">Z11/AB11-1</f>
        <v>0.126431745475228</v>
      </c>
      <c r="AA10" s="48"/>
      <c r="AB10" s="49" t="n">
        <f aca="false">AB11/AC11-1</f>
        <v>0.0985173195148892</v>
      </c>
      <c r="AC10" s="52" t="n">
        <f aca="false">AC11/AD11-1</f>
        <v>0.0901527270512526</v>
      </c>
      <c r="AD10" s="51" t="n">
        <f aca="false">AD11/AE11-1</f>
        <v>0.0558911699477727</v>
      </c>
      <c r="AE10" s="49" t="n">
        <f aca="false">AE11/AG11-1</f>
        <v>0.0561285182778071</v>
      </c>
      <c r="AF10" s="48"/>
      <c r="AG10" s="49" t="n">
        <f aca="false">AG11/AH11-1</f>
        <v>0.306311693550381</v>
      </c>
      <c r="AH10" s="49" t="n">
        <f aca="false">AH11/AJ11-1</f>
        <v>-0.229477930106014</v>
      </c>
      <c r="AI10" s="50"/>
      <c r="AJ10" s="51" t="n">
        <f aca="false">AJ11/AK11-1</f>
        <v>0.0720245945338363</v>
      </c>
      <c r="AK10" s="49" t="n">
        <f aca="false">AK11/AM11-1</f>
        <v>0.305088817195801</v>
      </c>
      <c r="AL10" s="49"/>
      <c r="AM10" s="49" t="n">
        <f aca="false">AM11/AN11-1</f>
        <v>0.0863798627573882</v>
      </c>
      <c r="AN10" s="52" t="n">
        <f aca="false">AN11/AO11-1</f>
        <v>0.0346139028934156</v>
      </c>
      <c r="AO10" s="51" t="n">
        <f aca="false">AO11/AP11-1</f>
        <v>-0.0204281587369208</v>
      </c>
      <c r="AP10" s="60" t="s">
        <v>80</v>
      </c>
      <c r="AQ10" s="58"/>
    </row>
    <row r="11" s="55" customFormat="true" ht="12.8" hidden="false" customHeight="false" outlineLevel="0" collapsed="false">
      <c r="A11" s="62" t="s">
        <v>85</v>
      </c>
      <c r="B11" s="54" t="n">
        <v>3261.83408666006</v>
      </c>
      <c r="C11" s="48" t="n">
        <v>3227.14660670358</v>
      </c>
      <c r="D11" s="55" t="n">
        <v>3277.23791944296</v>
      </c>
      <c r="E11" s="56" t="n">
        <v>3239.40730755991</v>
      </c>
      <c r="F11" s="55" t="n">
        <v>3014.03999044197</v>
      </c>
      <c r="G11" s="56" t="n">
        <v>2945.52526915718</v>
      </c>
      <c r="H11" s="55" t="n">
        <v>3012.59946858045</v>
      </c>
      <c r="I11" s="50" t="n">
        <v>3005.85816628537</v>
      </c>
      <c r="J11" s="51" t="n">
        <v>2653.99511190498</v>
      </c>
      <c r="K11" s="48" t="n">
        <v>2621.16082050988</v>
      </c>
      <c r="L11" s="55" t="n">
        <v>2574.74613588176</v>
      </c>
      <c r="M11" s="56" t="n">
        <v>2561.95181969685</v>
      </c>
      <c r="N11" s="56" t="n">
        <v>2567.71841734088</v>
      </c>
      <c r="O11" s="55" t="n">
        <v>2629.06342919543</v>
      </c>
      <c r="P11" s="52" t="n">
        <v>2631.11374483153</v>
      </c>
      <c r="Q11" s="51" t="n">
        <v>2490.53645596309</v>
      </c>
      <c r="R11" s="55" t="n">
        <v>2299.1265792002</v>
      </c>
      <c r="S11" s="56" t="n">
        <v>2437.14372586559</v>
      </c>
      <c r="T11" s="55" t="n">
        <v>2426.15524098804</v>
      </c>
      <c r="U11" s="55" t="n">
        <v>2639.45350020853</v>
      </c>
      <c r="V11" s="56" t="n">
        <v>2533.78107191533</v>
      </c>
      <c r="W11" s="56" t="n">
        <v>2350.58875847638</v>
      </c>
      <c r="X11" s="50" t="n">
        <v>2649.93929530379</v>
      </c>
      <c r="Y11" s="51" t="n">
        <v>2675.76581050053</v>
      </c>
      <c r="Z11" s="55" t="n">
        <v>2432.90857851927</v>
      </c>
      <c r="AA11" s="56" t="n">
        <v>2587.82091929685</v>
      </c>
      <c r="AB11" s="55" t="n">
        <v>2159.83665969291</v>
      </c>
      <c r="AC11" s="52" t="n">
        <v>1966.13801286875</v>
      </c>
      <c r="AD11" s="51" t="n">
        <v>1803.54363574996</v>
      </c>
      <c r="AE11" s="55" t="n">
        <v>1708.07720253894</v>
      </c>
      <c r="AF11" s="56" t="n">
        <v>1771.13595226588</v>
      </c>
      <c r="AG11" s="55" t="n">
        <v>1617.30052070201</v>
      </c>
      <c r="AH11" s="55" t="n">
        <v>1238.06632726865</v>
      </c>
      <c r="AI11" s="50" t="n">
        <v>1775.09311725671</v>
      </c>
      <c r="AJ11" s="51" t="n">
        <v>1606.7889235658</v>
      </c>
      <c r="AK11" s="55" t="n">
        <v>1498.83587723517</v>
      </c>
      <c r="AL11" s="55" t="n">
        <v>1307.94718552635</v>
      </c>
      <c r="AM11" s="55" t="n">
        <v>1148.45507637991</v>
      </c>
      <c r="AN11" s="52" t="n">
        <v>1057.13951054373</v>
      </c>
      <c r="AO11" s="51" t="n">
        <v>1021.7719939654</v>
      </c>
      <c r="AP11" s="57" t="n">
        <v>1043.08020190526</v>
      </c>
      <c r="AQ11" s="58" t="n">
        <v>1000</v>
      </c>
    </row>
    <row r="12" s="59" customFormat="true" ht="12.8" hidden="true" customHeight="false" outlineLevel="1" collapsed="false">
      <c r="A12" s="53"/>
      <c r="B12" s="54"/>
      <c r="C12" s="48"/>
      <c r="D12" s="49"/>
      <c r="E12" s="48"/>
      <c r="F12" s="49" t="n">
        <f aca="false">F13/H13-1</f>
        <v>-0.0215621819447619</v>
      </c>
      <c r="G12" s="48"/>
      <c r="H12" s="49" t="n">
        <f aca="false">H13/I13-1</f>
        <v>-0.00413930232619864</v>
      </c>
      <c r="I12" s="50"/>
      <c r="J12" s="51" t="n">
        <f aca="false">J13/L13-1</f>
        <v>-0.0482539833097416</v>
      </c>
      <c r="K12" s="48"/>
      <c r="L12" s="49" t="n">
        <f aca="false">L13/O13-1</f>
        <v>-0.00684445482541618</v>
      </c>
      <c r="M12" s="48"/>
      <c r="N12" s="48"/>
      <c r="O12" s="49" t="n">
        <f aca="false">O13/P13-1</f>
        <v>0.0553659732518628</v>
      </c>
      <c r="P12" s="52" t="n">
        <f aca="false">P13/Q13-1</f>
        <v>0.0626048010039719</v>
      </c>
      <c r="Q12" s="51" t="n">
        <f aca="false">Q13/R13-1</f>
        <v>0.0478730586283014</v>
      </c>
      <c r="R12" s="49" t="n">
        <f aca="false">R13/T13-1</f>
        <v>-0.0598563003910776</v>
      </c>
      <c r="S12" s="48"/>
      <c r="T12" s="49" t="n">
        <f aca="false">T13/U13-1</f>
        <v>0.0407205409834224</v>
      </c>
      <c r="U12" s="49" t="n">
        <f aca="false">U13/Y13-1</f>
        <v>0.0567956698414871</v>
      </c>
      <c r="V12" s="48"/>
      <c r="W12" s="48"/>
      <c r="X12" s="50"/>
      <c r="Y12" s="51" t="n">
        <f aca="false">Y13/Z13-1</f>
        <v>0.0285238912746231</v>
      </c>
      <c r="Z12" s="49" t="n">
        <f aca="false">Z13/AB13-1</f>
        <v>-0.0266371018547762</v>
      </c>
      <c r="AA12" s="48"/>
      <c r="AB12" s="49" t="n">
        <f aca="false">AB13/AC13-1</f>
        <v>0.0559365660357798</v>
      </c>
      <c r="AC12" s="52" t="n">
        <f aca="false">AC13/AD13-1</f>
        <v>0.0418222506624737</v>
      </c>
      <c r="AD12" s="51" t="n">
        <f aca="false">AD13/AE13-1</f>
        <v>-0.0178475241695881</v>
      </c>
      <c r="AE12" s="49" t="n">
        <f aca="false">AE13/AG13-1</f>
        <v>0.0184758795793627</v>
      </c>
      <c r="AF12" s="48"/>
      <c r="AG12" s="49" t="n">
        <f aca="false">AG13/AH13-1</f>
        <v>0.166070584889501</v>
      </c>
      <c r="AH12" s="49" t="n">
        <f aca="false">AH13/AJ13-1</f>
        <v>-0.142059893078082</v>
      </c>
      <c r="AI12" s="50"/>
      <c r="AJ12" s="51" t="n">
        <f aca="false">AJ13/AK13-1</f>
        <v>0.034482082212256</v>
      </c>
      <c r="AK12" s="49" t="n">
        <f aca="false">AK13/AM13-1</f>
        <v>0.0517394425383806</v>
      </c>
      <c r="AL12" s="49"/>
      <c r="AM12" s="49" t="n">
        <f aca="false">AM13/AN13-1</f>
        <v>-0.010599198904391</v>
      </c>
      <c r="AN12" s="52" t="n">
        <f aca="false">AN13/AO13-1</f>
        <v>-0.00291170634872007</v>
      </c>
      <c r="AO12" s="51" t="n">
        <f aca="false">AO13/AP13-1</f>
        <v>0.00781374891239572</v>
      </c>
      <c r="AP12" s="60" t="s">
        <v>80</v>
      </c>
      <c r="AQ12" s="58"/>
    </row>
    <row r="13" s="59" customFormat="true" ht="12.8" hidden="false" customHeight="false" outlineLevel="0" collapsed="false">
      <c r="A13" s="53" t="s">
        <v>86</v>
      </c>
      <c r="B13" s="54" t="n">
        <v>1416.77812908266</v>
      </c>
      <c r="C13" s="48" t="n">
        <v>1423.43975672933</v>
      </c>
      <c r="D13" s="55" t="n">
        <v>1447.82349858753</v>
      </c>
      <c r="E13" s="56" t="n">
        <v>1454.33769537092</v>
      </c>
      <c r="F13" s="55" t="n">
        <v>1476.51319471387</v>
      </c>
      <c r="G13" s="56" t="n">
        <v>1496.75471760638</v>
      </c>
      <c r="H13" s="55" t="n">
        <v>1509.05164075589</v>
      </c>
      <c r="I13" s="50" t="n">
        <v>1515.32402501759</v>
      </c>
      <c r="J13" s="51" t="n">
        <v>1371.09995242497</v>
      </c>
      <c r="K13" s="48" t="n">
        <v>1479.71443068263</v>
      </c>
      <c r="L13" s="55" t="n">
        <v>1440.61538307566</v>
      </c>
      <c r="M13" s="56" t="n">
        <v>1440.52810883151</v>
      </c>
      <c r="N13" s="56" t="n">
        <v>1440.14010975847</v>
      </c>
      <c r="O13" s="55" t="n">
        <v>1450.54356296467</v>
      </c>
      <c r="P13" s="52" t="n">
        <v>1374.44602131255</v>
      </c>
      <c r="Q13" s="51" t="n">
        <v>1293.46867246783</v>
      </c>
      <c r="R13" s="55" t="n">
        <v>1234.3753490151</v>
      </c>
      <c r="S13" s="56" t="n">
        <v>1303.27280949414</v>
      </c>
      <c r="T13" s="55" t="n">
        <v>1312.96454949235</v>
      </c>
      <c r="U13" s="55" t="n">
        <v>1261.59184698293</v>
      </c>
      <c r="V13" s="56" t="n">
        <v>1261.12472335478</v>
      </c>
      <c r="W13" s="56" t="n">
        <v>1226.47603845926</v>
      </c>
      <c r="X13" s="50" t="n">
        <v>1275.88445075253</v>
      </c>
      <c r="Y13" s="51" t="n">
        <v>1193.78975802594</v>
      </c>
      <c r="Z13" s="55" t="n">
        <v>1160.68257446748</v>
      </c>
      <c r="AA13" s="56" t="n">
        <v>1228.9721608087</v>
      </c>
      <c r="AB13" s="55" t="n">
        <v>1192.44587674258</v>
      </c>
      <c r="AC13" s="52" t="n">
        <v>1129.27794632521</v>
      </c>
      <c r="AD13" s="51" t="n">
        <v>1083.94492976813</v>
      </c>
      <c r="AE13" s="55" t="n">
        <v>1103.64221079996</v>
      </c>
      <c r="AF13" s="56" t="n">
        <v>1110.4076570153</v>
      </c>
      <c r="AG13" s="55" t="n">
        <v>1083.62135316918</v>
      </c>
      <c r="AH13" s="55" t="n">
        <v>929.293103874896</v>
      </c>
      <c r="AI13" s="50" t="n">
        <v>1082.87806444741</v>
      </c>
      <c r="AJ13" s="51" t="n">
        <v>1083.16780667706</v>
      </c>
      <c r="AK13" s="55" t="n">
        <v>1047.06289775526</v>
      </c>
      <c r="AL13" s="55" t="n">
        <v>1017.81199720388</v>
      </c>
      <c r="AM13" s="55" t="n">
        <v>995.553513927524</v>
      </c>
      <c r="AN13" s="52" t="n">
        <v>1006.21862527815</v>
      </c>
      <c r="AO13" s="51" t="n">
        <v>1009.15699410474</v>
      </c>
      <c r="AP13" s="57" t="n">
        <v>1001.33283078723</v>
      </c>
      <c r="AQ13" s="58" t="n">
        <v>1000</v>
      </c>
    </row>
    <row r="14" s="59" customFormat="true" ht="12.8" hidden="true" customHeight="false" outlineLevel="1" collapsed="false">
      <c r="A14" s="53"/>
      <c r="B14" s="54"/>
      <c r="C14" s="48"/>
      <c r="D14" s="49"/>
      <c r="E14" s="48"/>
      <c r="F14" s="49" t="n">
        <f aca="false">F15/H15-1</f>
        <v>0.0901964446670704</v>
      </c>
      <c r="G14" s="48"/>
      <c r="H14" s="49" t="n">
        <f aca="false">H15/I15-1</f>
        <v>0.055149863760219</v>
      </c>
      <c r="I14" s="50"/>
      <c r="J14" s="51" t="n">
        <f aca="false">J15/L15-1</f>
        <v>0.0539663556813101</v>
      </c>
      <c r="K14" s="48"/>
      <c r="L14" s="49" t="n">
        <f aca="false">L15/O15-1</f>
        <v>0.0157035989456256</v>
      </c>
      <c r="M14" s="48"/>
      <c r="N14" s="48"/>
      <c r="O14" s="49" t="n">
        <f aca="false">O15/P15-1</f>
        <v>-0.0222492234762555</v>
      </c>
      <c r="P14" s="52" t="n">
        <f aca="false">P15/Q15-1</f>
        <v>0.0337949128943245</v>
      </c>
      <c r="Q14" s="51" t="n">
        <f aca="false">Q15/R15-1</f>
        <v>0.0118127432272299</v>
      </c>
      <c r="R14" s="49" t="n">
        <f aca="false">R15/T15-1</f>
        <v>-0.0347126345419146</v>
      </c>
      <c r="S14" s="48"/>
      <c r="T14" s="49" t="n">
        <f aca="false">T15/U15-1</f>
        <v>-0.0508598831621647</v>
      </c>
      <c r="U14" s="49" t="n">
        <f aca="false">U15/Y15-1</f>
        <v>-0.00912329283592206</v>
      </c>
      <c r="V14" s="48"/>
      <c r="W14" s="48"/>
      <c r="X14" s="50"/>
      <c r="Y14" s="51" t="n">
        <f aca="false">Y15/Z15-1</f>
        <v>0.0800789854754476</v>
      </c>
      <c r="Z14" s="49" t="n">
        <f aca="false">Z15/AB15-1</f>
        <v>0.0787917002768308</v>
      </c>
      <c r="AA14" s="48"/>
      <c r="AB14" s="49" t="n">
        <f aca="false">AB15/AC15-1</f>
        <v>0.090007327065768</v>
      </c>
      <c r="AC14" s="52" t="n">
        <f aca="false">AC15/AD15-1</f>
        <v>0.0297990371637829</v>
      </c>
      <c r="AD14" s="51" t="n">
        <f aca="false">AD15/AE15-1</f>
        <v>0.0489768526569732</v>
      </c>
      <c r="AE14" s="49" t="n">
        <f aca="false">AE15/AG15-1</f>
        <v>0.0895191733103982</v>
      </c>
      <c r="AF14" s="48"/>
      <c r="AG14" s="49" t="n">
        <f aca="false">AG15/AH15-1</f>
        <v>0.136185116594865</v>
      </c>
      <c r="AH14" s="49" t="n">
        <f aca="false">AH15/AJ15-1</f>
        <v>-0.220624708263693</v>
      </c>
      <c r="AI14" s="50"/>
      <c r="AJ14" s="51" t="n">
        <f aca="false">AJ15/AK15-1</f>
        <v>0.0741204549812919</v>
      </c>
      <c r="AK14" s="49" t="n">
        <f aca="false">AK15/AM15-1</f>
        <v>0.132530530326227</v>
      </c>
      <c r="AL14" s="49"/>
      <c r="AM14" s="49" t="n">
        <f aca="false">AM15/AN15-1</f>
        <v>0.042827984042171</v>
      </c>
      <c r="AN14" s="52" t="n">
        <f aca="false">AN15/AO15-1</f>
        <v>0.0563932857311729</v>
      </c>
      <c r="AO14" s="51" t="n">
        <f aca="false">AO15/AP15-1</f>
        <v>-0.0172942256266131</v>
      </c>
      <c r="AP14" s="60" t="s">
        <v>80</v>
      </c>
      <c r="AQ14" s="58"/>
    </row>
    <row r="15" s="59" customFormat="true" ht="12.8" hidden="false" customHeight="false" outlineLevel="0" collapsed="false">
      <c r="A15" s="53" t="s">
        <v>87</v>
      </c>
      <c r="B15" s="54" t="n">
        <v>2529.4925034898</v>
      </c>
      <c r="C15" s="48" t="n">
        <v>2442.93365573876</v>
      </c>
      <c r="D15" s="55" t="n">
        <v>2476.62560670043</v>
      </c>
      <c r="E15" s="56" t="n">
        <v>2398.72556406348</v>
      </c>
      <c r="F15" s="55" t="n">
        <v>2249.99269915252</v>
      </c>
      <c r="G15" s="56" t="n">
        <v>2098.88851897928</v>
      </c>
      <c r="H15" s="55" t="n">
        <v>2063.84153072489</v>
      </c>
      <c r="I15" s="50" t="n">
        <v>1955.97004900329</v>
      </c>
      <c r="J15" s="51" t="n">
        <v>1786.14649588524</v>
      </c>
      <c r="K15" s="48" t="n">
        <v>1740.93088725739</v>
      </c>
      <c r="L15" s="55" t="n">
        <v>1694.69023964302</v>
      </c>
      <c r="M15" s="56" t="n">
        <v>1692.09113793929</v>
      </c>
      <c r="N15" s="56" t="n">
        <v>1683.80905655528</v>
      </c>
      <c r="O15" s="55" t="n">
        <v>1668.48895819827</v>
      </c>
      <c r="P15" s="52" t="n">
        <v>1706.45628544561</v>
      </c>
      <c r="Q15" s="51" t="n">
        <v>1650.67197000228</v>
      </c>
      <c r="R15" s="55" t="n">
        <v>1631.4006529878</v>
      </c>
      <c r="S15" s="56" t="n">
        <v>1681.26252095343</v>
      </c>
      <c r="T15" s="55" t="n">
        <v>1690.06734301718</v>
      </c>
      <c r="U15" s="55" t="n">
        <v>1780.62997552756</v>
      </c>
      <c r="V15" s="56" t="n">
        <v>1713.98199903045</v>
      </c>
      <c r="W15" s="56" t="n">
        <v>1643.32147675702</v>
      </c>
      <c r="X15" s="50" t="n">
        <v>1798.98138575926</v>
      </c>
      <c r="Y15" s="51" t="n">
        <v>1797.02475863398</v>
      </c>
      <c r="Z15" s="55" t="n">
        <v>1663.79013275861</v>
      </c>
      <c r="AA15" s="56" t="n">
        <v>1718.73339057198</v>
      </c>
      <c r="AB15" s="55" t="n">
        <v>1542.27190692296</v>
      </c>
      <c r="AC15" s="52" t="n">
        <v>1414.91884377939</v>
      </c>
      <c r="AD15" s="51" t="n">
        <v>1373.97569109822</v>
      </c>
      <c r="AE15" s="55" t="n">
        <v>1309.82460444008</v>
      </c>
      <c r="AF15" s="56" t="n">
        <v>1312.76830614498</v>
      </c>
      <c r="AG15" s="55" t="n">
        <v>1202.20427187188</v>
      </c>
      <c r="AH15" s="55" t="n">
        <v>1058.10598494273</v>
      </c>
      <c r="AI15" s="50" t="n">
        <v>1459.53286257469</v>
      </c>
      <c r="AJ15" s="51" t="n">
        <v>1357.63347409367</v>
      </c>
      <c r="AK15" s="55" t="n">
        <v>1263.94899919983</v>
      </c>
      <c r="AL15" s="55" t="n">
        <v>1192.85626675545</v>
      </c>
      <c r="AM15" s="55" t="n">
        <v>1116.03966988488</v>
      </c>
      <c r="AN15" s="52" t="n">
        <v>1070.20494939053</v>
      </c>
      <c r="AO15" s="51" t="n">
        <v>1013.07435767144</v>
      </c>
      <c r="AP15" s="61" t="n">
        <v>1030.9030272234</v>
      </c>
      <c r="AQ15" s="58" t="n">
        <v>1000</v>
      </c>
    </row>
    <row r="16" s="59" customFormat="true" ht="12.8" hidden="true" customHeight="false" outlineLevel="1" collapsed="false">
      <c r="A16" s="53"/>
      <c r="B16" s="54"/>
      <c r="C16" s="48"/>
      <c r="D16" s="49"/>
      <c r="E16" s="48"/>
      <c r="F16" s="49" t="n">
        <f aca="false">F17/H17-1</f>
        <v>0.070912481690117</v>
      </c>
      <c r="G16" s="48"/>
      <c r="H16" s="49" t="n">
        <f aca="false">H17/I17-1</f>
        <v>0.0598539729402994</v>
      </c>
      <c r="I16" s="50"/>
      <c r="J16" s="51" t="n">
        <f aca="false">J17/L17-1</f>
        <v>0.0227828620143022</v>
      </c>
      <c r="K16" s="48"/>
      <c r="L16" s="49" t="n">
        <f aca="false">L17/O17-1</f>
        <v>0.0239455297264868</v>
      </c>
      <c r="M16" s="48"/>
      <c r="N16" s="48"/>
      <c r="O16" s="49" t="n">
        <f aca="false">O17/P17-1</f>
        <v>0.000591114517322966</v>
      </c>
      <c r="P16" s="52" t="n">
        <f aca="false">P17/Q17-1</f>
        <v>0.0447699526907255</v>
      </c>
      <c r="Q16" s="51" t="n">
        <f aca="false">Q17/R17-1</f>
        <v>0.0481935867461649</v>
      </c>
      <c r="R16" s="49" t="n">
        <f aca="false">R17/T17-1</f>
        <v>-0.0526802210518852</v>
      </c>
      <c r="S16" s="48"/>
      <c r="T16" s="49" t="n">
        <f aca="false">T17/U17-1</f>
        <v>-0.0435619567523082</v>
      </c>
      <c r="U16" s="49" t="n">
        <f aca="false">U17/Y17-1</f>
        <v>0.0395512384718189</v>
      </c>
      <c r="V16" s="48"/>
      <c r="W16" s="48"/>
      <c r="X16" s="50"/>
      <c r="Y16" s="51" t="n">
        <f aca="false">Y17/Z17-1</f>
        <v>0.0750230972218813</v>
      </c>
      <c r="Z16" s="49" t="n">
        <f aca="false">Z17/AB17-1</f>
        <v>0.0634297071137828</v>
      </c>
      <c r="AA16" s="48"/>
      <c r="AB16" s="49" t="n">
        <f aca="false">AB17/AC17-1</f>
        <v>0.0670052590489507</v>
      </c>
      <c r="AC16" s="52" t="n">
        <f aca="false">AC17/AD17-1</f>
        <v>0.0527469932342541</v>
      </c>
      <c r="AD16" s="51" t="n">
        <f aca="false">AD17/AE17-1</f>
        <v>0.00772947432829918</v>
      </c>
      <c r="AE16" s="49" t="n">
        <f aca="false">AE17/AG17-1</f>
        <v>0.047738065273673</v>
      </c>
      <c r="AF16" s="48"/>
      <c r="AG16" s="49" t="n">
        <f aca="false">AG17/AH17-1</f>
        <v>0.158882149347585</v>
      </c>
      <c r="AH16" s="49" t="n">
        <f aca="false">AH17/AJ17-1</f>
        <v>-0.17113823441659</v>
      </c>
      <c r="AI16" s="50"/>
      <c r="AJ16" s="51" t="n">
        <f aca="false">AJ17/AK17-1</f>
        <v>0.034110927739474</v>
      </c>
      <c r="AK16" s="49" t="n">
        <f aca="false">AK17/AM17-1</f>
        <v>0.088615084866275</v>
      </c>
      <c r="AL16" s="49"/>
      <c r="AM16" s="49" t="n">
        <f aca="false">AM17/AN17-1</f>
        <v>-0.0300240260781939</v>
      </c>
      <c r="AN16" s="52" t="n">
        <f aca="false">AN17/AO17-1</f>
        <v>0.0062233042597859</v>
      </c>
      <c r="AO16" s="51" t="n">
        <f aca="false">AO17/AP17-1</f>
        <v>0.0145433628309846</v>
      </c>
      <c r="AP16" s="60" t="s">
        <v>80</v>
      </c>
      <c r="AQ16" s="58"/>
    </row>
    <row r="17" s="59" customFormat="true" ht="12.8" hidden="false" customHeight="false" outlineLevel="0" collapsed="false">
      <c r="A17" s="53" t="s">
        <v>88</v>
      </c>
      <c r="B17" s="54" t="n">
        <v>2214.42983885283</v>
      </c>
      <c r="C17" s="48" t="n">
        <v>2156.37161809879</v>
      </c>
      <c r="D17" s="55" t="n">
        <v>2210.97030487505</v>
      </c>
      <c r="E17" s="56" t="n">
        <v>2128.96623925787</v>
      </c>
      <c r="F17" s="55" t="n">
        <v>2026.11739337336</v>
      </c>
      <c r="G17" s="56" t="n">
        <v>1876.60777095871</v>
      </c>
      <c r="H17" s="55" t="n">
        <v>1891.95422409844</v>
      </c>
      <c r="I17" s="50" t="n">
        <v>1785.10839455523</v>
      </c>
      <c r="J17" s="51" t="n">
        <v>1584.1713452613</v>
      </c>
      <c r="K17" s="48" t="n">
        <v>1590.61257940341</v>
      </c>
      <c r="L17" s="55" t="n">
        <v>1548.88334963042</v>
      </c>
      <c r="M17" s="56" t="n">
        <v>1547.62460160966</v>
      </c>
      <c r="N17" s="56" t="n">
        <v>1538.34889527357</v>
      </c>
      <c r="O17" s="55" t="n">
        <v>1512.66186009343</v>
      </c>
      <c r="P17" s="52" t="n">
        <v>1511.7682319447</v>
      </c>
      <c r="Q17" s="51" t="n">
        <v>1446.98670559127</v>
      </c>
      <c r="R17" s="55" t="n">
        <v>1380.45750697927</v>
      </c>
      <c r="S17" s="56" t="n">
        <v>1454.99671254743</v>
      </c>
      <c r="T17" s="55" t="n">
        <v>1457.22441107701</v>
      </c>
      <c r="U17" s="55" t="n">
        <v>1523.59519925498</v>
      </c>
      <c r="V17" s="56" t="n">
        <v>1487.84295257145</v>
      </c>
      <c r="W17" s="56" t="n">
        <v>1416.3439540968</v>
      </c>
      <c r="X17" s="50" t="n">
        <v>1529.679945864</v>
      </c>
      <c r="Y17" s="51" t="n">
        <v>1465.62780445024</v>
      </c>
      <c r="Z17" s="55" t="n">
        <v>1363.34540926402</v>
      </c>
      <c r="AA17" s="56" t="n">
        <v>1427.65315560343</v>
      </c>
      <c r="AB17" s="55" t="n">
        <v>1282.0268233471</v>
      </c>
      <c r="AC17" s="52" t="n">
        <v>1201.518748361</v>
      </c>
      <c r="AD17" s="51" t="n">
        <v>1141.3176727959</v>
      </c>
      <c r="AE17" s="55" t="n">
        <v>1132.56355189635</v>
      </c>
      <c r="AF17" s="56" t="n">
        <v>1149.67316794031</v>
      </c>
      <c r="AG17" s="55" t="n">
        <v>1080.96058493448</v>
      </c>
      <c r="AH17" s="55" t="n">
        <v>932.761442173415</v>
      </c>
      <c r="AI17" s="50" t="n">
        <v>1171.3846495668</v>
      </c>
      <c r="AJ17" s="51" t="n">
        <v>1125.35223713314</v>
      </c>
      <c r="AK17" s="55" t="n">
        <v>1088.23164608957</v>
      </c>
      <c r="AL17" s="55" t="n">
        <v>1054.6551341765</v>
      </c>
      <c r="AM17" s="55" t="n">
        <v>999.647773779699</v>
      </c>
      <c r="AN17" s="52" t="n">
        <v>1030.59024208396</v>
      </c>
      <c r="AO17" s="51" t="n">
        <v>1024.21623283919</v>
      </c>
      <c r="AP17" s="61" t="n">
        <v>1009.53421052523</v>
      </c>
      <c r="AQ17" s="58" t="n">
        <v>1000</v>
      </c>
    </row>
    <row r="18" s="59" customFormat="true" ht="12.8" hidden="true" customHeight="false" outlineLevel="1" collapsed="false">
      <c r="A18" s="53"/>
      <c r="B18" s="54"/>
      <c r="C18" s="48"/>
      <c r="D18" s="49"/>
      <c r="E18" s="48"/>
      <c r="F18" s="49" t="n">
        <f aca="false">F19/H19-1</f>
        <v>0.109858690735889</v>
      </c>
      <c r="G18" s="48"/>
      <c r="H18" s="49" t="n">
        <f aca="false">H19/I19-1</f>
        <v>0.0207665165900908</v>
      </c>
      <c r="I18" s="50"/>
      <c r="J18" s="51" t="n">
        <f aca="false">J19/L19-1</f>
        <v>0.00403866615662896</v>
      </c>
      <c r="K18" s="48"/>
      <c r="L18" s="49" t="n">
        <f aca="false">L19/O19-1</f>
        <v>0.0745988889868177</v>
      </c>
      <c r="M18" s="48"/>
      <c r="N18" s="48"/>
      <c r="O18" s="49" t="n">
        <f aca="false">O19/P19-1</f>
        <v>-0.0171159457157528</v>
      </c>
      <c r="P18" s="52" t="n">
        <f aca="false">P19/Q19-1</f>
        <v>0.00789000129371154</v>
      </c>
      <c r="Q18" s="51" t="n">
        <f aca="false">Q19/R19-1</f>
        <v>0.0211109374959508</v>
      </c>
      <c r="R18" s="49" t="n">
        <f aca="false">R19/T19-1</f>
        <v>-0.0989423909916356</v>
      </c>
      <c r="S18" s="48"/>
      <c r="T18" s="49" t="n">
        <f aca="false">T19/U19-1</f>
        <v>-0.0911315149024126</v>
      </c>
      <c r="U18" s="49" t="n">
        <f aca="false">U19/Y19-1</f>
        <v>0.0793895616689795</v>
      </c>
      <c r="V18" s="48"/>
      <c r="W18" s="48"/>
      <c r="X18" s="50"/>
      <c r="Y18" s="51" t="n">
        <f aca="false">Y19/Z19-1</f>
        <v>-0.00314474284633104</v>
      </c>
      <c r="Z18" s="49" t="n">
        <f aca="false">Z19/AB19-1</f>
        <v>0.108354270238703</v>
      </c>
      <c r="AA18" s="48"/>
      <c r="AB18" s="49" t="n">
        <f aca="false">AB19/AC19-1</f>
        <v>0.0202701534822525</v>
      </c>
      <c r="AC18" s="52" t="n">
        <f aca="false">AC19/AD19-1</f>
        <v>0.071492558417908</v>
      </c>
      <c r="AD18" s="51" t="n">
        <f aca="false">AD19/AE19-1</f>
        <v>0.016674467779328</v>
      </c>
      <c r="AE18" s="49" t="n">
        <f aca="false">AE19/AG19-1</f>
        <v>0.0303320572295758</v>
      </c>
      <c r="AF18" s="48"/>
      <c r="AG18" s="49" t="n">
        <f aca="false">AG19/AH19-1</f>
        <v>0.0169766510943963</v>
      </c>
      <c r="AH18" s="49" t="n">
        <f aca="false">AH19/AJ19-1</f>
        <v>-0.0987811053078609</v>
      </c>
      <c r="AI18" s="50"/>
      <c r="AJ18" s="51" t="n">
        <f aca="false">AJ19/AK19-1</f>
        <v>0.0343915831435537</v>
      </c>
      <c r="AK18" s="49" t="n">
        <f aca="false">AK19/AM19-1</f>
        <v>0.00969084219595962</v>
      </c>
      <c r="AL18" s="49"/>
      <c r="AM18" s="49" t="n">
        <f aca="false">AM19/AN19-1</f>
        <v>-0.0108711048577624</v>
      </c>
      <c r="AN18" s="52" t="n">
        <f aca="false">AN19/AO19-1</f>
        <v>0.0299551304246795</v>
      </c>
      <c r="AO18" s="51" t="n">
        <f aca="false">AO19/AP19-1</f>
        <v>-0.0515297728192387</v>
      </c>
      <c r="AP18" s="60" t="s">
        <v>80</v>
      </c>
      <c r="AQ18" s="58"/>
    </row>
    <row r="19" s="59" customFormat="true" ht="12.8" hidden="false" customHeight="false" outlineLevel="0" collapsed="false">
      <c r="A19" s="53" t="s">
        <v>89</v>
      </c>
      <c r="B19" s="54" t="n">
        <v>1371.98093037707</v>
      </c>
      <c r="C19" s="48" t="n">
        <v>1384.33442273707</v>
      </c>
      <c r="D19" s="55" t="n">
        <v>1384.33442273707</v>
      </c>
      <c r="E19" s="56" t="n">
        <v>1370.66701915795</v>
      </c>
      <c r="F19" s="55" t="n">
        <v>1335.61696621548</v>
      </c>
      <c r="G19" s="56" t="n">
        <v>1211.18941330441</v>
      </c>
      <c r="H19" s="55" t="n">
        <v>1203.41172922645</v>
      </c>
      <c r="I19" s="50" t="n">
        <v>1178.92947081228</v>
      </c>
      <c r="J19" s="51" t="n">
        <v>1159.38749387483</v>
      </c>
      <c r="K19" s="56" t="n">
        <v>1151.25823812532</v>
      </c>
      <c r="L19" s="55" t="n">
        <v>1154.72394934038</v>
      </c>
      <c r="M19" s="56" t="n">
        <v>1155.49251675739</v>
      </c>
      <c r="N19" s="56" t="n">
        <v>1131.52537032191</v>
      </c>
      <c r="O19" s="55" t="n">
        <v>1074.56276120768</v>
      </c>
      <c r="P19" s="52" t="n">
        <v>1093.27520018645</v>
      </c>
      <c r="Q19" s="51" t="n">
        <v>1084.71678336241</v>
      </c>
      <c r="R19" s="55" t="n">
        <v>1062.29082808812</v>
      </c>
      <c r="S19" s="56" t="n">
        <v>1068.15005105525</v>
      </c>
      <c r="T19" s="55" t="n">
        <v>1178.9377476732</v>
      </c>
      <c r="U19" s="55" t="n">
        <v>1297.14889118046</v>
      </c>
      <c r="V19" s="56" t="n">
        <v>1284.01720041364</v>
      </c>
      <c r="W19" s="56" t="n">
        <v>1280.11164585522</v>
      </c>
      <c r="X19" s="50" t="n">
        <v>1282.0009554006</v>
      </c>
      <c r="Y19" s="51" t="n">
        <v>1201.7430381435</v>
      </c>
      <c r="Z19" s="55" t="n">
        <v>1205.53413298421</v>
      </c>
      <c r="AA19" s="56" t="n">
        <v>1178.94185564387</v>
      </c>
      <c r="AB19" s="55" t="n">
        <v>1087.67942286592</v>
      </c>
      <c r="AC19" s="52" t="n">
        <v>1066.07001993893</v>
      </c>
      <c r="AD19" s="51" t="n">
        <v>994.939266319325</v>
      </c>
      <c r="AE19" s="55" t="n">
        <v>978.621277361791</v>
      </c>
      <c r="AF19" s="56" t="n">
        <v>962.880491332894</v>
      </c>
      <c r="AG19" s="55" t="n">
        <v>949.811539391652</v>
      </c>
      <c r="AH19" s="55" t="n">
        <v>933.956092668926</v>
      </c>
      <c r="AI19" s="50" t="n">
        <v>1024.50059378135</v>
      </c>
      <c r="AJ19" s="51" t="n">
        <v>1036.32546784094</v>
      </c>
      <c r="AK19" s="55" t="n">
        <v>1001.86958665258</v>
      </c>
      <c r="AL19" s="55" t="n">
        <v>985.813239720211</v>
      </c>
      <c r="AM19" s="55" t="n">
        <v>992.253811546543</v>
      </c>
      <c r="AN19" s="52" t="n">
        <v>1003.15926106259</v>
      </c>
      <c r="AO19" s="51" t="n">
        <v>973.983459501735</v>
      </c>
      <c r="AP19" s="63" t="n">
        <v>1026.8993497</v>
      </c>
      <c r="AQ19" s="58" t="n">
        <v>1000</v>
      </c>
    </row>
    <row r="20" s="59" customFormat="true" ht="12.8" hidden="false" customHeight="false" outlineLevel="0" collapsed="false">
      <c r="A20" s="53" t="s">
        <v>90</v>
      </c>
      <c r="B20" s="64" t="n">
        <f aca="false">B15-B17</f>
        <v>315.06266463697</v>
      </c>
      <c r="C20" s="65" t="n">
        <f aca="false">C15-C17</f>
        <v>286.56203763997</v>
      </c>
      <c r="D20" s="63" t="n">
        <f aca="false">D15-D17</f>
        <v>265.65530182538</v>
      </c>
      <c r="E20" s="65" t="n">
        <f aca="false">E15-E17</f>
        <v>269.75932480561</v>
      </c>
      <c r="F20" s="63" t="n">
        <f aca="false">F15-F17</f>
        <v>223.87530577916</v>
      </c>
      <c r="G20" s="65" t="n">
        <f aca="false">G15-G17</f>
        <v>222.28074802057</v>
      </c>
      <c r="H20" s="63" t="n">
        <f aca="false">H15-H17</f>
        <v>171.88730662645</v>
      </c>
      <c r="I20" s="66" t="n">
        <f aca="false">I15-I17</f>
        <v>170.86165444806</v>
      </c>
      <c r="J20" s="67" t="n">
        <f aca="false">J15-J17</f>
        <v>201.97515062394</v>
      </c>
      <c r="K20" s="65" t="n">
        <f aca="false">K15-K17</f>
        <v>150.31830785398</v>
      </c>
      <c r="L20" s="63" t="n">
        <f aca="false">L15-L17</f>
        <v>145.8068900126</v>
      </c>
      <c r="M20" s="65" t="n">
        <f aca="false">M15-M17</f>
        <v>144.46653632963</v>
      </c>
      <c r="N20" s="65" t="n">
        <f aca="false">N15-N17</f>
        <v>145.46016128171</v>
      </c>
      <c r="O20" s="63" t="n">
        <f aca="false">O15-O17</f>
        <v>155.82709810484</v>
      </c>
      <c r="P20" s="68" t="n">
        <f aca="false">P15-P17</f>
        <v>194.68805350091</v>
      </c>
      <c r="Q20" s="67" t="n">
        <f aca="false">Q15-Q17</f>
        <v>203.68526441101</v>
      </c>
      <c r="R20" s="63" t="n">
        <f aca="false">R15-R17</f>
        <v>250.94314600853</v>
      </c>
      <c r="S20" s="65" t="n">
        <f aca="false">S15-S17</f>
        <v>226.265808406</v>
      </c>
      <c r="T20" s="63" t="n">
        <f aca="false">T15-T17</f>
        <v>232.84293194017</v>
      </c>
      <c r="U20" s="63" t="n">
        <f aca="false">U15-U17</f>
        <v>257.03477627258</v>
      </c>
      <c r="V20" s="65" t="n">
        <f aca="false">V15-V17</f>
        <v>226.139046459</v>
      </c>
      <c r="W20" s="65" t="n">
        <f aca="false">W15-W17</f>
        <v>226.97752266022</v>
      </c>
      <c r="X20" s="66" t="n">
        <f aca="false">X15-X17</f>
        <v>269.30143989526</v>
      </c>
      <c r="Y20" s="67" t="n">
        <f aca="false">Y15-Y17</f>
        <v>331.39695418374</v>
      </c>
      <c r="Z20" s="63" t="n">
        <f aca="false">Z15-Z17</f>
        <v>300.44472349459</v>
      </c>
      <c r="AA20" s="65" t="n">
        <f aca="false">AA15-AA17</f>
        <v>291.08023496855</v>
      </c>
      <c r="AB20" s="63" t="n">
        <f aca="false">AB15-AB17</f>
        <v>260.24508357586</v>
      </c>
      <c r="AC20" s="68" t="n">
        <f aca="false">AC15-AC17</f>
        <v>213.40009541839</v>
      </c>
      <c r="AD20" s="67" t="n">
        <f aca="false">AD15-AD17</f>
        <v>232.65801830232</v>
      </c>
      <c r="AE20" s="63" t="n">
        <f aca="false">AE15-AE17</f>
        <v>177.26105254373</v>
      </c>
      <c r="AF20" s="65" t="n">
        <f aca="false">AF15-AF17</f>
        <v>163.09513820467</v>
      </c>
      <c r="AG20" s="63" t="n">
        <f aca="false">AG15-AG17</f>
        <v>121.2436869374</v>
      </c>
      <c r="AH20" s="63" t="n">
        <f aca="false">AH15-AH17</f>
        <v>125.344542769315</v>
      </c>
      <c r="AI20" s="66" t="n">
        <f aca="false">AI15-AI17</f>
        <v>288.14821300789</v>
      </c>
      <c r="AJ20" s="67" t="n">
        <f aca="false">AJ15-AJ17</f>
        <v>232.28123696053</v>
      </c>
      <c r="AK20" s="63" t="n">
        <f aca="false">AK15-AK17</f>
        <v>175.71735311026</v>
      </c>
      <c r="AL20" s="63"/>
      <c r="AM20" s="63" t="n">
        <f aca="false">AM15-AM17</f>
        <v>116.391896105181</v>
      </c>
      <c r="AN20" s="68" t="n">
        <f aca="false">AN15-AN17</f>
        <v>39.6147073065699</v>
      </c>
      <c r="AO20" s="67" t="n">
        <f aca="false">AO15-AO17</f>
        <v>-11.1418751677501</v>
      </c>
      <c r="AP20" s="63" t="n">
        <f aca="false">AP15-AP17</f>
        <v>21.3688166981699</v>
      </c>
    </row>
    <row r="21" s="59" customFormat="true" ht="23.85" hidden="false" customHeight="false" outlineLevel="0" collapsed="false">
      <c r="A21" s="69" t="s">
        <v>91</v>
      </c>
      <c r="B21" s="64" t="n">
        <f aca="false">B15-B19</f>
        <v>1157.51157311273</v>
      </c>
      <c r="C21" s="65" t="n">
        <f aca="false">C15-C19</f>
        <v>1058.59923300169</v>
      </c>
      <c r="D21" s="63" t="n">
        <f aca="false">D15-D19</f>
        <v>1092.29118396336</v>
      </c>
      <c r="E21" s="65" t="n">
        <f aca="false">E15-E19</f>
        <v>1028.05854490553</v>
      </c>
      <c r="F21" s="63" t="n">
        <f aca="false">F15-F19</f>
        <v>914.37573293704</v>
      </c>
      <c r="G21" s="65" t="n">
        <f aca="false">G15-G19</f>
        <v>887.69910567487</v>
      </c>
      <c r="H21" s="63" t="n">
        <f aca="false">H15-H19</f>
        <v>860.42980149844</v>
      </c>
      <c r="I21" s="66" t="n">
        <f aca="false">I15-I19</f>
        <v>777.04057819101</v>
      </c>
      <c r="J21" s="67" t="n">
        <f aca="false">J15-J19</f>
        <v>626.75900201041</v>
      </c>
      <c r="K21" s="65" t="n">
        <f aca="false">K15-K19</f>
        <v>589.67264913207</v>
      </c>
      <c r="L21" s="63" t="n">
        <f aca="false">L15-L19</f>
        <v>539.96629030264</v>
      </c>
      <c r="M21" s="65" t="n">
        <f aca="false">M15-M19</f>
        <v>536.5986211819</v>
      </c>
      <c r="N21" s="65" t="n">
        <f aca="false">N15-N19</f>
        <v>552.28368623337</v>
      </c>
      <c r="O21" s="63" t="n">
        <f aca="false">O15-O19</f>
        <v>593.92619699059</v>
      </c>
      <c r="P21" s="68" t="n">
        <f aca="false">P15-P19</f>
        <v>613.18108525916</v>
      </c>
      <c r="Q21" s="67" t="n">
        <f aca="false">Q15-Q19</f>
        <v>565.95518663987</v>
      </c>
      <c r="R21" s="63" t="n">
        <f aca="false">R15-R19</f>
        <v>569.10982489968</v>
      </c>
      <c r="S21" s="65" t="n">
        <f aca="false">S15-S19</f>
        <v>613.11246989818</v>
      </c>
      <c r="T21" s="63" t="n">
        <f aca="false">T15-T19</f>
        <v>511.12959534398</v>
      </c>
      <c r="U21" s="63" t="n">
        <f aca="false">U15-U19</f>
        <v>483.4810843471</v>
      </c>
      <c r="V21" s="65" t="n">
        <f aca="false">V15-V19</f>
        <v>429.96479861681</v>
      </c>
      <c r="W21" s="65" t="n">
        <f aca="false">W15-W19</f>
        <v>363.2098309018</v>
      </c>
      <c r="X21" s="66" t="n">
        <f aca="false">X15-X19</f>
        <v>516.98043035866</v>
      </c>
      <c r="Y21" s="67" t="n">
        <f aca="false">Y15-Y19</f>
        <v>595.28172049048</v>
      </c>
      <c r="Z21" s="63" t="n">
        <f aca="false">Z15-Z19</f>
        <v>458.2559997744</v>
      </c>
      <c r="AA21" s="65" t="n">
        <f aca="false">AA15-AA19</f>
        <v>539.79153492811</v>
      </c>
      <c r="AB21" s="63" t="n">
        <f aca="false">AB15-AB19</f>
        <v>454.59248405704</v>
      </c>
      <c r="AC21" s="68" t="n">
        <f aca="false">AC15-AC19</f>
        <v>348.84882384046</v>
      </c>
      <c r="AD21" s="67" t="n">
        <f aca="false">AD15-AD19</f>
        <v>379.036424778895</v>
      </c>
      <c r="AE21" s="63" t="n">
        <f aca="false">AE15-AE19</f>
        <v>331.203327078289</v>
      </c>
      <c r="AF21" s="65" t="n">
        <f aca="false">AF15-AF19</f>
        <v>349.887814812086</v>
      </c>
      <c r="AG21" s="63" t="n">
        <f aca="false">AG15-AG19</f>
        <v>252.392732480228</v>
      </c>
      <c r="AH21" s="63" t="n">
        <f aca="false">AH15-AH19</f>
        <v>124.149892273804</v>
      </c>
      <c r="AI21" s="66" t="n">
        <f aca="false">AI15-AI19</f>
        <v>435.03226879334</v>
      </c>
      <c r="AJ21" s="67" t="n">
        <f aca="false">AJ15-AJ19</f>
        <v>321.30800625273</v>
      </c>
      <c r="AK21" s="63" t="n">
        <f aca="false">AK15-AK19</f>
        <v>262.07941254725</v>
      </c>
      <c r="AL21" s="63"/>
      <c r="AM21" s="63" t="n">
        <f aca="false">AM15-AM19</f>
        <v>123.785858338337</v>
      </c>
      <c r="AN21" s="68" t="n">
        <f aca="false">AN15-AN19</f>
        <v>67.04568832794</v>
      </c>
      <c r="AO21" s="67" t="n">
        <f aca="false">AO15-AO19</f>
        <v>39.090898169705</v>
      </c>
      <c r="AP21" s="63" t="n">
        <f aca="false">AP15-AP19</f>
        <v>4.00367752340003</v>
      </c>
    </row>
    <row r="22" customFormat="false" ht="12.8" hidden="false" customHeight="false" outlineLevel="0" collapsed="false">
      <c r="A22" s="70"/>
      <c r="B22" s="71"/>
      <c r="C22" s="72"/>
      <c r="D22" s="73"/>
      <c r="E22" s="72"/>
      <c r="F22" s="73"/>
      <c r="G22" s="72"/>
      <c r="H22" s="73"/>
      <c r="I22" s="74"/>
      <c r="J22" s="75"/>
      <c r="K22" s="72"/>
      <c r="L22" s="73"/>
      <c r="M22" s="72"/>
      <c r="N22" s="72"/>
      <c r="O22" s="73"/>
      <c r="P22" s="76"/>
      <c r="Q22" s="75"/>
      <c r="R22" s="73"/>
      <c r="S22" s="72"/>
      <c r="T22" s="73"/>
      <c r="U22" s="73"/>
      <c r="V22" s="72"/>
      <c r="W22" s="72"/>
      <c r="X22" s="74"/>
      <c r="Y22" s="75"/>
      <c r="Z22" s="73"/>
      <c r="AA22" s="72"/>
      <c r="AB22" s="73"/>
      <c r="AC22" s="76"/>
      <c r="AD22" s="75"/>
      <c r="AE22" s="73"/>
      <c r="AF22" s="72"/>
      <c r="AG22" s="73"/>
      <c r="AH22" s="73"/>
      <c r="AI22" s="74"/>
      <c r="AJ22" s="75"/>
      <c r="AK22" s="73"/>
      <c r="AL22" s="73"/>
      <c r="AM22" s="73"/>
      <c r="AN22" s="76"/>
      <c r="AO22" s="75"/>
      <c r="AP22" s="22"/>
    </row>
    <row r="23" customFormat="false" ht="35.05" hidden="false" customHeight="false" outlineLevel="0" collapsed="false">
      <c r="A23" s="1" t="s">
        <v>92</v>
      </c>
      <c r="B23" s="38" t="s">
        <v>93</v>
      </c>
      <c r="C23" s="1" t="s">
        <v>94</v>
      </c>
      <c r="D23" s="77" t="s">
        <v>95</v>
      </c>
      <c r="E23" s="78" t="s">
        <v>96</v>
      </c>
      <c r="F23" s="40"/>
      <c r="G23" s="1"/>
    </row>
    <row r="24" customFormat="false" ht="12.8" hidden="false" customHeight="false" outlineLevel="0" collapsed="false">
      <c r="A24" s="1" t="s">
        <v>81</v>
      </c>
      <c r="B24" s="54" t="n">
        <f aca="false">MAX(B3:AP3)</f>
        <v>2314.06418594999</v>
      </c>
      <c r="C24" s="49" t="n">
        <f aca="false">MIN(B3:AP3)</f>
        <v>944.657850094641</v>
      </c>
      <c r="D24" s="79" t="n">
        <f aca="false">MEDIAN(B2:AO2)</f>
        <v>0.0450263803870088</v>
      </c>
      <c r="E24" s="80" t="n">
        <f aca="false">IF(D24/MEDIAN(D$24:D$32)&gt;1,TRUE())</f>
        <v>1</v>
      </c>
      <c r="F24" s="40"/>
      <c r="G24" s="1"/>
    </row>
    <row r="25" customFormat="false" ht="12.8" hidden="false" customHeight="false" outlineLevel="0" collapsed="false">
      <c r="A25" s="1" t="s">
        <v>82</v>
      </c>
      <c r="B25" s="54" t="n">
        <f aca="false">MAX(B5:AP5)</f>
        <v>2216.23792496176</v>
      </c>
      <c r="C25" s="49" t="n">
        <f aca="false">MIN(B5:AP5)</f>
        <v>942.308767803262</v>
      </c>
      <c r="D25" s="79" t="n">
        <f aca="false">MEDIAN(B4:AO4)</f>
        <v>0.0446394684228131</v>
      </c>
      <c r="E25" s="80" t="n">
        <f aca="false">IF(D25/MEDIAN(D$24:D$32)&gt;1,TRUE())</f>
        <v>0</v>
      </c>
      <c r="F25" s="40"/>
      <c r="G25" s="1"/>
    </row>
    <row r="26" customFormat="false" ht="12.8" hidden="false" customHeight="false" outlineLevel="0" collapsed="false">
      <c r="A26" s="1" t="s">
        <v>83</v>
      </c>
      <c r="B26" s="54" t="n">
        <f aca="false">MAX(B7:AP7)</f>
        <v>2967.16438808461</v>
      </c>
      <c r="C26" s="49" t="n">
        <f aca="false">MIN(B7:AP7)</f>
        <v>893.588508237692</v>
      </c>
      <c r="D26" s="79" t="n">
        <f aca="false">MEDIAN(B6:AO6)</f>
        <v>0.0492732525059125</v>
      </c>
      <c r="E26" s="80" t="n">
        <f aca="false">IF(D26/MEDIAN(D$24:D$32)&gt;1,TRUE())</f>
        <v>1</v>
      </c>
      <c r="F26" s="40"/>
      <c r="G26" s="1"/>
    </row>
    <row r="27" customFormat="false" ht="12.8" hidden="false" customHeight="false" outlineLevel="0" collapsed="false">
      <c r="A27" s="1" t="s">
        <v>84</v>
      </c>
      <c r="B27" s="54" t="n">
        <f aca="false">MAX(B9:AP9)</f>
        <v>1895.53188445621</v>
      </c>
      <c r="C27" s="49" t="n">
        <f aca="false">MIN(B9:AP9)</f>
        <v>958.504722226702</v>
      </c>
      <c r="D27" s="79" t="n">
        <f aca="false">MEDIAN(B8:AO8)</f>
        <v>0.0150650939521866</v>
      </c>
      <c r="E27" s="80" t="n">
        <f aca="false">IF(D27/MEDIAN(D$24:D$32)&gt;1,TRUE())</f>
        <v>0</v>
      </c>
      <c r="F27" s="40"/>
      <c r="G27" s="1"/>
    </row>
    <row r="28" customFormat="false" ht="12.8" hidden="false" customHeight="false" outlineLevel="0" collapsed="false">
      <c r="A28" s="1" t="s">
        <v>85</v>
      </c>
      <c r="B28" s="54" t="n">
        <f aca="false">MAX(B11:AP11)</f>
        <v>3277.23791944296</v>
      </c>
      <c r="C28" s="49" t="n">
        <f aca="false">MIN(B11:AP11)</f>
        <v>1021.7719939654</v>
      </c>
      <c r="D28" s="79" t="n">
        <f aca="false">MEDIAN(B10:AO10)</f>
        <v>0.0558911699477727</v>
      </c>
      <c r="E28" s="80" t="n">
        <f aca="false">IF(D28/MEDIAN(D$24:D$32)&gt;1,TRUE())</f>
        <v>1</v>
      </c>
      <c r="F28" s="40"/>
      <c r="G28" s="1"/>
    </row>
    <row r="29" customFormat="false" ht="12.8" hidden="false" customHeight="false" outlineLevel="0" collapsed="false">
      <c r="A29" s="1" t="s">
        <v>86</v>
      </c>
      <c r="B29" s="54" t="n">
        <f aca="false">MAX(B13:AP13)</f>
        <v>1515.32402501759</v>
      </c>
      <c r="C29" s="49" t="n">
        <f aca="false">MIN(B13:AP13)</f>
        <v>929.293103874896</v>
      </c>
      <c r="D29" s="79" t="n">
        <f aca="false">MEDIAN(B12:AO12)</f>
        <v>0.0184758795793627</v>
      </c>
      <c r="E29" s="80" t="n">
        <f aca="false">IF(D29/MEDIAN(D$24:D$32)&gt;1,TRUE())</f>
        <v>0</v>
      </c>
      <c r="F29" s="40"/>
      <c r="G29" s="1"/>
    </row>
    <row r="30" customFormat="false" ht="12.8" hidden="false" customHeight="false" outlineLevel="0" collapsed="false">
      <c r="A30" s="1" t="s">
        <v>87</v>
      </c>
      <c r="B30" s="54" t="n">
        <f aca="false">MAX(B15:AP15)</f>
        <v>2529.4925034898</v>
      </c>
      <c r="C30" s="49" t="n">
        <f aca="false">MIN(B15:AP15)</f>
        <v>1013.07435767144</v>
      </c>
      <c r="D30" s="79" t="n">
        <f aca="false">MEDIAN(B14:AO14)</f>
        <v>0.0489768526569732</v>
      </c>
      <c r="E30" s="80" t="n">
        <f aca="false">IF(D30/MEDIAN(D$24:D$32)&gt;1,TRUE())</f>
        <v>1</v>
      </c>
      <c r="F30" s="40"/>
      <c r="G30" s="1"/>
    </row>
    <row r="31" customFormat="false" ht="12.8" hidden="false" customHeight="false" outlineLevel="0" collapsed="false">
      <c r="A31" s="1" t="s">
        <v>88</v>
      </c>
      <c r="B31" s="54" t="n">
        <f aca="false">MAX(B17:AP17)</f>
        <v>2214.42983885283</v>
      </c>
      <c r="C31" s="49" t="n">
        <f aca="false">MIN(B17:AP17)</f>
        <v>932.761442173415</v>
      </c>
      <c r="D31" s="79" t="n">
        <f aca="false">MEDIAN(B16:AO16)</f>
        <v>0.0395512384718189</v>
      </c>
      <c r="E31" s="80" t="n">
        <f aca="false">IF(D31/MEDIAN(D$24:D$32)&gt;1,TRUE())</f>
        <v>0</v>
      </c>
      <c r="F31" s="40"/>
      <c r="G31" s="1"/>
    </row>
    <row r="32" customFormat="false" ht="12.8" hidden="false" customHeight="false" outlineLevel="0" collapsed="false">
      <c r="A32" s="1" t="s">
        <v>89</v>
      </c>
      <c r="B32" s="54" t="n">
        <f aca="false">MAX(B19:AP19)</f>
        <v>1384.33442273707</v>
      </c>
      <c r="C32" s="49" t="n">
        <f aca="false">MIN(B19:AP19)</f>
        <v>933.956092668926</v>
      </c>
      <c r="D32" s="79" t="n">
        <f aca="false">MEDIAN(B18:AO18)</f>
        <v>0.0169766510943963</v>
      </c>
      <c r="E32" s="80" t="n">
        <f aca="false">IF(D32/MEDIAN(D$24:D$32)&gt;1,TRUE())</f>
        <v>0</v>
      </c>
      <c r="F32" s="40"/>
      <c r="G32" s="1"/>
    </row>
    <row r="33" customFormat="false" ht="12.8" hidden="false" customHeight="false" outlineLevel="0" collapsed="false">
      <c r="A33" s="1" t="s">
        <v>90</v>
      </c>
      <c r="B33" s="54" t="n">
        <f aca="false">MAX(B20:AP20)</f>
        <v>331.39695418374</v>
      </c>
      <c r="C33" s="49" t="n">
        <f aca="false">MIN(B20:AP20)</f>
        <v>-11.1418751677501</v>
      </c>
      <c r="D33" s="28" t="s">
        <v>97</v>
      </c>
      <c r="E33" s="1"/>
      <c r="F33" s="40"/>
      <c r="G33" s="1"/>
    </row>
    <row r="34" customFormat="false" ht="12.8" hidden="false" customHeight="false" outlineLevel="0" collapsed="false">
      <c r="A34" s="70" t="s">
        <v>98</v>
      </c>
      <c r="B34" s="54" t="n">
        <f aca="false">MAX(B21:AP21)</f>
        <v>1157.51157311273</v>
      </c>
      <c r="C34" s="49" t="n">
        <f aca="false">MIN(B21:AP21)</f>
        <v>4.00367752340003</v>
      </c>
      <c r="D34" s="28" t="s">
        <v>97</v>
      </c>
      <c r="E34" s="1"/>
      <c r="F34" s="40"/>
      <c r="G34" s="1"/>
    </row>
    <row r="35" customFormat="false" ht="12.8" hidden="false" customHeight="false" outlineLevel="0" collapsed="false">
      <c r="C35" s="48"/>
      <c r="D35" s="49"/>
      <c r="E35" s="28"/>
    </row>
    <row r="36" customFormat="false" ht="12.8" hidden="false" customHeight="false" outlineLevel="0" collapsed="false">
      <c r="A36" s="1" t="s">
        <v>99</v>
      </c>
    </row>
    <row r="37" customFormat="false" ht="12.8" hidden="false" customHeight="false" outlineLevel="0" collapsed="false">
      <c r="A37" s="1" t="s">
        <v>81</v>
      </c>
      <c r="B37" s="64" t="n">
        <f aca="false">SUM(MI!B66:B93)</f>
        <v>3.44240764815165</v>
      </c>
      <c r="C37" s="65" t="n">
        <f aca="false">SUM(MI!C66:C93)</f>
        <v>3.38770942337743</v>
      </c>
      <c r="D37" s="63" t="n">
        <f aca="false">SUM(MI!D66:D93)</f>
        <v>3.46211836337898</v>
      </c>
      <c r="E37" s="65" t="n">
        <f aca="false">SUM(MI!E66:E93)</f>
        <v>3.39624052055714</v>
      </c>
      <c r="F37" s="63" t="n">
        <f aca="false">SUM(MI!F66:F93)</f>
        <v>3.18113360929358</v>
      </c>
      <c r="G37" s="65" t="n">
        <f aca="false">SUM(MI!G66:G93)</f>
        <v>3.02420467872458</v>
      </c>
      <c r="H37" s="63" t="n">
        <f aca="false">SUM(MI!H66:H93)</f>
        <v>3.06994706876197</v>
      </c>
      <c r="I37" s="66" t="n">
        <f aca="false">SUM(MI!I66:I93)</f>
        <v>3.16688758945262</v>
      </c>
      <c r="J37" s="67" t="n">
        <f aca="false">SUM(MI!J66:J93)</f>
        <v>2.96429250635468</v>
      </c>
      <c r="K37" s="65" t="n">
        <f aca="false">SUM(MI!K66:K93)</f>
        <v>2.90670422409506</v>
      </c>
      <c r="L37" s="63" t="n">
        <f aca="false">SUM(MI!L66:L93)</f>
        <v>2.84414839760556</v>
      </c>
      <c r="M37" s="65" t="n">
        <f aca="false">SUM(MI!M66:M93)</f>
        <v>2.83997944249815</v>
      </c>
      <c r="N37" s="65" t="n">
        <f aca="false">SUM(MI!N66:N93)</f>
        <v>2.82819827888072</v>
      </c>
      <c r="O37" s="63" t="n">
        <f aca="false">SUM(MI!O66:O93)</f>
        <v>2.81397147213368</v>
      </c>
      <c r="P37" s="68" t="n">
        <f aca="false">SUM(MI!P66:P93)</f>
        <v>3.00067384271635</v>
      </c>
      <c r="Q37" s="67" t="n">
        <f aca="false">SUM(MI!Q66:Q93)</f>
        <v>2.92269024444587</v>
      </c>
      <c r="R37" s="63" t="n">
        <f aca="false">SUM(MI!R66:R93)</f>
        <v>2.78855684333838</v>
      </c>
      <c r="S37" s="65" t="n">
        <f aca="false">SUM(MI!S66:S93)</f>
        <v>2.8752472499258</v>
      </c>
      <c r="T37" s="63" t="n">
        <f aca="false">SUM(MI!T66:T93)</f>
        <v>2.9609750639902</v>
      </c>
      <c r="U37" s="63" t="n">
        <f aca="false">SUM(MI!U66:U93)</f>
        <v>3.44620381460587</v>
      </c>
      <c r="V37" s="65" t="n">
        <f aca="false">SUM(MI!V66:V93)</f>
        <v>3.40009255225479</v>
      </c>
      <c r="W37" s="65" t="n">
        <f aca="false">SUM(MI!W66:W93)</f>
        <v>3.20355400216624</v>
      </c>
      <c r="X37" s="66" t="n">
        <f aca="false">SUM(MI!X66:X93)</f>
        <v>3.39014712257116</v>
      </c>
      <c r="Y37" s="67" t="n">
        <f aca="false">SUM(MI!Y66:Y93)</f>
        <v>3.28098575721173</v>
      </c>
      <c r="Z37" s="63" t="n">
        <f aca="false">SUM(MI!Z66:Z93)</f>
        <v>3.08112598063057</v>
      </c>
      <c r="AA37" s="65" t="n">
        <f aca="false">SUM(MI!AA66:AA93)</f>
        <v>3.19961834272372</v>
      </c>
      <c r="AB37" s="63" t="n">
        <f aca="false">SUM(MI!AB66:AB93)</f>
        <v>2.86121643740934</v>
      </c>
      <c r="AC37" s="68" t="n">
        <f aca="false">SUM(MI!AC66:AC93)</f>
        <v>2.4133425460671</v>
      </c>
      <c r="AD37" s="67" t="n">
        <f aca="false">SUM(MI!AD66:AD93)</f>
        <v>2.28247617220535</v>
      </c>
      <c r="AE37" s="63" t="n">
        <f aca="false">SUM(MI!AE66:AE93)</f>
        <v>2.22051182802898</v>
      </c>
      <c r="AF37" s="65" t="n">
        <f aca="false">SUM(MI!AF66:AF93)</f>
        <v>2.24485482263973</v>
      </c>
      <c r="AG37" s="63" t="n">
        <f aca="false">SUM(MI!AG66:AG93)</f>
        <v>2.12206063385717</v>
      </c>
      <c r="AH37" s="63" t="n">
        <f aca="false">SUM(MI!AH66:AH93)</f>
        <v>1.91524673049745</v>
      </c>
      <c r="AI37" s="66" t="n">
        <f aca="false">SUM(MI!AI66:AI93)</f>
        <v>2.36088154812602</v>
      </c>
      <c r="AJ37" s="67" t="n">
        <f aca="false">SUM(MI!AJ66:AJ93)</f>
        <v>2.26538464432096</v>
      </c>
      <c r="AK37" s="63" t="n">
        <f aca="false">SUM(MI!AK66:AK93)</f>
        <v>2.14005682180003</v>
      </c>
      <c r="AL37" s="63" t="n">
        <f aca="false">SUM(MI!AL66:AL93)</f>
        <v>2.08468900881091</v>
      </c>
      <c r="AM37" s="63" t="n">
        <f aca="false">SUM(MI!AM66:AM93)</f>
        <v>2.00163951143058</v>
      </c>
      <c r="AN37" s="68" t="n">
        <f aca="false">SUM(MI!AN66:AN93)</f>
        <v>2.03357186053359</v>
      </c>
      <c r="AO37" s="67" t="n">
        <f aca="false">SUM(MI!AO66:AO93)</f>
        <v>1.98863978866178</v>
      </c>
      <c r="AP37" s="63" t="n">
        <f aca="false">SUM(MI!AP66:AP93)</f>
        <v>1.97307351879586</v>
      </c>
      <c r="AQ37" s="63" t="n">
        <f aca="false">SUM(MI!AQ66:AQ93)</f>
        <v>1.94885046652114</v>
      </c>
    </row>
    <row r="38" customFormat="false" ht="12.8" hidden="false" customHeight="false" outlineLevel="0" collapsed="false">
      <c r="A38" s="1" t="s">
        <v>82</v>
      </c>
      <c r="B38" s="81" t="n">
        <f aca="false">SUM('60th PRECNETILE'!B41:B54)</f>
        <v>3.41100483419477</v>
      </c>
      <c r="C38" s="82" t="n">
        <f aca="false">SUM('60th PRECNETILE'!C41:C54)</f>
        <v>3.35316946170683</v>
      </c>
      <c r="D38" s="57" t="n">
        <f aca="false">SUM('60th PRECNETILE'!D41:D54)</f>
        <v>3.43985839554956</v>
      </c>
      <c r="E38" s="82" t="n">
        <f aca="false">SUM('60th PRECNETILE'!E41:E54)</f>
        <v>3.35193712520104</v>
      </c>
      <c r="F38" s="57" t="n">
        <f aca="false">SUM('60th PRECNETILE'!F41:F54)</f>
        <v>3.16357367465541</v>
      </c>
      <c r="G38" s="82" t="n">
        <f aca="false">SUM('60th PRECNETILE'!G41:G54)</f>
        <v>3.0145368390872</v>
      </c>
      <c r="H38" s="57" t="n">
        <f aca="false">SUM('60th PRECNETILE'!H41:H54)</f>
        <v>3.05414061381464</v>
      </c>
      <c r="I38" s="83" t="n">
        <f aca="false">SUM('60th PRECNETILE'!I41:I54)</f>
        <v>3.16196485984215</v>
      </c>
      <c r="J38" s="84" t="n">
        <f aca="false">SUM('60th PRECNETILE'!J41:J54)</f>
        <v>2.79170602153971</v>
      </c>
      <c r="K38" s="82" t="n">
        <f aca="false">SUM('60th PRECNETILE'!K41:K54)</f>
        <v>2.71176772377107</v>
      </c>
      <c r="L38" s="57" t="n">
        <f aca="false">SUM('60th PRECNETILE'!L41:L54)</f>
        <v>2.63774039133992</v>
      </c>
      <c r="M38" s="82" t="n">
        <f aca="false">SUM('60th PRECNETILE'!M41:M54)</f>
        <v>2.63304578507309</v>
      </c>
      <c r="N38" s="82" t="n">
        <f aca="false">SUM('60th PRECNETILE'!N41:N54)</f>
        <v>2.62128027374532</v>
      </c>
      <c r="O38" s="57" t="n">
        <f aca="false">SUM('60th PRECNETILE'!O41:O54)</f>
        <v>2.59620287783163</v>
      </c>
      <c r="P38" s="85" t="n">
        <f aca="false">SUM('60th PRECNETILE'!P41:P54)</f>
        <v>2.78071146609172</v>
      </c>
      <c r="Q38" s="84" t="n">
        <f aca="false">SUM('60th PRECNETILE'!Q41:Q54)</f>
        <v>2.66973758783242</v>
      </c>
      <c r="R38" s="57" t="n">
        <f aca="false">SUM('60th PRECNETILE'!R41:R54)</f>
        <v>2.56125160794909</v>
      </c>
      <c r="S38" s="82" t="n">
        <f aca="false">SUM('60th PRECNETILE'!S41:S54)</f>
        <v>2.66330266471894</v>
      </c>
      <c r="T38" s="57" t="n">
        <f aca="false">SUM('60th PRECNETILE'!T41:T54)</f>
        <v>2.74841298567009</v>
      </c>
      <c r="U38" s="57" t="n">
        <f aca="false">SUM('60th PRECNETILE'!U41:U54)</f>
        <v>3.07782885357504</v>
      </c>
      <c r="V38" s="82" t="n">
        <f aca="false">SUM('60th PRECNETILE'!V41:V54)</f>
        <v>3.00931228108881</v>
      </c>
      <c r="W38" s="82" t="n">
        <f aca="false">SUM('60th PRECNETILE'!W41:W54)</f>
        <v>2.86993304885018</v>
      </c>
      <c r="X38" s="83" t="n">
        <f aca="false">SUM('60th PRECNETILE'!X41:X54)</f>
        <v>3.09461989851306</v>
      </c>
      <c r="Y38" s="84" t="n">
        <f aca="false">SUM('60th PRECNETILE'!Y41:Y54)</f>
        <v>2.94274881148463</v>
      </c>
      <c r="Z38" s="57" t="n">
        <f aca="false">SUM('60th PRECNETILE'!Z41:Z54)</f>
        <v>2.74533634280511</v>
      </c>
      <c r="AA38" s="82" t="n">
        <f aca="false">SUM('60th PRECNETILE'!AA41:AA54)</f>
        <v>2.830565141196</v>
      </c>
      <c r="AB38" s="57" t="n">
        <f aca="false">SUM('60th PRECNETILE'!AB41:AB54)</f>
        <v>2.52651251325011</v>
      </c>
      <c r="AC38" s="85" t="n">
        <f aca="false">SUM('60th PRECNETILE'!AC41:AC54)</f>
        <v>2.38771619202042</v>
      </c>
      <c r="AD38" s="84" t="n">
        <f aca="false">SUM('60th PRECNETILE'!AD41:AD54)</f>
        <v>2.30685099248585</v>
      </c>
      <c r="AE38" s="57" t="n">
        <f aca="false">SUM('60th PRECNETILE'!AE41:AE54)</f>
        <v>2.2412986719542</v>
      </c>
      <c r="AF38" s="82" t="n">
        <f aca="false">SUM('60th PRECNETILE'!AF41:AF54)</f>
        <v>2.27079854678323</v>
      </c>
      <c r="AG38" s="57" t="n">
        <f aca="false">SUM('60th PRECNETILE'!AG41:AG54)</f>
        <v>2.13102977334045</v>
      </c>
      <c r="AH38" s="57" t="n">
        <f aca="false">SUM('60th PRECNETILE'!AH41:AH54)</f>
        <v>1.89272982753458</v>
      </c>
      <c r="AI38" s="83" t="n">
        <f aca="false">SUM('60th PRECNETILE'!AI41:AI54)</f>
        <v>2.33150698823734</v>
      </c>
      <c r="AJ38" s="84" t="n">
        <f aca="false">SUM('60th PRECNETILE'!AJ41:AJ54)</f>
        <v>2.22196813123121</v>
      </c>
      <c r="AK38" s="57" t="n">
        <f aca="false">SUM('60th PRECNETILE'!AK41:AK54)</f>
        <v>2.09763142029828</v>
      </c>
      <c r="AL38" s="57" t="n">
        <f aca="false">SUM('60th PRECNETILE'!AL41:AL54)</f>
        <v>2.03221051208973</v>
      </c>
      <c r="AM38" s="57" t="n">
        <f aca="false">SUM('60th PRECNETILE'!AM41:AM54)</f>
        <v>1.93649143748497</v>
      </c>
      <c r="AN38" s="85" t="n">
        <f aca="false">SUM('60th PRECNETILE'!AN41:AN54)</f>
        <v>2.02394287725816</v>
      </c>
      <c r="AO38" s="84" t="n">
        <f aca="false">SUM('60th PRECNETILE'!AO41:AO54)</f>
        <v>1.95743806703996</v>
      </c>
      <c r="AP38" s="57" t="n">
        <f aca="false">SUM('60th PRECNETILE'!AP41:AP54)</f>
        <v>1.93704062694473</v>
      </c>
      <c r="AQ38" s="57" t="n">
        <f aca="false">SUM('60th PRECNETILE'!AQ41:AQ54)</f>
        <v>1.91871479851325</v>
      </c>
    </row>
    <row r="39" customFormat="false" ht="12.8" hidden="false" customHeight="false" outlineLevel="0" collapsed="false">
      <c r="A39" s="1" t="s">
        <v>83</v>
      </c>
      <c r="B39" s="64" t="n">
        <f aca="false">SUM(Finance!B24:B30)</f>
        <v>4.45981371474482</v>
      </c>
      <c r="C39" s="65" t="n">
        <f aca="false">SUM(Finance!C24:C30)</f>
        <v>4.43538172118803</v>
      </c>
      <c r="D39" s="63" t="n">
        <f aca="false">SUM(Finance!D24:D30)</f>
        <v>4.56286293621648</v>
      </c>
      <c r="E39" s="65" t="n">
        <f aca="false">SUM(Finance!E24:E30)</f>
        <v>4.5164748937889</v>
      </c>
      <c r="F39" s="63" t="n">
        <f aca="false">SUM(Finance!F24:F30)</f>
        <v>4.17927052829072</v>
      </c>
      <c r="G39" s="65" t="n">
        <f aca="false">SUM(Finance!G24:G30)</f>
        <v>3.87655587969925</v>
      </c>
      <c r="H39" s="63" t="n">
        <f aca="false">SUM(Finance!H24:H30)</f>
        <v>3.91819079070499</v>
      </c>
      <c r="I39" s="66" t="n">
        <f aca="false">SUM(Finance!I24:I30)</f>
        <v>4.24532679067351</v>
      </c>
      <c r="J39" s="67" t="n">
        <f aca="false">SUM(Finance!J24:J30)</f>
        <v>3.74577992102054</v>
      </c>
      <c r="K39" s="65" t="n">
        <f aca="false">SUM(Finance!K24:K30)</f>
        <v>3.57009159000274</v>
      </c>
      <c r="L39" s="63" t="n">
        <f aca="false">SUM(Finance!L24:L30)</f>
        <v>3.4181718802276</v>
      </c>
      <c r="M39" s="65" t="n">
        <f aca="false">SUM(Finance!M24:M30)</f>
        <v>3.40696569899155</v>
      </c>
      <c r="N39" s="65" t="n">
        <f aca="false">SUM(Finance!N24:N30)</f>
        <v>3.38625946433476</v>
      </c>
      <c r="O39" s="63" t="n">
        <f aca="false">SUM(Finance!O24:O30)</f>
        <v>3.32718189616775</v>
      </c>
      <c r="P39" s="68" t="n">
        <f aca="false">SUM(Finance!P24:P30)</f>
        <v>3.54732290665533</v>
      </c>
      <c r="Q39" s="67" t="n">
        <f aca="false">SUM(Finance!Q24:Q30)</f>
        <v>3.41909505923756</v>
      </c>
      <c r="R39" s="63" t="n">
        <f aca="false">SUM(Finance!R24:R30)</f>
        <v>3.26230421999744</v>
      </c>
      <c r="S39" s="65" t="n">
        <f aca="false">SUM(Finance!S24:S30)</f>
        <v>3.35272630593366</v>
      </c>
      <c r="T39" s="63" t="n">
        <f aca="false">SUM(Finance!T24:T30)</f>
        <v>3.57679280963428</v>
      </c>
      <c r="U39" s="63" t="n">
        <f aca="false">SUM(Finance!U24:U30)</f>
        <v>4.20106353523324</v>
      </c>
      <c r="V39" s="65" t="n">
        <f aca="false">SUM(Finance!V24:V30)</f>
        <v>4.12170021835133</v>
      </c>
      <c r="W39" s="65" t="n">
        <f aca="false">SUM(Finance!W24:W30)</f>
        <v>3.9113840683196</v>
      </c>
      <c r="X39" s="66" t="n">
        <f aca="false">SUM(Finance!X24:X30)</f>
        <v>4.20517069580374</v>
      </c>
      <c r="Y39" s="67" t="n">
        <f aca="false">SUM(Finance!Y24:Y30)</f>
        <v>4.01545808555433</v>
      </c>
      <c r="Z39" s="63" t="n">
        <f aca="false">SUM(Finance!Z24:Z30)</f>
        <v>3.7052324146747</v>
      </c>
      <c r="AA39" s="65" t="n">
        <f aca="false">SUM(Finance!AA24:AA30)</f>
        <v>3.77691780534488</v>
      </c>
      <c r="AB39" s="63" t="n">
        <f aca="false">SUM(Finance!AB24:AB30)</f>
        <v>3.20380119938582</v>
      </c>
      <c r="AC39" s="68" t="n">
        <f aca="false">SUM(Finance!AC24:AC30)</f>
        <v>2.9416294009196</v>
      </c>
      <c r="AD39" s="67" t="n">
        <f aca="false">SUM(Finance!AD24:AD30)</f>
        <v>2.82834682756711</v>
      </c>
      <c r="AE39" s="63" t="n">
        <f aca="false">SUM(Finance!AE24:AE30)</f>
        <v>2.67958007807215</v>
      </c>
      <c r="AF39" s="65" t="n">
        <f aca="false">SUM(Finance!AF24:AF30)</f>
        <v>2.71532909382856</v>
      </c>
      <c r="AG39" s="63" t="n">
        <f aca="false">SUM(Finance!AG24:AG30)</f>
        <v>2.47557425327902</v>
      </c>
      <c r="AH39" s="63" t="n">
        <f aca="false">SUM(Finance!AH24:AH30)</f>
        <v>2.16956739015346</v>
      </c>
      <c r="AI39" s="66" t="n">
        <f aca="false">SUM(Finance!AI24:AI30)</f>
        <v>2.65974955233438</v>
      </c>
      <c r="AJ39" s="67" t="n">
        <f aca="false">SUM(Finance!AJ24:AJ30)</f>
        <v>2.45061723111481</v>
      </c>
      <c r="AK39" s="63" t="n">
        <f aca="false">SUM(Finance!AK24:AK30)</f>
        <v>2.22739333971381</v>
      </c>
      <c r="AL39" s="63" t="n">
        <f aca="false">SUM(Finance!AL24:AL30)</f>
        <v>2.13656966857287</v>
      </c>
      <c r="AM39" s="63" t="n">
        <f aca="false">SUM(Finance!AM24:AM30)</f>
        <v>2.04059720301181</v>
      </c>
      <c r="AN39" s="68" t="n">
        <f aca="false">SUM(Finance!AN24:AN30)</f>
        <v>2.14089162745239</v>
      </c>
      <c r="AO39" s="67" t="n">
        <f aca="false">SUM(Finance!AO24:AO30)</f>
        <v>2.0415463752973</v>
      </c>
      <c r="AP39" s="63" t="n">
        <f aca="false">SUM(Finance!AP24:AP30)</f>
        <v>2.09475429099075</v>
      </c>
      <c r="AQ39" s="63" t="n">
        <f aca="false">SUM(Finance!AQ24:AQ30)</f>
        <v>2.06035775540608</v>
      </c>
    </row>
    <row r="40" customFormat="false" ht="12.8" hidden="false" customHeight="false" outlineLevel="0" collapsed="false">
      <c r="A40" s="1" t="s">
        <v>84</v>
      </c>
      <c r="B40" s="64" t="n">
        <f aca="false">SUM('Heavy Industry'!B27:B34)</f>
        <v>1.72909902371124</v>
      </c>
      <c r="C40" s="65" t="n">
        <f aca="false">SUM('Heavy Industry'!C27:C34)</f>
        <v>1.80285553491884</v>
      </c>
      <c r="D40" s="63" t="n">
        <f aca="false">SUM('Heavy Industry'!D27:D34)</f>
        <v>1.80688432337517</v>
      </c>
      <c r="E40" s="65" t="n">
        <f aca="false">SUM('Heavy Industry'!E27:E34)</f>
        <v>1.76054811795291</v>
      </c>
      <c r="F40" s="63" t="n">
        <f aca="false">SUM('Heavy Industry'!F27:F34)</f>
        <v>1.76532263918059</v>
      </c>
      <c r="G40" s="65" t="n">
        <f aca="false">SUM('Heavy Industry'!G27:G34)</f>
        <v>1.66733522216213</v>
      </c>
      <c r="H40" s="63" t="n">
        <f aca="false">SUM('Heavy Industry'!H27:H34)</f>
        <v>1.6025253245656</v>
      </c>
      <c r="I40" s="66" t="n">
        <f aca="false">SUM('Heavy Industry'!I27:I34)</f>
        <v>1.59083865922557</v>
      </c>
      <c r="J40" s="67" t="n">
        <f aca="false">SUM('Heavy Industry'!J27:J34)</f>
        <v>2.5316539894848</v>
      </c>
      <c r="K40" s="65" t="n">
        <f aca="false">SUM('Heavy Industry'!K27:K34)</f>
        <v>2.7357543608812</v>
      </c>
      <c r="L40" s="63" t="n">
        <f aca="false">SUM('Heavy Industry'!L27:L34)</f>
        <v>2.70006951110813</v>
      </c>
      <c r="M40" s="65" t="n">
        <f aca="false">SUM('Heavy Industry'!M27:M34)</f>
        <v>2.69965839943611</v>
      </c>
      <c r="N40" s="65" t="n">
        <f aca="false">SUM('Heavy Industry'!N27:N34)</f>
        <v>2.73188012122431</v>
      </c>
      <c r="O40" s="63" t="n">
        <f aca="false">SUM('Heavy Industry'!O27:O34)</f>
        <v>2.92171462686167</v>
      </c>
      <c r="P40" s="68" t="n">
        <f aca="false">SUM('Heavy Industry'!P27:P34)</f>
        <v>2.52115713997289</v>
      </c>
      <c r="Q40" s="67" t="n">
        <f aca="false">SUM('Heavy Industry'!Q27:Q34)</f>
        <v>2.68986317256294</v>
      </c>
      <c r="R40" s="63" t="n">
        <f aca="false">SUM('Heavy Industry'!R27:R34)</f>
        <v>2.38793122524645</v>
      </c>
      <c r="S40" s="65" t="n">
        <f aca="false">SUM('Heavy Industry'!S27:S34)</f>
        <v>2.45073674496723</v>
      </c>
      <c r="T40" s="63" t="n">
        <f aca="false">SUM('Heavy Industry'!T27:T34)</f>
        <v>2.39047017476554</v>
      </c>
      <c r="U40" s="63" t="n">
        <f aca="false">SUM('Heavy Industry'!U27:U34)</f>
        <v>2.57759336448704</v>
      </c>
      <c r="V40" s="65" t="n">
        <f aca="false">SUM('Heavy Industry'!V27:V34)</f>
        <v>2.51044467650394</v>
      </c>
      <c r="W40" s="65" t="n">
        <f aca="false">SUM('Heavy Industry'!W27:W34)</f>
        <v>2.02781076958294</v>
      </c>
      <c r="X40" s="66" t="n">
        <f aca="false">SUM('Heavy Industry'!X27:X34)</f>
        <v>2.13660398131584</v>
      </c>
      <c r="Y40" s="67" t="n">
        <f aca="false">SUM('Heavy Industry'!Y27:Y34)</f>
        <v>2.17776137169881</v>
      </c>
      <c r="Z40" s="63" t="n">
        <f aca="false">SUM('Heavy Industry'!Z27:Z34)</f>
        <v>2.09376332982333</v>
      </c>
      <c r="AA40" s="65" t="n">
        <f aca="false">SUM('Heavy Industry'!AA27:AA34)</f>
        <v>2.12676693050008</v>
      </c>
      <c r="AB40" s="63" t="n">
        <f aca="false">SUM('Heavy Industry'!AB27:AB34)</f>
        <v>2.0637457556721</v>
      </c>
      <c r="AC40" s="68" t="n">
        <f aca="false">SUM('Heavy Industry'!AC27:AC34)</f>
        <v>1.98517456376086</v>
      </c>
      <c r="AD40" s="67" t="n">
        <f aca="false">SUM('Heavy Industry'!AD27:AD34)</f>
        <v>1.63589164512655</v>
      </c>
      <c r="AE40" s="63" t="n">
        <f aca="false">SUM('Heavy Industry'!AE27:AE34)</f>
        <v>1.56300556633466</v>
      </c>
      <c r="AF40" s="65" t="n">
        <f aca="false">SUM('Heavy Industry'!AF27:AF34)</f>
        <v>1.51994863262038</v>
      </c>
      <c r="AG40" s="63" t="n">
        <f aca="false">SUM('Heavy Industry'!AG27:AG34)</f>
        <v>1.40844973615306</v>
      </c>
      <c r="AH40" s="63" t="n">
        <f aca="false">SUM('Heavy Industry'!AH27:AH34)</f>
        <v>1.38680790390983</v>
      </c>
      <c r="AI40" s="66" t="n">
        <f aca="false">SUM('Heavy Industry'!AI27:AI34)</f>
        <v>1.70770289325556</v>
      </c>
      <c r="AJ40" s="67" t="n">
        <f aca="false">SUM('Heavy Industry'!AJ27:AJ34)</f>
        <v>1.7346626769525</v>
      </c>
      <c r="AK40" s="63" t="n">
        <f aca="false">SUM('Heavy Industry'!AK27:AK34)</f>
        <v>1.6642640565792</v>
      </c>
      <c r="AL40" s="63" t="n">
        <f aca="false">SUM('Heavy Industry'!AL27:AL34)</f>
        <v>1.59088645733245</v>
      </c>
      <c r="AM40" s="63" t="n">
        <f aca="false">SUM('Heavy Industry'!AM27:AM34)</f>
        <v>1.54351407451656</v>
      </c>
      <c r="AN40" s="68" t="n">
        <f aca="false">SUM('Heavy Industry'!AN27:AN34)</f>
        <v>1.12545264212785</v>
      </c>
      <c r="AO40" s="67" t="n">
        <f aca="false">SUM('Heavy Industry'!AO27:AO34)</f>
        <v>1.07537971236563</v>
      </c>
      <c r="AP40" s="63" t="n">
        <f aca="false">SUM('Heavy Industry'!AP27:AP34)</f>
        <v>1.04855408181323</v>
      </c>
      <c r="AQ40" s="63" t="n">
        <f aca="false">SUM('Heavy Industry'!AQ27:AQ34)</f>
        <v>1.03743635387467</v>
      </c>
    </row>
    <row r="41" customFormat="false" ht="12.8" hidden="false" customHeight="false" outlineLevel="0" collapsed="false">
      <c r="A41" s="1" t="s">
        <v>85</v>
      </c>
      <c r="B41" s="64" t="n">
        <f aca="false">SUM('Light Industry'!B25:B31)</f>
        <v>1.95925887184893</v>
      </c>
      <c r="C41" s="65" t="n">
        <f aca="false">SUM('Light Industry'!C25:C31)</f>
        <v>1.79660443213723</v>
      </c>
      <c r="D41" s="63" t="n">
        <f aca="false">SUM('Light Industry'!D25:D31)</f>
        <v>1.7976737092504</v>
      </c>
      <c r="E41" s="65" t="n">
        <f aca="false">SUM('Light Industry'!E25:E31)</f>
        <v>1.61934211031278</v>
      </c>
      <c r="F41" s="63" t="n">
        <f aca="false">SUM('Light Industry'!F25:F31)</f>
        <v>1.5483117688875</v>
      </c>
      <c r="G41" s="65" t="n">
        <f aca="false">SUM('Light Industry'!G25:G31)</f>
        <v>1.60093778320364</v>
      </c>
      <c r="H41" s="63" t="n">
        <f aca="false">SUM('Light Industry'!H25:H31)</f>
        <v>1.727031688696</v>
      </c>
      <c r="I41" s="66" t="n">
        <f aca="false">SUM('Light Industry'!I25:I31)</f>
        <v>1.62058218021329</v>
      </c>
      <c r="J41" s="67" t="n">
        <f aca="false">SUM('Light Industry'!J25:J31)</f>
        <v>1.51402034134217</v>
      </c>
      <c r="K41" s="65" t="n">
        <f aca="false">SUM('Light Industry'!K25:K31)</f>
        <v>1.50196883374028</v>
      </c>
      <c r="L41" s="63" t="n">
        <f aca="false">SUM('Light Industry'!L25:L31)</f>
        <v>1.47810803719998</v>
      </c>
      <c r="M41" s="65" t="n">
        <f aca="false">SUM('Light Industry'!M25:M31)</f>
        <v>1.47984630275461</v>
      </c>
      <c r="N41" s="65" t="n">
        <f aca="false">SUM('Light Industry'!N25:N31)</f>
        <v>1.45941799317733</v>
      </c>
      <c r="O41" s="63" t="n">
        <f aca="false">SUM('Light Industry'!O25:O31)</f>
        <v>1.41334078098505</v>
      </c>
      <c r="P41" s="68" t="n">
        <f aca="false">SUM('Light Industry'!P25:P31)</f>
        <v>1.64964629770601</v>
      </c>
      <c r="Q41" s="67" t="n">
        <f aca="false">SUM('Light Industry'!Q25:Q31)</f>
        <v>1.68405348660987</v>
      </c>
      <c r="R41" s="63" t="n">
        <f aca="false">SUM('Light Industry'!R25:R31)</f>
        <v>1.68652339411385</v>
      </c>
      <c r="S41" s="65" t="n">
        <f aca="false">SUM('Light Industry'!S25:S31)</f>
        <v>1.75002340947185</v>
      </c>
      <c r="T41" s="63" t="n">
        <f aca="false">SUM('Light Industry'!T25:T31)</f>
        <v>1.70314201608039</v>
      </c>
      <c r="U41" s="63" t="n">
        <f aca="false">SUM('Light Industry'!U25:U31)</f>
        <v>1.94132214512296</v>
      </c>
      <c r="V41" s="65" t="n">
        <f aca="false">SUM('Light Industry'!V25:V31)</f>
        <v>1.84012028065765</v>
      </c>
      <c r="W41" s="65" t="n">
        <f aca="false">SUM('Light Industry'!W25:W31)</f>
        <v>1.77879743284351</v>
      </c>
      <c r="X41" s="66" t="n">
        <f aca="false">SUM('Light Industry'!X25:X31)</f>
        <v>1.95384891463987</v>
      </c>
      <c r="Y41" s="67" t="n">
        <f aca="false">SUM('Light Industry'!Y25:Y31)</f>
        <v>1.83122491127846</v>
      </c>
      <c r="Z41" s="63" t="n">
        <f aca="false">SUM('Light Industry'!Z25:Z31)</f>
        <v>1.76008085422547</v>
      </c>
      <c r="AA41" s="65" t="n">
        <f aca="false">SUM('Light Industry'!AA25:AA31)</f>
        <v>1.79964643953937</v>
      </c>
      <c r="AB41" s="63" t="n">
        <f aca="false">SUM('Light Industry'!AB25:AB31)</f>
        <v>1.63613615572765</v>
      </c>
      <c r="AC41" s="68" t="n">
        <f aca="false">SUM('Light Industry'!AC25:AC31)</f>
        <v>1.74120725520426</v>
      </c>
      <c r="AD41" s="67" t="n">
        <f aca="false">SUM('Light Industry'!AD25:AD31)</f>
        <v>1.70149597210165</v>
      </c>
      <c r="AE41" s="63" t="n">
        <f aca="false">SUM('Light Industry'!AE25:AE31)</f>
        <v>1.6453333838322</v>
      </c>
      <c r="AF41" s="65" t="n">
        <f aca="false">SUM('Light Industry'!AF25:AF31)</f>
        <v>1.68691800392369</v>
      </c>
      <c r="AG41" s="63" t="n">
        <f aca="false">SUM('Light Industry'!AG25:AG31)</f>
        <v>1.52573992949523</v>
      </c>
      <c r="AH41" s="63" t="n">
        <f aca="false">SUM('Light Industry'!AH25:AH31)</f>
        <v>1.48145999027666</v>
      </c>
      <c r="AI41" s="66" t="n">
        <f aca="false">SUM('Light Industry'!AI25:AI31)</f>
        <v>1.96203059685689</v>
      </c>
      <c r="AJ41" s="67" t="n">
        <f aca="false">SUM('Light Industry'!AJ25:AJ31)</f>
        <v>1.88146363195206</v>
      </c>
      <c r="AK41" s="63" t="n">
        <f aca="false">SUM('Light Industry'!AK25:AK31)</f>
        <v>1.87208678619749</v>
      </c>
      <c r="AL41" s="63" t="n">
        <f aca="false">SUM('Light Industry'!AL25:AL31)</f>
        <v>1.85616257909842</v>
      </c>
      <c r="AM41" s="63" t="n">
        <f aca="false">SUM('Light Industry'!AM25:AM31)</f>
        <v>1.63156974611978</v>
      </c>
      <c r="AN41" s="68" t="n">
        <f aca="false">SUM('Light Industry'!AN25:AN31)</f>
        <v>1.89783191921744</v>
      </c>
      <c r="AO41" s="67" t="n">
        <f aca="false">SUM('Light Industry'!AO25:AO31)</f>
        <v>1.9004548588681</v>
      </c>
      <c r="AP41" s="63" t="n">
        <f aca="false">SUM('Light Industry'!AP25:AP31)</f>
        <v>1.84012848508168</v>
      </c>
      <c r="AQ41" s="63" t="n">
        <f aca="false">SUM('Light Industry'!AQ25:AQ31)</f>
        <v>1.80247727782538</v>
      </c>
    </row>
    <row r="42" customFormat="false" ht="12.8" hidden="false" customHeight="false" outlineLevel="0" collapsed="false">
      <c r="A42" s="1" t="s">
        <v>86</v>
      </c>
      <c r="B42" s="64" t="n">
        <f aca="false">SUM(Services!B23:B28)</f>
        <v>3.15331107764581</v>
      </c>
      <c r="C42" s="65" t="n">
        <f aca="false">SUM(Services!C23:C28)</f>
        <v>3.11716267975359</v>
      </c>
      <c r="D42" s="63" t="n">
        <f aca="false">SUM(Services!D23:D28)</f>
        <v>3.12160167639356</v>
      </c>
      <c r="E42" s="65" t="n">
        <f aca="false">SUM(Services!E23:E28)</f>
        <v>3.24637170177125</v>
      </c>
      <c r="F42" s="63" t="n">
        <f aca="false">SUM(Services!F23:F28)</f>
        <v>3.06629511420438</v>
      </c>
      <c r="G42" s="65" t="n">
        <f aca="false">SUM(Services!G23:G28)</f>
        <v>3.05326663482165</v>
      </c>
      <c r="H42" s="63" t="n">
        <f aca="false">SUM(Services!H23:H28)</f>
        <v>3.11461352654294</v>
      </c>
      <c r="I42" s="66" t="n">
        <f aca="false">SUM(Services!I23:I28)</f>
        <v>3.109481284845</v>
      </c>
      <c r="J42" s="67" t="n">
        <f aca="false">SUM(Services!J23:J28)</f>
        <v>2.83719975611002</v>
      </c>
      <c r="K42" s="65" t="n">
        <f aca="false">SUM(Services!K23:K28)</f>
        <v>2.95499365352389</v>
      </c>
      <c r="L42" s="63" t="n">
        <f aca="false">SUM(Services!L23:L28)</f>
        <v>2.90152660494515</v>
      </c>
      <c r="M42" s="65" t="n">
        <f aca="false">SUM(Services!M23:M28)</f>
        <v>2.90130338020735</v>
      </c>
      <c r="N42" s="65" t="n">
        <f aca="false">SUM(Services!N23:N28)</f>
        <v>2.88651577329322</v>
      </c>
      <c r="O42" s="63" t="n">
        <f aca="false">SUM(Services!O23:O28)</f>
        <v>2.90436574954151</v>
      </c>
      <c r="P42" s="68" t="n">
        <f aca="false">SUM(Services!P23:P28)</f>
        <v>3.30764996752376</v>
      </c>
      <c r="Q42" s="67" t="n">
        <f aca="false">SUM(Services!Q23:Q28)</f>
        <v>3.12910176658632</v>
      </c>
      <c r="R42" s="63" t="n">
        <f aca="false">SUM(Services!R23:R28)</f>
        <v>3.04039171586845</v>
      </c>
      <c r="S42" s="65" t="n">
        <f aca="false">SUM(Services!S23:S28)</f>
        <v>3.13114729004286</v>
      </c>
      <c r="T42" s="63" t="n">
        <f aca="false">SUM(Services!T23:T28)</f>
        <v>3.1879913641322</v>
      </c>
      <c r="U42" s="63" t="n">
        <f aca="false">SUM(Services!U23:U28)</f>
        <v>3.81541685891459</v>
      </c>
      <c r="V42" s="65" t="n">
        <f aca="false">SUM(Services!V23:V28)</f>
        <v>3.90672728575462</v>
      </c>
      <c r="W42" s="65" t="n">
        <f aca="false">SUM(Services!W23:W28)</f>
        <v>3.87032942803179</v>
      </c>
      <c r="X42" s="66" t="n">
        <f aca="false">SUM(Services!X23:X28)</f>
        <v>3.87288901548992</v>
      </c>
      <c r="Y42" s="67" t="n">
        <f aca="false">SUM(Services!Y23:Y28)</f>
        <v>3.84855629400091</v>
      </c>
      <c r="Z42" s="63" t="n">
        <f aca="false">SUM(Services!Z23:Z28)</f>
        <v>3.72643618576874</v>
      </c>
      <c r="AA42" s="65" t="n">
        <f aca="false">SUM(Services!AA23:AA28)</f>
        <v>3.98248918636519</v>
      </c>
      <c r="AB42" s="63" t="n">
        <f aca="false">SUM(Services!AB23:AB28)</f>
        <v>3.68363249324746</v>
      </c>
      <c r="AC42" s="68" t="n">
        <f aca="false">SUM(Services!AC23:AC28)</f>
        <v>2.41655853297485</v>
      </c>
      <c r="AD42" s="67" t="n">
        <f aca="false">SUM(Services!AD23:AD28)</f>
        <v>2.31910931065363</v>
      </c>
      <c r="AE42" s="63" t="n">
        <f aca="false">SUM(Services!AE23:AE28)</f>
        <v>2.35551902052175</v>
      </c>
      <c r="AF42" s="65" t="n">
        <f aca="false">SUM(Services!AF23:AF28)</f>
        <v>2.37692492749713</v>
      </c>
      <c r="AG42" s="63" t="n">
        <f aca="false">SUM(Services!AG23:AG28)</f>
        <v>2.46393517677749</v>
      </c>
      <c r="AH42" s="63" t="n">
        <f aca="false">SUM(Services!AH23:AH28)</f>
        <v>2.21108753124091</v>
      </c>
      <c r="AI42" s="66" t="n">
        <f aca="false">SUM(Services!AI23:AI28)</f>
        <v>2.57915022121987</v>
      </c>
      <c r="AJ42" s="67" t="n">
        <f aca="false">SUM(Services!AJ23:AJ28)</f>
        <v>2.5676804084305</v>
      </c>
      <c r="AK42" s="63" t="n">
        <f aca="false">SUM(Services!AK23:AK28)</f>
        <v>2.47345164211218</v>
      </c>
      <c r="AL42" s="63" t="n">
        <f aca="false">SUM(Services!AL23:AL28)</f>
        <v>2.44808646063764</v>
      </c>
      <c r="AM42" s="63" t="n">
        <f aca="false">SUM(Services!AM23:AM28)</f>
        <v>2.43679266309186</v>
      </c>
      <c r="AN42" s="68" t="n">
        <f aca="false">SUM(Services!AN23:AN28)</f>
        <v>2.52340583056006</v>
      </c>
      <c r="AO42" s="67" t="n">
        <f aca="false">SUM(Services!AO23:AO28)</f>
        <v>2.53099179931209</v>
      </c>
      <c r="AP42" s="63" t="n">
        <f aca="false">SUM(Services!AP23:AP28)</f>
        <v>2.50299679686686</v>
      </c>
      <c r="AQ42" s="63" t="n">
        <f aca="false">SUM(Services!AQ23:AQ28)</f>
        <v>2.47929824564452</v>
      </c>
    </row>
    <row r="43" customFormat="false" ht="12.8" hidden="false" customHeight="false" outlineLevel="0" collapsed="false">
      <c r="A43" s="1" t="s">
        <v>87</v>
      </c>
      <c r="B43" s="64" t="n">
        <f aca="false">SUM(('MBI10 Ratio'!B48:B57))</f>
        <v>3.77475248378097</v>
      </c>
      <c r="C43" s="65" t="n">
        <f aca="false">SUM(('MBI10 Ratio'!C48:C57))</f>
        <v>3.71589227923412</v>
      </c>
      <c r="D43" s="63" t="n">
        <f aca="false">SUM(('MBI10 Ratio'!D48:D57))</f>
        <v>3.79855389928326</v>
      </c>
      <c r="E43" s="65" t="n">
        <f aca="false">SUM(('MBI10 Ratio'!E48:E57))</f>
        <v>3.73637728427755</v>
      </c>
      <c r="F43" s="63" t="n">
        <f aca="false">SUM(('MBI10 Ratio'!F48:F57))</f>
        <v>3.4939146342792</v>
      </c>
      <c r="G43" s="65" t="n">
        <f aca="false">SUM(('MBI10 Ratio'!G48:G57))</f>
        <v>3.30300197638798</v>
      </c>
      <c r="H43" s="63" t="n">
        <f aca="false">SUM(('MBI10 Ratio'!H48:H57))</f>
        <v>3.36842556324439</v>
      </c>
      <c r="I43" s="66" t="n">
        <f aca="false">SUM(('MBI10 Ratio'!I48:I57))</f>
        <v>3.50155128667796</v>
      </c>
      <c r="J43" s="67" t="n">
        <f aca="false">SUM(('MBI10 Ratio'!J48:J57))</f>
        <v>3.11755985652158</v>
      </c>
      <c r="K43" s="65" t="n">
        <f aca="false">SUM(('MBI10 Ratio'!K48:K57))</f>
        <v>3.01357402195305</v>
      </c>
      <c r="L43" s="63" t="n">
        <f aca="false">SUM(('MBI10 Ratio'!L48:L57))</f>
        <v>2.94603920252689</v>
      </c>
      <c r="M43" s="65" t="n">
        <f aca="false">SUM(('MBI10 Ratio'!M48:M57))</f>
        <v>2.94125328742268</v>
      </c>
      <c r="N43" s="65" t="n">
        <f aca="false">SUM(('MBI10 Ratio'!N48:N57))</f>
        <v>2.92110677058505</v>
      </c>
      <c r="O43" s="63" t="n">
        <f aca="false">SUM(('MBI10 Ratio'!O48:O57))</f>
        <v>2.8693933155551</v>
      </c>
      <c r="P43" s="68" t="n">
        <f aca="false">SUM(('MBI10 Ratio'!P48:P57))</f>
        <v>3.1603071168154</v>
      </c>
      <c r="Q43" s="67" t="n">
        <f aca="false">SUM(('MBI10 Ratio'!Q48:Q57))</f>
        <v>3.05044787679744</v>
      </c>
      <c r="R43" s="63" t="n">
        <f aca="false">SUM(('MBI10 Ratio'!R48:R57))</f>
        <v>2.92654231877965</v>
      </c>
      <c r="S43" s="65" t="n">
        <f aca="false">SUM(('MBI10 Ratio'!S48:S57))</f>
        <v>3.0185467909096</v>
      </c>
      <c r="T43" s="63" t="n">
        <f aca="false">SUM(('MBI10 Ratio'!T48:T57))</f>
        <v>3.15427908574494</v>
      </c>
      <c r="U43" s="63" t="n">
        <f aca="false">SUM(('MBI10 Ratio'!U48:U57))</f>
        <v>3.72160143019605</v>
      </c>
      <c r="V43" s="65" t="n">
        <f aca="false">SUM(('MBI10 Ratio'!V48:V57))</f>
        <v>3.68969051152601</v>
      </c>
      <c r="W43" s="65" t="n">
        <f aca="false">SUM(('MBI10 Ratio'!W48:W57))</f>
        <v>3.55894891988842</v>
      </c>
      <c r="X43" s="66" t="n">
        <f aca="false">SUM(('MBI10 Ratio'!X48:X57))</f>
        <v>3.73883264922414</v>
      </c>
      <c r="Y43" s="67" t="n">
        <f aca="false">SUM(('MBI10 Ratio'!Y48:Y57))</f>
        <v>3.57609860623969</v>
      </c>
      <c r="Z43" s="63" t="n">
        <f aca="false">SUM(('MBI10 Ratio'!Z48:Z57))</f>
        <v>3.37122065985936</v>
      </c>
      <c r="AA43" s="65" t="n">
        <f aca="false">SUM(('MBI10 Ratio'!AA48:AA57))</f>
        <v>3.4967539728501</v>
      </c>
      <c r="AC43" s="1"/>
      <c r="AD43" s="1"/>
      <c r="AF43" s="1"/>
      <c r="AI43" s="1"/>
      <c r="AJ43" s="1"/>
      <c r="AN43" s="1"/>
      <c r="AO43" s="1"/>
    </row>
    <row r="44" customFormat="false" ht="12.8" hidden="false" customHeight="false" outlineLevel="0" collapsed="false">
      <c r="A44" s="1" t="s">
        <v>88</v>
      </c>
      <c r="B44" s="64" t="n">
        <f aca="false">SUM('MBI10 Ratio'!B60:B69)</f>
        <v>3.64309371110073</v>
      </c>
      <c r="C44" s="65" t="n">
        <f aca="false">SUM('MBI10 Ratio'!C60:C69)</f>
        <v>3.55429795429842</v>
      </c>
      <c r="D44" s="63" t="n">
        <f aca="false">SUM('MBI10 Ratio'!D60:D69)</f>
        <v>3.59564623093913</v>
      </c>
      <c r="E44" s="65" t="n">
        <f aca="false">SUM('MBI10 Ratio'!E60:E69)</f>
        <v>3.5337121196673</v>
      </c>
      <c r="F44" s="63" t="n">
        <f aca="false">SUM('MBI10 Ratio'!F60:F69)</f>
        <v>3.288248691762</v>
      </c>
      <c r="G44" s="65" t="n">
        <f aca="false">SUM('MBI10 Ratio'!G60:G69)</f>
        <v>3.13678756135791</v>
      </c>
      <c r="H44" s="63" t="n">
        <f aca="false">SUM('MBI10 Ratio'!H60:H69)</f>
        <v>3.23928023819064</v>
      </c>
      <c r="I44" s="66" t="n">
        <f aca="false">SUM('MBI10 Ratio'!I60:I69)</f>
        <v>3.38995860931161</v>
      </c>
      <c r="J44" s="67" t="n">
        <f aca="false">SUM('MBI10 Ratio'!J60:J69)</f>
        <v>3.05622596757271</v>
      </c>
      <c r="K44" s="65" t="n">
        <f aca="false">SUM('MBI10 Ratio'!K60:K69)</f>
        <v>2.90208394310368</v>
      </c>
      <c r="L44" s="63" t="n">
        <f aca="false">SUM('MBI10 Ratio'!L60:L69)</f>
        <v>2.84908200973127</v>
      </c>
      <c r="M44" s="65" t="n">
        <f aca="false">SUM('MBI10 Ratio'!M60:M69)</f>
        <v>2.84433753532577</v>
      </c>
      <c r="N44" s="65" t="n">
        <f aca="false">SUM('MBI10 Ratio'!N60:N69)</f>
        <v>2.82561446198327</v>
      </c>
      <c r="O44" s="63" t="n">
        <f aca="false">SUM('MBI10 Ratio'!O60:O69)</f>
        <v>2.77322459242396</v>
      </c>
      <c r="P44" s="68" t="n">
        <f aca="false">SUM('MBI10 Ratio'!P60:P69)</f>
        <v>3.36878640354352</v>
      </c>
      <c r="Q44" s="67" t="n">
        <f aca="false">SUM('MBI10 Ratio'!Q60:Q69)</f>
        <v>3.22605126376509</v>
      </c>
      <c r="R44" s="63" t="n">
        <f aca="false">SUM('MBI10 Ratio'!R60:R69)</f>
        <v>3.13972341342444</v>
      </c>
      <c r="S44" s="65" t="n">
        <f aca="false">SUM('MBI10 Ratio'!S60:S69)</f>
        <v>3.19050745876315</v>
      </c>
      <c r="T44" s="63" t="n">
        <f aca="false">SUM('MBI10 Ratio'!T60:T69)</f>
        <v>3.39696704885041</v>
      </c>
      <c r="U44" s="63" t="n">
        <f aca="false">SUM('MBI10 Ratio'!U60:U69)</f>
        <v>4.44515762138321</v>
      </c>
      <c r="V44" s="65" t="n">
        <f aca="false">SUM('MBI10 Ratio'!V60:V69)</f>
        <v>4.4056161516007</v>
      </c>
      <c r="W44" s="65" t="n">
        <f aca="false">SUM('MBI10 Ratio'!W60:W69)</f>
        <v>4.28482121147792</v>
      </c>
      <c r="X44" s="66" t="n">
        <f aca="false">SUM('MBI10 Ratio'!X60:X69)</f>
        <v>4.47788668833789</v>
      </c>
      <c r="Y44" s="67" t="n">
        <f aca="false">SUM('MBI10 Ratio'!Y60:Y69)</f>
        <v>4.27151078994206</v>
      </c>
      <c r="Z44" s="63" t="n">
        <f aca="false">SUM('MBI10 Ratio'!Z60:Z69)</f>
        <v>4.06373909450074</v>
      </c>
      <c r="AA44" s="65" t="n">
        <f aca="false">SUM('MBI10 Ratio'!AA60:AA69)</f>
        <v>4.18773836379111</v>
      </c>
      <c r="AB44" s="63" t="n">
        <f aca="false">SUM(('MBI10 Ratio'!AB48:AB57))</f>
        <v>3.098922045998</v>
      </c>
      <c r="AC44" s="68" t="n">
        <f aca="false">SUM(('MBI10 Ratio'!AC48:AC57))</f>
        <v>2.56695791335926</v>
      </c>
      <c r="AD44" s="67" t="n">
        <f aca="false">SUM(('MBI10 Ratio'!AD48:AD57))</f>
        <v>2.46020987125096</v>
      </c>
      <c r="AE44" s="63" t="n">
        <f aca="false">SUM(('MBI10 Ratio'!AE48:AE57))</f>
        <v>2.40888479381402</v>
      </c>
      <c r="AF44" s="65" t="n">
        <f aca="false">SUM(('MBI10 Ratio'!AF48:AF57))</f>
        <v>2.44573112512577</v>
      </c>
      <c r="AG44" s="63" t="n">
        <f aca="false">SUM(('MBI10 Ratio'!AG48:AG57))</f>
        <v>2.32765477459597</v>
      </c>
      <c r="AH44" s="63" t="n">
        <f aca="false">SUM(('MBI10 Ratio'!AH48:AH57))</f>
        <v>2.08482132186398</v>
      </c>
      <c r="AI44" s="66" t="n">
        <f aca="false">SUM(('MBI10 Ratio'!AI48:AI57))</f>
        <v>2.54633500464606</v>
      </c>
      <c r="AJ44" s="67" t="n">
        <f aca="false">SUM(('MBI10 Ratio'!AJ48:AJ57))</f>
        <v>2.43523854931922</v>
      </c>
      <c r="AK44" s="63" t="n">
        <f aca="false">SUM(('MBI10 Ratio'!AK48:AK57))</f>
        <v>2.29617295267632</v>
      </c>
      <c r="AL44" s="63" t="n">
        <f aca="false">SUM(('MBI10 Ratio'!AL48:AL57))</f>
        <v>2.22896063601943</v>
      </c>
      <c r="AM44" s="63" t="n">
        <f aca="false">SUM(('MBI10 Ratio'!AM48:AM57))</f>
        <v>2.16577797341449</v>
      </c>
      <c r="AN44" s="68" t="n">
        <f aca="false">SUM(('MBI10 Ratio'!AN48:AN57))</f>
        <v>2.29159288169748</v>
      </c>
      <c r="AO44" s="67" t="n">
        <f aca="false">SUM(('MBI10 Ratio'!AO48:AO57))</f>
        <v>2.25102911976952</v>
      </c>
      <c r="AP44" s="63" t="n">
        <f aca="false">SUM(('MBI10 Ratio'!AP48:AP57))</f>
        <v>2.25256631109894</v>
      </c>
      <c r="AQ44" s="63" t="n">
        <f aca="false">SUM(('MBI10 Ratio'!AQ48:AQ57))</f>
        <v>2.22587920281045</v>
      </c>
    </row>
    <row r="45" customFormat="false" ht="12.8" hidden="false" customHeight="false" outlineLevel="0" collapsed="false">
      <c r="A45" s="86" t="s">
        <v>89</v>
      </c>
      <c r="B45" s="87" t="n">
        <f aca="false">SUM('MI wo. MBI10'!B44:B60)</f>
        <v>1.66264802481844</v>
      </c>
      <c r="C45" s="88" t="n">
        <f aca="false">SUM('MI wo. MBI10'!C44:C60)</f>
        <v>1.70369475618977</v>
      </c>
      <c r="D45" s="89" t="n">
        <f aca="false">SUM('MI wo. MBI10'!D44:D60)</f>
        <v>1.70485164510511</v>
      </c>
      <c r="E45" s="88" t="n">
        <f aca="false">SUM('MI wo. MBI10'!E44:E60)</f>
        <v>1.67271707606584</v>
      </c>
      <c r="F45" s="89" t="n">
        <f aca="false">SUM('MI wo. MBI10'!F44:F60)</f>
        <v>1.63814724232571</v>
      </c>
      <c r="G45" s="88" t="n">
        <f aca="false">SUM('MI wo. MBI10'!G44:G60)</f>
        <v>1.54734536673753</v>
      </c>
      <c r="H45" s="89" t="n">
        <f aca="false">SUM('MI wo. MBI10'!H44:H60)</f>
        <v>1.48827270373466</v>
      </c>
      <c r="I45" s="90" t="n">
        <f aca="false">SUM('MI wo. MBI10'!I44:I60)</f>
        <v>1.4643975945896</v>
      </c>
      <c r="J45" s="91" t="n">
        <f aca="false">SUM('MI wo. MBI10'!J44:J60)</f>
        <v>2.2482687967328</v>
      </c>
      <c r="K45" s="88" t="n">
        <f aca="false">SUM('MI wo. MBI10'!K44:K60)</f>
        <v>2.20883692582357</v>
      </c>
      <c r="L45" s="89" t="n">
        <f aca="false">SUM('MI wo. MBI10'!L44:L60)</f>
        <v>2.3858351684771</v>
      </c>
      <c r="M45" s="88" t="n">
        <f aca="false">SUM('MI wo. MBI10'!M44:M60)</f>
        <v>2.38466905440069</v>
      </c>
      <c r="N45" s="88" t="n">
        <f aca="false">SUM('MI wo. MBI10'!N44:N60)</f>
        <v>2.40620057783454</v>
      </c>
      <c r="O45" s="89" t="n">
        <f aca="false">SUM('MI wo. MBI10'!O44:O60)</f>
        <v>2.54985514125006</v>
      </c>
      <c r="P45" s="92" t="n">
        <f aca="false">SUM('MI wo. MBI10'!P44:P60)</f>
        <v>2.26569423137739</v>
      </c>
      <c r="Q45" s="91" t="n">
        <f aca="false">SUM('MI wo. MBI10'!Q44:Q60)</f>
        <v>2.42759690852039</v>
      </c>
      <c r="R45" s="89" t="n">
        <f aca="false">SUM('MI wo. MBI10'!R44:R60)</f>
        <v>2.22978339979726</v>
      </c>
      <c r="S45" s="88" t="n">
        <f aca="false">SUM('MI wo. MBI10'!S44:S60)</f>
        <v>2.26665750581765</v>
      </c>
      <c r="T45" s="89" t="n">
        <f aca="false">SUM('MI wo. MBI10'!T44:T60)</f>
        <v>2.21518089253041</v>
      </c>
      <c r="U45" s="89" t="n">
        <f aca="false">SUM('MI wo. MBI10'!U44:U60)</f>
        <v>2.41958471345673</v>
      </c>
      <c r="V45" s="88" t="n">
        <f aca="false">SUM('MI wo. MBI10'!V44:V60)</f>
        <v>2.33540565694107</v>
      </c>
      <c r="W45" s="88" t="n">
        <f aca="false">SUM('MI wo. MBI10'!W44:W60)</f>
        <v>1.93279006201128</v>
      </c>
      <c r="X45" s="90" t="n">
        <f aca="false">SUM('MI wo. MBI10'!X44:X60)</f>
        <v>2.04201348904542</v>
      </c>
      <c r="Y45" s="91" t="n">
        <f aca="false">SUM('MI wo. MBI10'!Y44:Y60)</f>
        <v>2.09052981893556</v>
      </c>
      <c r="Z45" s="89" t="n">
        <f aca="false">SUM('MI wo. MBI10'!Z44:Z60)</f>
        <v>1.9915254798419</v>
      </c>
      <c r="AA45" s="88" t="n">
        <f aca="false">SUM('MI wo. MBI10'!AA44:AA60)</f>
        <v>2.01658399023825</v>
      </c>
      <c r="AB45" s="89" t="n">
        <f aca="false">SUM('MI wo. MBI10'!AB44:AB60)</f>
        <v>1.94112270094441</v>
      </c>
      <c r="AC45" s="92" t="n">
        <f aca="false">SUM('MI wo. MBI10'!AC44:AC60)</f>
        <v>1.83034570051162</v>
      </c>
      <c r="AD45" s="91" t="n">
        <f aca="false">SUM('MI wo. MBI10'!AD44:AD60)</f>
        <v>1.57906681595801</v>
      </c>
      <c r="AE45" s="89" t="n">
        <f aca="false">SUM('MI wo. MBI10'!AE44:AE60)</f>
        <v>1.49679046335344</v>
      </c>
      <c r="AF45" s="88" t="n">
        <f aca="false">SUM('MI wo. MBI10'!AF44:AF60)</f>
        <v>1.45791479911221</v>
      </c>
      <c r="AG45" s="89" t="n">
        <f aca="false">SUM('MI wo. MBI10'!AG44:AG60)</f>
        <v>1.36557533351487</v>
      </c>
      <c r="AH45" s="89" t="n">
        <f aca="false">SUM('MI wo. MBI10'!AH44:AH60)</f>
        <v>1.34880234703935</v>
      </c>
      <c r="AI45" s="90" t="n">
        <f aca="false">SUM('MI wo. MBI10'!AI44:AI60)</f>
        <v>1.63407373420414</v>
      </c>
      <c r="AJ45" s="91" t="n">
        <f aca="false">SUM('MI wo. MBI10'!AJ44:AJ60)</f>
        <v>1.6485662171878</v>
      </c>
      <c r="AK45" s="89" t="n">
        <f aca="false">SUM('MI wo. MBI10'!AK44:AK60)</f>
        <v>1.5782364291747</v>
      </c>
      <c r="AL45" s="89" t="n">
        <f aca="false">SUM('MI wo. MBI10'!AL44:AL60)</f>
        <v>1.51142417949851</v>
      </c>
      <c r="AM45" s="89" t="n">
        <f aca="false">SUM('MI wo. MBI10'!AM44:AM60)</f>
        <v>1.46375875886941</v>
      </c>
      <c r="AN45" s="92" t="n">
        <f aca="false">SUM('MI wo. MBI10'!AN44:AN60)</f>
        <v>1.18738833658215</v>
      </c>
      <c r="AO45" s="91" t="n">
        <f aca="false">SUM('MI wo. MBI10'!AO44:AO60)</f>
        <v>1.13793192022247</v>
      </c>
      <c r="AP45" s="89" t="n">
        <f aca="false">SUM('MI wo. MBI10'!AP44:AP60)</f>
        <v>1.11527571693902</v>
      </c>
      <c r="AQ45" s="89" t="n">
        <f aca="false">SUM('MI wo. MBI10'!AQ44:AQ60)</f>
        <v>1.09487021965438</v>
      </c>
    </row>
    <row r="46" customFormat="false" ht="12.8" hidden="false" customHeight="false" outlineLevel="0" collapsed="false">
      <c r="A46" s="1" t="s">
        <v>100</v>
      </c>
      <c r="B46" s="64" t="n">
        <f aca="false">MEDIAN(B37:B45)</f>
        <v>3.41100483419477</v>
      </c>
      <c r="C46" s="65" t="n">
        <f aca="false">MEDIAN(C37:C45)</f>
        <v>3.35316946170683</v>
      </c>
      <c r="D46" s="63" t="n">
        <f aca="false">MEDIAN(D37:D45)</f>
        <v>3.43985839554956</v>
      </c>
      <c r="E46" s="65" t="n">
        <f aca="false">MEDIAN(E37:E45)</f>
        <v>3.35193712520104</v>
      </c>
      <c r="F46" s="63" t="n">
        <f aca="false">MEDIAN(F37:F45)</f>
        <v>3.16357367465541</v>
      </c>
      <c r="G46" s="65" t="n">
        <f aca="false">MEDIAN(G37:G45)</f>
        <v>3.02420467872458</v>
      </c>
      <c r="H46" s="63" t="n">
        <f aca="false">MEDIAN(H37:H45)</f>
        <v>3.06994706876197</v>
      </c>
      <c r="I46" s="66" t="n">
        <f aca="false">MEDIAN(I37:I45)</f>
        <v>3.16196485984215</v>
      </c>
      <c r="J46" s="67" t="n">
        <f aca="false">MEDIAN(J37:J45)</f>
        <v>2.83719975611002</v>
      </c>
      <c r="K46" s="65" t="n">
        <f aca="false">MEDIAN(K37:K45)</f>
        <v>2.90208394310368</v>
      </c>
      <c r="L46" s="63" t="n">
        <f aca="false">MEDIAN(L37:L45)</f>
        <v>2.84414839760556</v>
      </c>
      <c r="M46" s="65" t="n">
        <f aca="false">MEDIAN(M37:M45)</f>
        <v>2.83997944249815</v>
      </c>
      <c r="N46" s="65" t="n">
        <f aca="false">MEDIAN(N37:N45)</f>
        <v>2.82561446198327</v>
      </c>
      <c r="O46" s="63" t="n">
        <f aca="false">MEDIAN(O37:O45)</f>
        <v>2.81397147213368</v>
      </c>
      <c r="P46" s="68" t="n">
        <f aca="false">MEDIAN(P37:P45)</f>
        <v>3.00067384271635</v>
      </c>
      <c r="Q46" s="67" t="n">
        <f aca="false">MEDIAN(Q37:Q45)</f>
        <v>2.92269024444587</v>
      </c>
      <c r="R46" s="63" t="n">
        <f aca="false">MEDIAN(R37:R45)</f>
        <v>2.78855684333838</v>
      </c>
      <c r="S46" s="65" t="n">
        <f aca="false">MEDIAN(S37:S45)</f>
        <v>2.8752472499258</v>
      </c>
      <c r="T46" s="63" t="n">
        <f aca="false">MEDIAN(T37:T45)</f>
        <v>2.9609750639902</v>
      </c>
      <c r="U46" s="63" t="n">
        <f aca="false">MEDIAN(U37:U45)</f>
        <v>3.44620381460587</v>
      </c>
      <c r="V46" s="65" t="n">
        <f aca="false">MEDIAN(V37:V45)</f>
        <v>3.40009255225479</v>
      </c>
      <c r="W46" s="65" t="n">
        <f aca="false">MEDIAN(W37:W45)</f>
        <v>3.20355400216624</v>
      </c>
      <c r="X46" s="66" t="n">
        <f aca="false">MEDIAN(X37:X45)</f>
        <v>3.39014712257116</v>
      </c>
      <c r="Y46" s="67" t="n">
        <f aca="false">MEDIAN(Y37:Y45)</f>
        <v>3.28098575721173</v>
      </c>
      <c r="Z46" s="63" t="n">
        <f aca="false">MEDIAN(Z37:Z45)</f>
        <v>3.08112598063057</v>
      </c>
      <c r="AA46" s="65" t="n">
        <f aca="false">MEDIAN(AA37:AA45)</f>
        <v>3.19961834272372</v>
      </c>
      <c r="AB46" s="63" t="n">
        <f aca="false">MEDIAN(AB37:AB42,AB44:AB45)</f>
        <v>2.69386447532973</v>
      </c>
      <c r="AC46" s="68" t="n">
        <f aca="false">MEDIAN(AC37:AC42,AC44:AC45)</f>
        <v>2.40052936904376</v>
      </c>
      <c r="AD46" s="67" t="n">
        <f aca="false">MEDIAN(AD37:AD42,AD44:AD45)</f>
        <v>2.2946635823456</v>
      </c>
      <c r="AE46" s="63" t="n">
        <f aca="false">MEDIAN(AE37:AE42,AE44:AE45)</f>
        <v>2.23090524999159</v>
      </c>
      <c r="AF46" s="65" t="n">
        <f aca="false">MEDIAN(AF37:AF42,AF44:AF45)</f>
        <v>2.25782668471148</v>
      </c>
      <c r="AG46" s="63" t="n">
        <f aca="false">MEDIAN(AG37:AG42,AG44:AG45)</f>
        <v>2.12654520359881</v>
      </c>
      <c r="AH46" s="63" t="n">
        <f aca="false">MEDIAN(AH37:AH42,AH44:AH45)</f>
        <v>1.90398827901601</v>
      </c>
      <c r="AI46" s="66" t="n">
        <f aca="false">MEDIAN(AI37:AI42,AI44:AI45)</f>
        <v>2.34619426818168</v>
      </c>
      <c r="AJ46" s="67" t="n">
        <f aca="false">MEDIAN(AJ37:AJ42,AJ44:AJ45)</f>
        <v>2.24367638777609</v>
      </c>
      <c r="AK46" s="63" t="n">
        <f aca="false">MEDIAN(AK37:AK42,AK44:AK45)</f>
        <v>2.11884412104915</v>
      </c>
      <c r="AL46" s="63" t="n">
        <f aca="false">MEDIAN(AL37:AL42,AL44:AL45)</f>
        <v>2.05844976045032</v>
      </c>
      <c r="AM46" s="63" t="n">
        <f aca="false">MEDIAN(AM37:AM42,AM44:AM45)</f>
        <v>1.96906547445777</v>
      </c>
      <c r="AN46" s="68" t="n">
        <f aca="false">MEDIAN(AN37:AN42,AN44:AN45)</f>
        <v>2.02875736889588</v>
      </c>
      <c r="AO46" s="67" t="n">
        <f aca="false">MEDIAN(AO37:AO42,AO44:AO45)</f>
        <v>1.97303892785087</v>
      </c>
      <c r="AP46" s="63" t="n">
        <f aca="false">MEDIAN(AP37:AP42,AP44:AP45)</f>
        <v>1.95505707287029</v>
      </c>
      <c r="AQ46" s="63" t="n">
        <f aca="false">MEDIAN(AQ37:AQ42,AQ44:AQ45)</f>
        <v>1.93378263251719</v>
      </c>
    </row>
    <row r="47" s="93" customFormat="true" ht="12.8" hidden="false" customHeight="false" outlineLevel="0" collapsed="false">
      <c r="A47" s="1"/>
      <c r="B47" s="64"/>
      <c r="C47" s="65"/>
      <c r="D47" s="63"/>
      <c r="E47" s="65"/>
      <c r="F47" s="63"/>
      <c r="G47" s="65"/>
      <c r="H47" s="63"/>
      <c r="I47" s="66"/>
      <c r="J47" s="67"/>
      <c r="K47" s="65"/>
      <c r="L47" s="63"/>
      <c r="M47" s="65"/>
      <c r="N47" s="65"/>
      <c r="O47" s="63"/>
      <c r="P47" s="68"/>
      <c r="Q47" s="67"/>
      <c r="R47" s="63"/>
      <c r="S47" s="65"/>
      <c r="T47" s="63"/>
      <c r="U47" s="63"/>
      <c r="V47" s="65"/>
      <c r="W47" s="65"/>
      <c r="X47" s="66"/>
      <c r="Y47" s="67"/>
      <c r="Z47" s="63"/>
      <c r="AA47" s="65"/>
      <c r="AB47" s="63"/>
      <c r="AC47" s="68"/>
      <c r="AD47" s="67"/>
      <c r="AE47" s="63"/>
      <c r="AF47" s="65"/>
      <c r="AG47" s="63"/>
      <c r="AH47" s="63"/>
      <c r="AI47" s="66"/>
      <c r="AJ47" s="67"/>
      <c r="AK47" s="63"/>
      <c r="AL47" s="63"/>
      <c r="AM47" s="63"/>
      <c r="AN47" s="68"/>
      <c r="AO47" s="67"/>
      <c r="AP47" s="63"/>
    </row>
    <row r="48" customFormat="false" ht="12.8" hidden="false" customHeight="false" outlineLevel="0" collapsed="false">
      <c r="A48" s="1" t="s">
        <v>101</v>
      </c>
      <c r="B48" s="64"/>
      <c r="C48" s="65"/>
      <c r="D48" s="63"/>
      <c r="E48" s="65"/>
      <c r="F48" s="63"/>
      <c r="G48" s="65"/>
      <c r="H48" s="63"/>
      <c r="I48" s="66"/>
      <c r="J48" s="67"/>
      <c r="K48" s="65"/>
      <c r="L48" s="63"/>
      <c r="M48" s="65"/>
      <c r="N48" s="65"/>
      <c r="O48" s="63"/>
      <c r="P48" s="68"/>
      <c r="Q48" s="67"/>
      <c r="R48" s="63"/>
      <c r="S48" s="65"/>
      <c r="T48" s="63"/>
      <c r="U48" s="63"/>
      <c r="V48" s="65"/>
      <c r="W48" s="65"/>
      <c r="X48" s="66"/>
      <c r="Y48" s="67"/>
      <c r="Z48" s="63"/>
      <c r="AA48" s="65"/>
      <c r="AB48" s="63"/>
      <c r="AC48" s="68"/>
      <c r="AD48" s="67"/>
      <c r="AE48" s="63"/>
      <c r="AF48" s="65"/>
      <c r="AG48" s="63"/>
      <c r="AH48" s="63"/>
      <c r="AI48" s="66"/>
      <c r="AJ48" s="67"/>
      <c r="AK48" s="63"/>
      <c r="AL48" s="63"/>
      <c r="AM48" s="63"/>
      <c r="AN48" s="68"/>
      <c r="AO48" s="67"/>
      <c r="AP48" s="63"/>
    </row>
    <row r="49" customFormat="false" ht="12.8" hidden="false" customHeight="false" outlineLevel="0" collapsed="false">
      <c r="A49" s="1" t="s">
        <v>81</v>
      </c>
      <c r="B49" s="64" t="n">
        <f aca="false">SUM(MI!B96:B123)</f>
        <v>13.4446347177689</v>
      </c>
      <c r="C49" s="65" t="n">
        <f aca="false">SUM(MI!C96:C123)</f>
        <v>13.1255691299823</v>
      </c>
      <c r="D49" s="63" t="n">
        <f aca="false">SUM(MI!D96:D123)</f>
        <v>13.312503480709</v>
      </c>
      <c r="E49" s="65" t="n">
        <f aca="false">SUM(MI!E96:E123)</f>
        <v>13.0008790490414</v>
      </c>
      <c r="F49" s="63" t="n">
        <f aca="false">SUM(MI!F96:F123)</f>
        <v>12.3425391064955</v>
      </c>
      <c r="G49" s="65" t="n">
        <f aca="false">SUM(MI!G96:G123)</f>
        <v>15.3467466887646</v>
      </c>
      <c r="H49" s="63" t="n">
        <f aca="false">SUM(MI!H96:H123)</f>
        <v>15.9615599291459</v>
      </c>
      <c r="I49" s="66" t="n">
        <f aca="false">SUM(MI!I96:I123)</f>
        <v>17.0474658547392</v>
      </c>
      <c r="J49" s="67" t="n">
        <f aca="false">SUM(MI!J96:J123)</f>
        <v>15.4325313258286</v>
      </c>
      <c r="K49" s="65" t="n">
        <f aca="false">SUM(MI!K96:K123)</f>
        <v>15.3475046819328</v>
      </c>
      <c r="L49" s="63" t="n">
        <f aca="false">SUM(MI!L96:L123)</f>
        <v>15.049080048873</v>
      </c>
      <c r="M49" s="65" t="n">
        <f aca="false">SUM(MI!M96:M123)</f>
        <v>14.9996889096135</v>
      </c>
      <c r="N49" s="65" t="n">
        <f aca="false">SUM(MI!N96:N123)</f>
        <v>14.8938575824692</v>
      </c>
      <c r="O49" s="63" t="n">
        <f aca="false">SUM(MI!O96:O123)</f>
        <v>15.012568307844</v>
      </c>
      <c r="P49" s="68" t="n">
        <f aca="false">SUM(MI!P96:P123)</f>
        <v>13.7895879122224</v>
      </c>
      <c r="Q49" s="67" t="n">
        <f aca="false">SUM(MI!Q96:Q123)</f>
        <v>13.1914262532002</v>
      </c>
      <c r="R49" s="63" t="n">
        <f aca="false">SUM(MI!R96:R123)</f>
        <v>12.7620117257484</v>
      </c>
      <c r="S49" s="65" t="n">
        <f aca="false">SUM(MI!S96:S123)</f>
        <v>13.1208615131312</v>
      </c>
      <c r="T49" s="63" t="n">
        <f aca="false">SUM(MI!T96:T123)</f>
        <v>13.3075100875103</v>
      </c>
      <c r="U49" s="63" t="n">
        <f aca="false">SUM(MI!U96:U123)</f>
        <v>14.4442304738182</v>
      </c>
      <c r="V49" s="65" t="n">
        <f aca="false">SUM(MI!V96:V123)</f>
        <v>14.4085277514885</v>
      </c>
      <c r="W49" s="65" t="n">
        <f aca="false">SUM(MI!W96:W123)</f>
        <v>13.9945330120705</v>
      </c>
      <c r="X49" s="66" t="n">
        <f aca="false">SUM(MI!X96:X123)</f>
        <v>14.9601198570474</v>
      </c>
      <c r="Y49" s="67" t="n">
        <f aca="false">SUM(MI!Y96:Y123)</f>
        <v>14.3389474490102</v>
      </c>
      <c r="Z49" s="63" t="n">
        <f aca="false">SUM(MI!Z96:Z123)</f>
        <v>13.8362362642275</v>
      </c>
      <c r="AA49" s="65" t="n">
        <f aca="false">SUM(MI!AA96:AA123)</f>
        <v>14.2098537485721</v>
      </c>
      <c r="AB49" s="63" t="n">
        <f aca="false">SUM(MI!AB96:AB123)</f>
        <v>13.6370205429893</v>
      </c>
      <c r="AC49" s="68" t="n">
        <f aca="false">SUM(MI!AC96:AC123)</f>
        <v>16.9219519342683</v>
      </c>
      <c r="AD49" s="67" t="n">
        <f aca="false">SUM(MI!AD96:AD123)</f>
        <v>15.1188230400408</v>
      </c>
      <c r="AE49" s="63" t="n">
        <f aca="false">SUM(MI!AE96:AE123)</f>
        <v>14.8170769147709</v>
      </c>
      <c r="AF49" s="65" t="n">
        <f aca="false">SUM(MI!AF96:AF123)</f>
        <v>14.7813901674405</v>
      </c>
      <c r="AG49" s="63" t="n">
        <f aca="false">SUM(MI!AG96:AG123)</f>
        <v>15.9566004641669</v>
      </c>
      <c r="AH49" s="63" t="n">
        <f aca="false">SUM(MI!AH96:AH123)</f>
        <v>10.6664245059884</v>
      </c>
      <c r="AI49" s="66" t="n">
        <f aca="false">SUM(MI!AI96:AI123)</f>
        <v>13.4628869268763</v>
      </c>
      <c r="AJ49" s="67" t="n">
        <f aca="false">SUM(MI!AJ96:AJ123)</f>
        <v>13.453472403096</v>
      </c>
      <c r="AK49" s="63" t="n">
        <f aca="false">SUM(MI!AK96:AK123)</f>
        <v>13.8912664985457</v>
      </c>
      <c r="AL49" s="63" t="n">
        <f aca="false">SUM(MI!AL96:AL123)</f>
        <v>10.4107118546193</v>
      </c>
      <c r="AM49" s="63" t="n">
        <f aca="false">SUM(MI!AM96:AM123)</f>
        <v>9.94662136533277</v>
      </c>
      <c r="AN49" s="68" t="n">
        <f aca="false">SUM(MI!AN96:AN123)</f>
        <v>12.0907991517668</v>
      </c>
      <c r="AO49" s="67" t="n">
        <f aca="false">SUM(MI!AO96:AO123)</f>
        <v>11.4693445199659</v>
      </c>
      <c r="AP49" s="63" t="n">
        <f aca="false">SUM(MI!AP96:AP123)</f>
        <v>12.834628517505</v>
      </c>
      <c r="AQ49" s="63" t="n">
        <f aca="false">SUM(MI!AQ96:AQ123)</f>
        <v>12.3309173878836</v>
      </c>
    </row>
    <row r="50" customFormat="false" ht="12.8" hidden="false" customHeight="false" outlineLevel="0" collapsed="false">
      <c r="A50" s="1" t="s">
        <v>82</v>
      </c>
      <c r="B50" s="64" t="n">
        <f aca="false">SUM('60th PRECNETILE'!B57:B70)</f>
        <v>13.2266851238441</v>
      </c>
      <c r="C50" s="65" t="n">
        <f aca="false">SUM('60th PRECNETILE'!C57:C70)</f>
        <v>12.9079159713408</v>
      </c>
      <c r="D50" s="63" t="n">
        <f aca="false">SUM('60th PRECNETILE'!D57:D70)</f>
        <v>13.1200409297261</v>
      </c>
      <c r="E50" s="65" t="n">
        <f aca="false">SUM('60th PRECNETILE'!E57:E70)</f>
        <v>12.7929907146852</v>
      </c>
      <c r="F50" s="63" t="n">
        <f aca="false">SUM('60th PRECNETILE'!F57:F70)</f>
        <v>12.239685716244</v>
      </c>
      <c r="G50" s="65" t="n">
        <f aca="false">SUM('60th PRECNETILE'!G57:G70)</f>
        <v>14.912323670567</v>
      </c>
      <c r="H50" s="63" t="n">
        <f aca="false">SUM('60th PRECNETILE'!H57:H70)</f>
        <v>15.0944074176208</v>
      </c>
      <c r="I50" s="66" t="n">
        <f aca="false">SUM('60th PRECNETILE'!I57:I70)</f>
        <v>16.2162340095878</v>
      </c>
      <c r="J50" s="67" t="n">
        <f aca="false">SUM('60th PRECNETILE'!J57:J70)</f>
        <v>14.6143598926529</v>
      </c>
      <c r="K50" s="65" t="n">
        <f aca="false">SUM('60th PRECNETILE'!K57:K70)</f>
        <v>14.5893244460908</v>
      </c>
      <c r="L50" s="63" t="n">
        <f aca="false">SUM('60th PRECNETILE'!L57:L70)</f>
        <v>14.2471535408698</v>
      </c>
      <c r="M50" s="65" t="n">
        <f aca="false">SUM('60th PRECNETILE'!M57:M70)</f>
        <v>14.2274180428325</v>
      </c>
      <c r="N50" s="65" t="n">
        <f aca="false">SUM('60th PRECNETILE'!N57:N70)</f>
        <v>14.1548618769434</v>
      </c>
      <c r="O50" s="63" t="n">
        <f aca="false">SUM('60th PRECNETILE'!O57:O70)</f>
        <v>14.2294812239432</v>
      </c>
      <c r="P50" s="68" t="n">
        <f aca="false">SUM('60th PRECNETILE'!P57:P70)</f>
        <v>13.1213488452823</v>
      </c>
      <c r="Q50" s="67" t="n">
        <f aca="false">SUM('60th PRECNETILE'!Q57:Q70)</f>
        <v>12.4780575093396</v>
      </c>
      <c r="R50" s="63" t="n">
        <f aca="false">SUM('60th PRECNETILE'!R57:R70)</f>
        <v>12.9923039817266</v>
      </c>
      <c r="S50" s="65" t="n">
        <f aca="false">SUM('60th PRECNETILE'!S57:S70)</f>
        <v>13.3853693737293</v>
      </c>
      <c r="T50" s="63" t="n">
        <f aca="false">SUM('60th PRECNETILE'!T57:T70)</f>
        <v>13.5697313762593</v>
      </c>
      <c r="U50" s="63" t="n">
        <f aca="false">SUM('60th PRECNETILE'!U57:U70)</f>
        <v>13.5866849467508</v>
      </c>
      <c r="V50" s="65" t="n">
        <f aca="false">SUM('60th PRECNETILE'!V57:V70)</f>
        <v>13.5714606991312</v>
      </c>
      <c r="W50" s="65" t="n">
        <f aca="false">SUM('60th PRECNETILE'!W57:W70)</f>
        <v>12.9735571868008</v>
      </c>
      <c r="X50" s="66" t="n">
        <f aca="false">SUM('60th PRECNETILE'!X57:X70)</f>
        <v>14.0703923859474</v>
      </c>
      <c r="Y50" s="67" t="n">
        <f aca="false">SUM('60th PRECNETILE'!Y57:Y70)</f>
        <v>13.3495424691373</v>
      </c>
      <c r="Z50" s="63" t="n">
        <f aca="false">SUM('60th PRECNETILE'!Z57:Z70)</f>
        <v>12.6570459157348</v>
      </c>
      <c r="AA50" s="65" t="n">
        <f aca="false">SUM('60th PRECNETILE'!AA57:AA70)</f>
        <v>13.0892985398545</v>
      </c>
      <c r="AB50" s="63" t="n">
        <f aca="false">SUM('60th PRECNETILE'!AB57:AB70)</f>
        <v>12.2177998974935</v>
      </c>
      <c r="AC50" s="68" t="n">
        <f aca="false">SUM('60th PRECNETILE'!AC57:AC70)</f>
        <v>12.4317225831692</v>
      </c>
      <c r="AD50" s="67" t="n">
        <f aca="false">SUM('60th PRECNETILE'!AD57:AD70)</f>
        <v>11.9409647141842</v>
      </c>
      <c r="AE50" s="63" t="n">
        <f aca="false">SUM('60th PRECNETILE'!AE57:AE70)</f>
        <v>11.7456431246703</v>
      </c>
      <c r="AF50" s="65" t="n">
        <f aca="false">SUM('60th PRECNETILE'!AF57:AF70)</f>
        <v>11.8674426747935</v>
      </c>
      <c r="AG50" s="63" t="n">
        <f aca="false">SUM('60th PRECNETILE'!AG57:AG70)</f>
        <v>11.3581054874155</v>
      </c>
      <c r="AH50" s="63" t="n">
        <f aca="false">SUM('60th PRECNETILE'!AH57:AH70)</f>
        <v>9.78259653926788</v>
      </c>
      <c r="AI50" s="66" t="n">
        <f aca="false">SUM('60th PRECNETILE'!AI57:AI70)</f>
        <v>11.9341331285539</v>
      </c>
      <c r="AJ50" s="67" t="n">
        <f aca="false">SUM('60th PRECNETILE'!AJ57:AJ70)</f>
        <v>11.5000564945153</v>
      </c>
      <c r="AK50" s="63" t="n">
        <f aca="false">SUM('60th PRECNETILE'!AK57:AK70)</f>
        <v>11.0048864449938</v>
      </c>
      <c r="AL50" s="63" t="n">
        <f aca="false">SUM('60th PRECNETILE'!AL57:AL70)</f>
        <v>10.6290768945241</v>
      </c>
      <c r="AM50" s="63" t="n">
        <f aca="false">SUM('60th PRECNETILE'!AM57:AM70)</f>
        <v>10.1024509882575</v>
      </c>
      <c r="AN50" s="68" t="n">
        <f aca="false">SUM('60th PRECNETILE'!AN57:AN70)</f>
        <v>12.8466169062567</v>
      </c>
      <c r="AO50" s="67" t="n">
        <f aca="false">SUM('60th PRECNETILE'!AO57:AO70)</f>
        <v>12.4398767783431</v>
      </c>
      <c r="AP50" s="63" t="n">
        <f aca="false">SUM('60th PRECNETILE'!AP57:AP70)</f>
        <v>15.0430615027486</v>
      </c>
      <c r="AQ50" s="63" t="n">
        <f aca="false">SUM('60th PRECNETILE'!AQ57:AQ70)</f>
        <v>14.517044347009</v>
      </c>
    </row>
    <row r="51" customFormat="false" ht="12.8" hidden="false" customHeight="false" outlineLevel="0" collapsed="false">
      <c r="A51" s="1" t="s">
        <v>83</v>
      </c>
      <c r="B51" s="64" t="n">
        <f aca="false">SUM(Finance!B33:B39)</f>
        <v>10.979912560715</v>
      </c>
      <c r="C51" s="65" t="n">
        <f aca="false">SUM(Finance!C33:C39)</f>
        <v>10.9259305762858</v>
      </c>
      <c r="D51" s="63" t="n">
        <f aca="false">SUM(Finance!D33:D39)</f>
        <v>11.2492980067504</v>
      </c>
      <c r="E51" s="65" t="n">
        <f aca="false">SUM(Finance!E33:E39)</f>
        <v>11.1160965215583</v>
      </c>
      <c r="F51" s="63" t="n">
        <f aca="false">SUM(Finance!F33:F39)</f>
        <v>10.2897765788754</v>
      </c>
      <c r="G51" s="65" t="n">
        <f aca="false">SUM(Finance!G33:G39)</f>
        <v>10.7586472739172</v>
      </c>
      <c r="H51" s="63" t="n">
        <f aca="false">SUM(Finance!H33:H39)</f>
        <v>10.7938835052226</v>
      </c>
      <c r="I51" s="66" t="n">
        <f aca="false">SUM(Finance!I33:I39)</f>
        <v>13.2080752307503</v>
      </c>
      <c r="J51" s="67" t="n">
        <f aca="false">SUM(Finance!J33:J39)</f>
        <v>11.7443577707515</v>
      </c>
      <c r="K51" s="65" t="n">
        <f aca="false">SUM(Finance!K33:K39)</f>
        <v>10.9332589005114</v>
      </c>
      <c r="L51" s="63" t="n">
        <f aca="false">SUM(Finance!L33:L39)</f>
        <v>10.7967371776956</v>
      </c>
      <c r="M51" s="65" t="n">
        <f aca="false">SUM(Finance!M33:M39)</f>
        <v>10.6783660860677</v>
      </c>
      <c r="N51" s="65" t="n">
        <f aca="false">SUM(Finance!N33:N39)</f>
        <v>10.6190150026594</v>
      </c>
      <c r="O51" s="63" t="n">
        <f aca="false">SUM(Finance!O33:O39)</f>
        <v>10.4713266977987</v>
      </c>
      <c r="P51" s="68" t="n">
        <f aca="false">SUM(Finance!P33:P39)</f>
        <v>10.7522936850691</v>
      </c>
      <c r="Q51" s="67" t="n">
        <f aca="false">SUM(Finance!Q33:Q39)</f>
        <v>10.041023973789</v>
      </c>
      <c r="R51" s="63" t="n">
        <f aca="false">SUM(Finance!R33:R39)</f>
        <v>9.59019949495129</v>
      </c>
      <c r="S51" s="65" t="n">
        <f aca="false">SUM(Finance!S33:S39)</f>
        <v>9.79719879341462</v>
      </c>
      <c r="T51" s="63" t="n">
        <f aca="false">SUM(Finance!T33:T39)</f>
        <v>10.3994793000643</v>
      </c>
      <c r="U51" s="63" t="n">
        <f aca="false">SUM(Finance!U33:U39)</f>
        <v>13.1399620831801</v>
      </c>
      <c r="V51" s="65" t="n">
        <f aca="false">SUM(Finance!V33:V39)</f>
        <v>13.4138185856514</v>
      </c>
      <c r="W51" s="65" t="n">
        <f aca="false">SUM(Finance!W33:W39)</f>
        <v>12.7296545880278</v>
      </c>
      <c r="X51" s="66" t="n">
        <f aca="false">SUM(Finance!X33:X39)</f>
        <v>13.6733322570323</v>
      </c>
      <c r="Y51" s="67" t="n">
        <f aca="false">SUM(Finance!Y33:Y39)</f>
        <v>13.1323984935378</v>
      </c>
      <c r="Z51" s="63" t="n">
        <f aca="false">SUM(Finance!Z33:Z39)</f>
        <v>12.1666420043771</v>
      </c>
      <c r="AA51" s="65" t="n">
        <f aca="false">SUM(Finance!AA33:AA39)</f>
        <v>12.4081579406793</v>
      </c>
      <c r="AB51" s="63" t="n">
        <f aca="false">SUM(Finance!AB33:AB39)</f>
        <v>10.6675639032395</v>
      </c>
      <c r="AC51" s="68" t="n">
        <f aca="false">SUM(Finance!AC33:AC39)</f>
        <v>10.2789476881087</v>
      </c>
      <c r="AD51" s="67" t="n">
        <f aca="false">SUM(Finance!AD33:AD39)</f>
        <v>9.65083751118177</v>
      </c>
      <c r="AE51" s="63" t="n">
        <f aca="false">SUM(Finance!AE33:AE39)</f>
        <v>9.34240765910547</v>
      </c>
      <c r="AF51" s="65" t="n">
        <f aca="false">SUM(Finance!AF33:AF39)</f>
        <v>9.273901531415</v>
      </c>
      <c r="AG51" s="63" t="n">
        <f aca="false">SUM(Finance!AG33:AG39)</f>
        <v>8.29649537469885</v>
      </c>
      <c r="AH51" s="63" t="n">
        <f aca="false">SUM(Finance!AH33:AH39)</f>
        <v>6.94032604335478</v>
      </c>
      <c r="AI51" s="66" t="n">
        <f aca="false">SUM(Finance!AI33:AI39)</f>
        <v>8.5564972696614</v>
      </c>
      <c r="AJ51" s="67" t="n">
        <f aca="false">SUM(Finance!AJ33:AJ39)</f>
        <v>7.8667560739621</v>
      </c>
      <c r="AK51" s="63" t="n">
        <f aca="false">SUM(Finance!AK33:AK39)</f>
        <v>7.01466412171822</v>
      </c>
      <c r="AL51" s="63" t="n">
        <f aca="false">SUM(Finance!AL33:AL39)</f>
        <v>6.71927565177335</v>
      </c>
      <c r="AM51" s="63" t="n">
        <f aca="false">SUM(Finance!AM33:AM39)</f>
        <v>6.44306728768249</v>
      </c>
      <c r="AN51" s="68" t="n">
        <f aca="false">SUM(Finance!AN33:AN39)</f>
        <v>9.13117640350449</v>
      </c>
      <c r="AO51" s="67" t="n">
        <f aca="false">SUM(Finance!AO33:AO39)</f>
        <v>8.35328709924271</v>
      </c>
      <c r="AP51" s="63" t="n">
        <f aca="false">SUM(Finance!AP33:AP39)</f>
        <v>8.72954748012706</v>
      </c>
      <c r="AQ51" s="63" t="n">
        <f aca="false">SUM(Finance!AQ33:AQ39)</f>
        <v>8.55231604370964</v>
      </c>
    </row>
    <row r="52" customFormat="false" ht="12.8" hidden="false" customHeight="false" outlineLevel="0" collapsed="false">
      <c r="A52" s="1" t="s">
        <v>84</v>
      </c>
      <c r="B52" s="64" t="n">
        <f aca="false">SUM('Heavy Industry'!B37:B44)</f>
        <v>13.2712998017265</v>
      </c>
      <c r="C52" s="65" t="n">
        <f aca="false">SUM('Heavy Industry'!C37:C44)</f>
        <v>12.4801739110007</v>
      </c>
      <c r="D52" s="63" t="n">
        <f aca="false">SUM('Heavy Industry'!D37:D44)</f>
        <v>12.587841937324</v>
      </c>
      <c r="E52" s="65" t="n">
        <f aca="false">SUM('Heavy Industry'!E37:E44)</f>
        <v>12.1072603336096</v>
      </c>
      <c r="F52" s="63" t="n">
        <f aca="false">SUM('Heavy Industry'!F37:F44)</f>
        <v>11.4121898561253</v>
      </c>
      <c r="G52" s="65" t="n">
        <f aca="false">SUM('Heavy Industry'!G37:G44)</f>
        <v>19.3076764265206</v>
      </c>
      <c r="H52" s="63" t="n">
        <f aca="false">SUM('Heavy Industry'!H37:H44)</f>
        <v>17.6390475479877</v>
      </c>
      <c r="I52" s="66" t="n">
        <f aca="false">SUM('Heavy Industry'!I37:I44)</f>
        <v>17.4052497433576</v>
      </c>
      <c r="J52" s="67" t="n">
        <f aca="false">SUM('Heavy Industry'!J37:J44)</f>
        <v>14.8536629250375</v>
      </c>
      <c r="K52" s="65" t="n">
        <f aca="false">SUM('Heavy Industry'!K37:K44)</f>
        <v>14.1194825628198</v>
      </c>
      <c r="L52" s="63" t="n">
        <f aca="false">SUM('Heavy Industry'!L37:L44)</f>
        <v>13.8587776053029</v>
      </c>
      <c r="M52" s="65" t="n">
        <f aca="false">SUM('Heavy Industry'!M37:M44)</f>
        <v>13.8229897273625</v>
      </c>
      <c r="N52" s="65" t="n">
        <f aca="false">SUM('Heavy Industry'!N37:N44)</f>
        <v>13.9470980690642</v>
      </c>
      <c r="O52" s="63" t="n">
        <f aca="false">SUM('Heavy Industry'!O37:O44)</f>
        <v>14.9410969918325</v>
      </c>
      <c r="P52" s="68" t="n">
        <f aca="false">SUM('Heavy Industry'!P37:P44)</f>
        <v>8.6590540424013</v>
      </c>
      <c r="Q52" s="67" t="n">
        <f aca="false">SUM('Heavy Industry'!Q37:Q44)</f>
        <v>8.40588532099461</v>
      </c>
      <c r="R52" s="63" t="n">
        <f aca="false">SUM('Heavy Industry'!R37:R44)</f>
        <v>8.09488984659232</v>
      </c>
      <c r="S52" s="65" t="n">
        <f aca="false">SUM('Heavy Industry'!S37:S44)</f>
        <v>7.99525566494571</v>
      </c>
      <c r="T52" s="63" t="n">
        <f aca="false">SUM('Heavy Industry'!T37:T44)</f>
        <v>7.92957343714524</v>
      </c>
      <c r="U52" s="63" t="n">
        <f aca="false">SUM('Heavy Industry'!U37:U44)</f>
        <v>7.79886021972729</v>
      </c>
      <c r="V52" s="65" t="n">
        <f aca="false">SUM('Heavy Industry'!V37:V44)</f>
        <v>7.44924769731534</v>
      </c>
      <c r="W52" s="65" t="n">
        <f aca="false">SUM('Heavy Industry'!W37:W44)</f>
        <v>8.01750251455298</v>
      </c>
      <c r="X52" s="66" t="n">
        <f aca="false">SUM('Heavy Industry'!X37:X44)</f>
        <v>8.60568689951939</v>
      </c>
      <c r="Y52" s="67" t="n">
        <f aca="false">SUM('Heavy Industry'!Y37:Y44)</f>
        <v>8.95892789373678</v>
      </c>
      <c r="Z52" s="63" t="n">
        <f aca="false">SUM('Heavy Industry'!Z37:Z44)</f>
        <v>8.74204218666204</v>
      </c>
      <c r="AA52" s="65" t="n">
        <f aca="false">SUM('Heavy Industry'!AA37:AA44)</f>
        <v>8.96789881812228</v>
      </c>
      <c r="AB52" s="63" t="n">
        <f aca="false">SUM('Heavy Industry'!AB37:AB44)</f>
        <v>9.02391619089338</v>
      </c>
      <c r="AC52" s="68" t="n">
        <f aca="false">SUM('Heavy Industry'!AC37:AC44)</f>
        <v>9.58275326916736</v>
      </c>
      <c r="AD52" s="67" t="n">
        <f aca="false">SUM('Heavy Industry'!AD37:AD44)</f>
        <v>9.6099108947676</v>
      </c>
      <c r="AE52" s="63" t="n">
        <f aca="false">SUM('Heavy Industry'!AE37:AE44)</f>
        <v>9.9999950144881</v>
      </c>
      <c r="AF52" s="65" t="n">
        <f aca="false">SUM('Heavy Industry'!AF37:AF44)</f>
        <v>10.0747669908484</v>
      </c>
      <c r="AG52" s="63" t="n">
        <f aca="false">SUM('Heavy Industry'!AG37:AG44)</f>
        <v>19.6113521955396</v>
      </c>
      <c r="AH52" s="63" t="n">
        <f aca="false">SUM('Heavy Industry'!AH37:AH44)</f>
        <v>9.24148455017905</v>
      </c>
      <c r="AI52" s="66" t="n">
        <f aca="false">SUM('Heavy Industry'!AI37:AI44)</f>
        <v>12.0350247038855</v>
      </c>
      <c r="AJ52" s="67" t="n">
        <f aca="false">SUM('Heavy Industry'!AJ37:AJ44)</f>
        <v>12.0447631643742</v>
      </c>
      <c r="AK52" s="63" t="n">
        <f aca="false">SUM('Heavy Industry'!AK37:AK44)</f>
        <v>17.7492055003301</v>
      </c>
      <c r="AL52" s="63" t="n">
        <f aca="false">SUM('Heavy Industry'!AL37:AL44)</f>
        <v>-0.185602973017331</v>
      </c>
      <c r="AM52" s="63" t="n">
        <f aca="false">SUM('Heavy Industry'!AM37:AM44)</f>
        <v>0.252402893189133</v>
      </c>
      <c r="AN52" s="68" t="n">
        <f aca="false">SUM('Heavy Industry'!AN37:AN44)</f>
        <v>0.826091634026438</v>
      </c>
      <c r="AO52" s="67" t="n">
        <f aca="false">SUM('Heavy Industry'!AO37:AO44)</f>
        <v>0.306791913119185</v>
      </c>
      <c r="AP52" s="63" t="n">
        <f aca="false">SUM('Heavy Industry'!AP37:AP44)</f>
        <v>6.15452571479732</v>
      </c>
      <c r="AQ52" s="63" t="n">
        <f aca="false">SUM('Heavy Industry'!AQ37:AQ44)</f>
        <v>4.75253999511001</v>
      </c>
    </row>
    <row r="53" customFormat="false" ht="12.8" hidden="false" customHeight="false" outlineLevel="0" collapsed="false">
      <c r="A53" s="1" t="s">
        <v>85</v>
      </c>
      <c r="B53" s="64" t="n">
        <f aca="false">SUM('Light Industry'!B34:B40)</f>
        <v>17.5952355360503</v>
      </c>
      <c r="C53" s="65" t="n">
        <f aca="false">SUM('Light Industry'!C34:C40)</f>
        <v>16.1989958680391</v>
      </c>
      <c r="D53" s="63" t="n">
        <f aca="false">SUM('Light Industry'!D34:D40)</f>
        <v>16.2094523925289</v>
      </c>
      <c r="E53" s="65" t="n">
        <f aca="false">SUM('Light Industry'!E34:E40)</f>
        <v>14.1806799508685</v>
      </c>
      <c r="F53" s="63" t="n">
        <f aca="false">SUM('Light Industry'!F34:F40)</f>
        <v>13.7726657826189</v>
      </c>
      <c r="G53" s="65" t="n">
        <f aca="false">SUM('Light Industry'!G34:G40)</f>
        <v>16.8591066602771</v>
      </c>
      <c r="H53" s="63" t="n">
        <f aca="false">SUM('Light Industry'!H34:H40)</f>
        <v>18.8161191895038</v>
      </c>
      <c r="I53" s="66" t="n">
        <f aca="false">SUM('Light Industry'!I34:I40)</f>
        <v>17.6832394477706</v>
      </c>
      <c r="J53" s="67" t="n">
        <f aca="false">SUM('Light Industry'!J34:J40)</f>
        <v>16.7595278388059</v>
      </c>
      <c r="K53" s="65" t="n">
        <f aca="false">SUM('Light Industry'!K34:K40)</f>
        <v>16.1149896239383</v>
      </c>
      <c r="L53" s="63" t="n">
        <f aca="false">SUM('Light Industry'!L34:L40)</f>
        <v>16.349832023237</v>
      </c>
      <c r="M53" s="65" t="n">
        <f aca="false">SUM('Light Industry'!M34:M40)</f>
        <v>16.3730318457288</v>
      </c>
      <c r="N53" s="65" t="n">
        <f aca="false">SUM('Light Industry'!N34:N40)</f>
        <v>16.1074316390331</v>
      </c>
      <c r="O53" s="63" t="n">
        <f aca="false">SUM('Light Industry'!O34:O40)</f>
        <v>15.65071579901</v>
      </c>
      <c r="P53" s="68" t="n">
        <f aca="false">SUM('Light Industry'!P34:P40)</f>
        <v>14.8672405735658</v>
      </c>
      <c r="Q53" s="67" t="n">
        <f aca="false">SUM('Light Industry'!Q34:Q40)</f>
        <v>15.1730843248403</v>
      </c>
      <c r="R53" s="63" t="n">
        <f aca="false">SUM('Light Industry'!R34:R40)</f>
        <v>15.2323348229062</v>
      </c>
      <c r="S53" s="65" t="n">
        <f aca="false">SUM('Light Industry'!S34:S40)</f>
        <v>15.7583028848866</v>
      </c>
      <c r="T53" s="63" t="n">
        <f aca="false">SUM('Light Industry'!T34:T40)</f>
        <v>15.3489197764261</v>
      </c>
      <c r="U53" s="63" t="n">
        <f aca="false">SUM('Light Industry'!U34:U40)</f>
        <v>21.2021194898581</v>
      </c>
      <c r="V53" s="65" t="n">
        <f aca="false">SUM('Light Industry'!V34:V40)</f>
        <v>20.1655432697968</v>
      </c>
      <c r="W53" s="65" t="n">
        <f aca="false">SUM('Light Industry'!W34:W40)</f>
        <v>19.5788774158442</v>
      </c>
      <c r="X53" s="66" t="n">
        <f aca="false">SUM('Light Industry'!X34:X40)</f>
        <v>21.3178288470796</v>
      </c>
      <c r="Y53" s="67" t="n">
        <f aca="false">SUM('Light Industry'!Y34:Y40)</f>
        <v>19.94399711542</v>
      </c>
      <c r="Z53" s="63" t="n">
        <f aca="false">SUM('Light Industry'!Z34:Z40)</f>
        <v>19.3516572870767</v>
      </c>
      <c r="AA53" s="65" t="n">
        <f aca="false">SUM('Light Industry'!AA34:AA40)</f>
        <v>19.6655677931299</v>
      </c>
      <c r="AB53" s="63" t="n">
        <f aca="false">SUM('Light Industry'!AB34:AB40)</f>
        <v>18.0259527132175</v>
      </c>
      <c r="AC53" s="68" t="n">
        <f aca="false">SUM('Light Industry'!AC34:AC40)</f>
        <v>37.3609745802788</v>
      </c>
      <c r="AD53" s="67" t="n">
        <f aca="false">SUM('Light Industry'!AD34:AD40)</f>
        <v>30.5595145794226</v>
      </c>
      <c r="AE53" s="63" t="n">
        <f aca="false">SUM('Light Industry'!AE34:AE40)</f>
        <v>28.8895328092308</v>
      </c>
      <c r="AF53" s="65" t="n">
        <f aca="false">SUM('Light Industry'!AF34:AF40)</f>
        <v>28.4610669889419</v>
      </c>
      <c r="AG53" s="63" t="n">
        <f aca="false">SUM('Light Industry'!AG34:AG40)</f>
        <v>27.0746483912815</v>
      </c>
      <c r="AH53" s="63" t="n">
        <f aca="false">SUM('Light Industry'!AH34:AH40)</f>
        <v>14.3009349721037</v>
      </c>
      <c r="AI53" s="66" t="n">
        <f aca="false">SUM('Light Industry'!AI34:AI40)</f>
        <v>20.2245208236155</v>
      </c>
      <c r="AJ53" s="67" t="n">
        <f aca="false">SUM('Light Industry'!AJ34:AJ40)</f>
        <v>21.075430550084</v>
      </c>
      <c r="AK53" s="63" t="n">
        <f aca="false">SUM('Light Industry'!AK34:AK40)</f>
        <v>20.6053253250488</v>
      </c>
      <c r="AL53" s="63" t="n">
        <f aca="false">SUM('Light Industry'!AL34:AL40)</f>
        <v>19.4745844871551</v>
      </c>
      <c r="AM53" s="63" t="n">
        <f aca="false">SUM('Light Industry'!AM34:AM40)</f>
        <v>16.5298814861305</v>
      </c>
      <c r="AN53" s="68" t="n">
        <f aca="false">SUM('Light Industry'!AN34:AN40)</f>
        <v>20.8777744731436</v>
      </c>
      <c r="AO53" s="67" t="n">
        <f aca="false">SUM('Light Industry'!AO34:AO40)</f>
        <v>20.9172458681813</v>
      </c>
      <c r="AP53" s="63" t="n">
        <f aca="false">SUM('Light Industry'!AP34:AP40)</f>
        <v>20.2765204779458</v>
      </c>
      <c r="AQ53" s="63" t="n">
        <f aca="false">SUM('Light Industry'!AQ34:AQ40)</f>
        <v>19.8294336215708</v>
      </c>
    </row>
    <row r="54" customFormat="false" ht="12.8" hidden="false" customHeight="false" outlineLevel="0" collapsed="false">
      <c r="A54" s="1" t="s">
        <v>86</v>
      </c>
      <c r="B54" s="64" t="n">
        <f aca="false">SUM(Services!B31:B36)</f>
        <v>16.5694807316119</v>
      </c>
      <c r="C54" s="65" t="n">
        <f aca="false">SUM(Services!C31:C36)</f>
        <v>16.4936439581965</v>
      </c>
      <c r="D54" s="63" t="n">
        <f aca="false">SUM(Services!D31:D36)</f>
        <v>16.5867586290964</v>
      </c>
      <c r="E54" s="65" t="n">
        <f aca="false">SUM(Services!E31:E36)</f>
        <v>16.9554251225989</v>
      </c>
      <c r="F54" s="63" t="n">
        <f aca="false">SUM(Services!F31:F36)</f>
        <v>16.3451264881278</v>
      </c>
      <c r="G54" s="65" t="n">
        <f aca="false">SUM(Services!G31:G36)</f>
        <v>20.9554919131757</v>
      </c>
      <c r="H54" s="63" t="n">
        <f aca="false">SUM(Services!H31:H36)</f>
        <v>23.2213170438911</v>
      </c>
      <c r="I54" s="66" t="n">
        <f aca="false">SUM(Services!I31:I36)</f>
        <v>23.1299054037371</v>
      </c>
      <c r="J54" s="67" t="n">
        <f aca="false">SUM(Services!J31:J36)</f>
        <v>21.252719930603</v>
      </c>
      <c r="K54" s="65" t="n">
        <f aca="false">SUM(Services!K31:K36)</f>
        <v>22.0464017603299</v>
      </c>
      <c r="L54" s="63" t="n">
        <f aca="false">SUM(Services!L31:L36)</f>
        <v>21.6854918865067</v>
      </c>
      <c r="M54" s="65" t="n">
        <f aca="false">SUM(Services!M31:M36)</f>
        <v>21.6860500861127</v>
      </c>
      <c r="N54" s="65" t="n">
        <f aca="false">SUM(Services!N31:N36)</f>
        <v>21.3894507320607</v>
      </c>
      <c r="O54" s="63" t="n">
        <f aca="false">SUM(Services!O31:O36)</f>
        <v>21.3730322298697</v>
      </c>
      <c r="P54" s="68" t="n">
        <f aca="false">SUM(Services!P31:P36)</f>
        <v>20.9584485657015</v>
      </c>
      <c r="Q54" s="67" t="n">
        <f aca="false">SUM(Services!Q31:Q36)</f>
        <v>19.825692499811</v>
      </c>
      <c r="R54" s="63" t="n">
        <f aca="false">SUM(Services!R31:R36)</f>
        <v>19.2288758188019</v>
      </c>
      <c r="S54" s="65" t="n">
        <f aca="false">SUM(Services!S31:S36)</f>
        <v>19.8676341124171</v>
      </c>
      <c r="T54" s="63" t="n">
        <f aca="false">SUM(Services!T31:T36)</f>
        <v>20.1959909103674</v>
      </c>
      <c r="U54" s="63" t="n">
        <f aca="false">SUM(Services!U31:U36)</f>
        <v>16.902688930467</v>
      </c>
      <c r="V54" s="65" t="n">
        <f aca="false">SUM(Services!V31:V36)</f>
        <v>17.1072232509606</v>
      </c>
      <c r="W54" s="65" t="n">
        <f aca="false">SUM(Services!W31:W36)</f>
        <v>16.7018884860075</v>
      </c>
      <c r="X54" s="66" t="n">
        <f aca="false">SUM(Services!X31:X36)</f>
        <v>17.2417298814575</v>
      </c>
      <c r="Y54" s="67" t="n">
        <f aca="false">SUM(Services!Y31:Y36)</f>
        <v>16.0541117263433</v>
      </c>
      <c r="Z54" s="63" t="n">
        <f aca="false">SUM(Services!Z31:Z36)</f>
        <v>16.2116213224992</v>
      </c>
      <c r="AA54" s="65" t="n">
        <f aca="false">SUM(Services!AA31:AA36)</f>
        <v>16.709117555084</v>
      </c>
      <c r="AB54" s="63" t="n">
        <f aca="false">SUM(Services!AB31:AB36)</f>
        <v>17.8505873302604</v>
      </c>
      <c r="AC54" s="68" t="n">
        <f aca="false">SUM(Services!AC31:AC36)</f>
        <v>17.1174044700523</v>
      </c>
      <c r="AD54" s="67" t="n">
        <f aca="false">SUM(Services!AD31:AD36)</f>
        <v>16.1540140050645</v>
      </c>
      <c r="AE54" s="63" t="n">
        <f aca="false">SUM(Services!AE31:AE36)</f>
        <v>16.4677698791543</v>
      </c>
      <c r="AF54" s="65" t="n">
        <f aca="false">SUM(Services!AF31:AF36)</f>
        <v>16.5984030837394</v>
      </c>
      <c r="AG54" s="63" t="n">
        <f aca="false">SUM(Services!AG31:AG36)</f>
        <v>16.9338576331713</v>
      </c>
      <c r="AH54" s="63" t="n">
        <f aca="false">SUM(Services!AH31:AH36)</f>
        <v>14.5593734432056</v>
      </c>
      <c r="AI54" s="66" t="n">
        <f aca="false">SUM(Services!AI31:AI36)</f>
        <v>17.317302309537</v>
      </c>
      <c r="AJ54" s="67" t="n">
        <f aca="false">SUM(Services!AJ31:AJ36)</f>
        <v>17.341186557665</v>
      </c>
      <c r="AK54" s="63" t="n">
        <f aca="false">SUM(Services!AK31:AK36)</f>
        <v>16.9318715483606</v>
      </c>
      <c r="AL54" s="63" t="n">
        <f aca="false">SUM(Services!AL31:AL36)</f>
        <v>16.6897380499021</v>
      </c>
      <c r="AM54" s="63" t="n">
        <f aca="false">SUM(Services!AM31:AM36)</f>
        <v>16.627709937987</v>
      </c>
      <c r="AN54" s="68" t="n">
        <f aca="false">SUM(Services!AN31:AN36)</f>
        <v>18.3905764813956</v>
      </c>
      <c r="AO54" s="67" t="n">
        <f aca="false">SUM(Services!AO31:AO36)</f>
        <v>17.5675152290321</v>
      </c>
      <c r="AP54" s="63" t="n">
        <f aca="false">SUM(Services!AP31:AP36)</f>
        <v>18.8416975805821</v>
      </c>
      <c r="AQ54" s="63" t="n">
        <f aca="false">SUM(Services!AQ31:AQ36)</f>
        <v>18.3957796317349</v>
      </c>
    </row>
    <row r="55" customFormat="false" ht="12.8" hidden="false" customHeight="false" outlineLevel="0" collapsed="false">
      <c r="A55" s="1" t="s">
        <v>87</v>
      </c>
      <c r="B55" s="64" t="n">
        <f aca="false">SUM('MBI10 Ratio'!B85:B94)</f>
        <v>15.2536754484948</v>
      </c>
      <c r="C55" s="65" t="n">
        <f aca="false">SUM('MBI10 Ratio'!C85:C94)</f>
        <v>14.7290285505791</v>
      </c>
      <c r="D55" s="63" t="n">
        <f aca="false">SUM('MBI10 Ratio'!D85:D94)</f>
        <v>14.887592904104</v>
      </c>
      <c r="E55" s="65" t="n">
        <f aca="false">SUM('MBI10 Ratio'!E85:E94)</f>
        <v>14.2505059965085</v>
      </c>
      <c r="F55" s="63" t="n">
        <f aca="false">SUM('MBI10 Ratio'!F85:F94)</f>
        <v>13.361088362855</v>
      </c>
      <c r="G55" s="65" t="n">
        <f aca="false">SUM('MBI10 Ratio'!G85:G94)</f>
        <v>18.3729478103117</v>
      </c>
      <c r="H55" s="63" t="n">
        <f aca="false">SUM('MBI10 Ratio'!H85:H94)</f>
        <v>21.0090065666875</v>
      </c>
      <c r="I55" s="66" t="n">
        <f aca="false">SUM('MBI10 Ratio'!I85:I94)</f>
        <v>22.2826021044815</v>
      </c>
      <c r="J55" s="67" t="n">
        <f aca="false">SUM('MBI10 Ratio'!J85:J94)</f>
        <v>19.7642321957526</v>
      </c>
      <c r="K55" s="65" t="n">
        <f aca="false">SUM('MBI10 Ratio'!K85:K94)</f>
        <v>18.6549889981938</v>
      </c>
      <c r="L55" s="63" t="n">
        <f aca="false">SUM('MBI10 Ratio'!L85:L94)</f>
        <v>18.3982958208733</v>
      </c>
      <c r="M55" s="65" t="n">
        <f aca="false">SUM('MBI10 Ratio'!M85:M94)</f>
        <v>18.3911995635988</v>
      </c>
      <c r="N55" s="65" t="n">
        <f aca="false">SUM('MBI10 Ratio'!N85:N94)</f>
        <v>18.2226539575533</v>
      </c>
      <c r="O55" s="63" t="n">
        <f aca="false">SUM('MBI10 Ratio'!O85:O94)</f>
        <v>18.4706995354274</v>
      </c>
      <c r="P55" s="68" t="n">
        <f aca="false">SUM('MBI10 Ratio'!P85:P94)</f>
        <v>15.7666263118435</v>
      </c>
      <c r="Q55" s="67" t="n">
        <f aca="false">SUM('MBI10 Ratio'!Q85:Q94)</f>
        <v>14.6591455318921</v>
      </c>
      <c r="R55" s="63" t="n">
        <f aca="false">SUM('MBI10 Ratio'!R85:R94)</f>
        <v>14.0860234236866</v>
      </c>
      <c r="S55" s="65" t="n">
        <f aca="false">SUM('MBI10 Ratio'!S85:S94)</f>
        <v>14.259875216376</v>
      </c>
      <c r="T55" s="63" t="n">
        <f aca="false">SUM('MBI10 Ratio'!T85:T94)</f>
        <v>14.5456059306725</v>
      </c>
      <c r="U55" s="63" t="n">
        <f aca="false">SUM('MBI10 Ratio'!U85:U94)</f>
        <v>12.9749820719955</v>
      </c>
      <c r="V55" s="65" t="n">
        <f aca="false">SUM('MBI10 Ratio'!V85:V94)</f>
        <v>12.7838758622202</v>
      </c>
      <c r="W55" s="65" t="n">
        <f aca="false">SUM('MBI10 Ratio'!W85:W94)</f>
        <v>12.2604015607865</v>
      </c>
      <c r="X55" s="66" t="n">
        <f aca="false">SUM('MBI10 Ratio'!X85:X94)</f>
        <v>13.240064402848</v>
      </c>
      <c r="Y55" s="67" t="n">
        <f aca="false">SUM('MBI10 Ratio'!Y85:Y94)</f>
        <v>12.3802378567151</v>
      </c>
      <c r="Z55" s="63" t="n">
        <f aca="false">SUM('MBI10 Ratio'!Z85:Z94)</f>
        <v>11.974211048582</v>
      </c>
      <c r="AA55" s="65" t="n">
        <f aca="false">SUM('MBI10 Ratio'!AA85:AA94)</f>
        <v>12.1897463305486</v>
      </c>
      <c r="AB55" s="22"/>
      <c r="AE55" s="22"/>
      <c r="AF55" s="39"/>
      <c r="AG55" s="22"/>
      <c r="AH55" s="22"/>
      <c r="AK55" s="22"/>
      <c r="AL55" s="22"/>
      <c r="AM55" s="22"/>
      <c r="AP55" s="22"/>
      <c r="AQ55" s="22"/>
    </row>
    <row r="56" customFormat="false" ht="12.8" hidden="false" customHeight="false" outlineLevel="0" collapsed="false">
      <c r="A56" s="1" t="s">
        <v>88</v>
      </c>
      <c r="B56" s="64" t="n">
        <f aca="false">SUM('MBI10 Ratio'!B73:B82)</f>
        <v>13.9731275840474</v>
      </c>
      <c r="C56" s="65" t="n">
        <f aca="false">SUM('MBI10 Ratio'!C73:C82)</f>
        <v>13.702646825726</v>
      </c>
      <c r="D56" s="63" t="n">
        <f aca="false">SUM('MBI10 Ratio'!D73:D82)</f>
        <v>13.9007114479505</v>
      </c>
      <c r="E56" s="65" t="n">
        <f aca="false">SUM('MBI10 Ratio'!E73:E82)</f>
        <v>13.6721477387329</v>
      </c>
      <c r="F56" s="63" t="n">
        <f aca="false">SUM('MBI10 Ratio'!F73:F82)</f>
        <v>13.020766971037</v>
      </c>
      <c r="G56" s="65" t="n">
        <f aca="false">SUM('MBI10 Ratio'!G73:G82)</f>
        <v>15.6019163904311</v>
      </c>
      <c r="H56" s="63" t="n">
        <f aca="false">SUM('MBI10 Ratio'!H73:H82)</f>
        <v>16.4760739006858</v>
      </c>
      <c r="I56" s="66" t="n">
        <f aca="false">SUM('MBI10 Ratio'!I73:I82)</f>
        <v>17.8640681895361</v>
      </c>
      <c r="J56" s="67" t="n">
        <f aca="false">SUM('MBI10 Ratio'!J73:J82)</f>
        <v>16.2179790707474</v>
      </c>
      <c r="K56" s="65" t="n">
        <f aca="false">SUM('MBI10 Ratio'!K73:K82)</f>
        <v>16.0494539686357</v>
      </c>
      <c r="L56" s="63" t="n">
        <f aca="false">SUM('MBI10 Ratio'!L73:L82)</f>
        <v>15.7621896617963</v>
      </c>
      <c r="M56" s="65" t="n">
        <f aca="false">SUM('MBI10 Ratio'!M73:M82)</f>
        <v>15.74262903789</v>
      </c>
      <c r="N56" s="65" t="n">
        <f aca="false">SUM('MBI10 Ratio'!N73:N82)</f>
        <v>15.6617509723286</v>
      </c>
      <c r="O56" s="63" t="n">
        <f aca="false">SUM('MBI10 Ratio'!O73:O82)</f>
        <v>15.6965165991022</v>
      </c>
      <c r="P56" s="68" t="n">
        <f aca="false">SUM('MBI10 Ratio'!P73:P82)</f>
        <v>15.0177465712211</v>
      </c>
      <c r="Q56" s="67" t="n">
        <f aca="false">SUM('MBI10 Ratio'!Q73:Q82)</f>
        <v>14.2893730436417</v>
      </c>
      <c r="R56" s="63" t="n">
        <f aca="false">SUM('MBI10 Ratio'!R73:R82)</f>
        <v>13.7501282274538</v>
      </c>
      <c r="S56" s="65" t="n">
        <f aca="false">SUM('MBI10 Ratio'!S73:S82)</f>
        <v>14.1282204961544</v>
      </c>
      <c r="T56" s="63" t="n">
        <f aca="false">SUM('MBI10 Ratio'!T73:T82)</f>
        <v>14.5328481507771</v>
      </c>
      <c r="U56" s="63" t="n">
        <f aca="false">SUM('MBI10 Ratio'!U73:U82)</f>
        <v>15.3475901616402</v>
      </c>
      <c r="V56" s="65" t="n">
        <f aca="false">SUM('MBI10 Ratio'!V73:V82)</f>
        <v>15.2450924044054</v>
      </c>
      <c r="W56" s="65" t="n">
        <f aca="false">SUM('MBI10 Ratio'!W73:W82)</f>
        <v>14.6193502398816</v>
      </c>
      <c r="X56" s="66" t="n">
        <f aca="false">SUM('MBI10 Ratio'!X73:X82)</f>
        <v>15.7110212895607</v>
      </c>
      <c r="Y56" s="67" t="n">
        <f aca="false">SUM('MBI10 Ratio'!Y73:Y82)</f>
        <v>14.7309722422683</v>
      </c>
      <c r="Z56" s="63" t="n">
        <f aca="false">SUM('MBI10 Ratio'!Z73:Z82)</f>
        <v>14.02679595313</v>
      </c>
      <c r="AA56" s="65" t="n">
        <f aca="false">SUM('MBI10 Ratio'!AA73:AA82)</f>
        <v>14.4389611916896</v>
      </c>
      <c r="AB56" s="63" t="n">
        <f aca="false">SUM('MBI10 Ratio'!AB73:AB82)</f>
        <v>13.403751747156</v>
      </c>
      <c r="AC56" s="68" t="n">
        <f aca="false">SUM('MBI10 Ratio'!AC73:AC82)</f>
        <v>13.6547857202627</v>
      </c>
      <c r="AD56" s="67" t="n">
        <f aca="false">SUM('MBI10 Ratio'!AD73:AD82)</f>
        <v>12.9235172400575</v>
      </c>
      <c r="AE56" s="63" t="n">
        <f aca="false">SUM('MBI10 Ratio'!AE73:AE82)</f>
        <v>12.8603885462457</v>
      </c>
      <c r="AF56" s="65" t="n">
        <f aca="false">SUM('MBI10 Ratio'!AF73:AF82)</f>
        <v>12.9747665970344</v>
      </c>
      <c r="AG56" s="63" t="n">
        <f aca="false">SUM('MBI10 Ratio'!AG73:AG82)</f>
        <v>12.4560429771618</v>
      </c>
      <c r="AH56" s="63" t="n">
        <f aca="false">SUM('MBI10 Ratio'!AH73:AH82)</f>
        <v>11.2088879027373</v>
      </c>
      <c r="AI56" s="66" t="n">
        <f aca="false">SUM('MBI10 Ratio'!AI73:AI82)</f>
        <v>13.9664065909617</v>
      </c>
      <c r="AJ56" s="67" t="n">
        <f aca="false">SUM('MBI10 Ratio'!AJ73:AJ82)</f>
        <v>13.6310256191578</v>
      </c>
      <c r="AK56" s="63" t="n">
        <f aca="false">SUM('MBI10 Ratio'!AK73:AK82)</f>
        <v>12.9767257055422</v>
      </c>
      <c r="AL56" s="63" t="n">
        <f aca="false">SUM('MBI10 Ratio'!AL73:AL82)</f>
        <v>12.6770414520139</v>
      </c>
      <c r="AM56" s="63" t="n">
        <f aca="false">SUM('MBI10 Ratio'!AM73:AM82)</f>
        <v>11.9421971242142</v>
      </c>
      <c r="AN56" s="68" t="n">
        <f aca="false">SUM('MBI10 Ratio'!AN73:AN82)</f>
        <v>13.929940526912</v>
      </c>
      <c r="AO56" s="67" t="n">
        <f aca="false">SUM('MBI10 Ratio'!AO73:AO82)</f>
        <v>13.5624125441883</v>
      </c>
      <c r="AP56" s="63" t="n">
        <f aca="false">SUM('MBI10 Ratio'!AP73:AP82)</f>
        <v>13.7701649956039</v>
      </c>
      <c r="AQ56" s="63" t="n">
        <f aca="false">SUM('MBI10 Ratio'!AQ73:AQ82)</f>
        <v>13.5016382247224</v>
      </c>
    </row>
    <row r="57" customFormat="false" ht="12.8" hidden="false" customHeight="false" outlineLevel="0" collapsed="false">
      <c r="A57" s="86" t="s">
        <v>89</v>
      </c>
      <c r="B57" s="87" t="n">
        <f aca="false">SUM('MI wo. MBI10'!B63:B79)</f>
        <v>10.7542520996886</v>
      </c>
      <c r="C57" s="88" t="n">
        <f aca="false">SUM('MI wo. MBI10'!C63:C79)</f>
        <v>10.3493795552631</v>
      </c>
      <c r="D57" s="89" t="n">
        <f aca="false">SUM('MI wo. MBI10'!D63:D79)</f>
        <v>10.3532811135733</v>
      </c>
      <c r="E57" s="88" t="n">
        <f aca="false">SUM('MI wo. MBI10'!E63:E79)</f>
        <v>9.71099656437424</v>
      </c>
      <c r="F57" s="89" t="n">
        <f aca="false">SUM('MI wo. MBI10'!F63:F79)</f>
        <v>9.16424901829895</v>
      </c>
      <c r="G57" s="88" t="n">
        <f aca="false">SUM('MI wo. MBI10'!G63:G79)</f>
        <v>10.4757764597483</v>
      </c>
      <c r="H57" s="89" t="n">
        <f aca="false">SUM('MI wo. MBI10'!H63:H79)</f>
        <v>10.1097663228646</v>
      </c>
      <c r="I57" s="90" t="n">
        <f aca="false">SUM('MI wo. MBI10'!I63:I79)</f>
        <v>9.87524616417291</v>
      </c>
      <c r="J57" s="91" t="n">
        <f aca="false">SUM('MI wo. MBI10'!J63:J79)</f>
        <v>9.39519615460312</v>
      </c>
      <c r="K57" s="88" t="n">
        <f aca="false">SUM('MI wo. MBI10'!K63:K79)</f>
        <v>9.78921391347306</v>
      </c>
      <c r="L57" s="89" t="n">
        <f aca="false">SUM('MI wo. MBI10'!L63:L79)</f>
        <v>9.6417654304012</v>
      </c>
      <c r="M57" s="88" t="n">
        <f aca="false">SUM('MI wo. MBI10'!M63:M79)</f>
        <v>9.63739722188656</v>
      </c>
      <c r="N57" s="88" t="n">
        <f aca="false">SUM('MI wo. MBI10'!N63:N79)</f>
        <v>9.42149888526118</v>
      </c>
      <c r="O57" s="89" t="n">
        <f aca="false">SUM('MI wo. MBI10'!O63:O79)</f>
        <v>9.66548738308445</v>
      </c>
      <c r="P57" s="92" t="n">
        <f aca="false">SUM('MI wo. MBI10'!P63:P79)</f>
        <v>7.93761658754875</v>
      </c>
      <c r="Q57" s="91" t="n">
        <f aca="false">SUM('MI wo. MBI10'!Q63:Q79)</f>
        <v>8.08394421336338</v>
      </c>
      <c r="R57" s="89" t="n">
        <f aca="false">SUM('MI wo. MBI10'!R63:R79)</f>
        <v>8.17383318563859</v>
      </c>
      <c r="S57" s="88" t="n">
        <f aca="false">SUM('MI wo. MBI10'!S63:S79)</f>
        <v>8.31128041616853</v>
      </c>
      <c r="T57" s="89" t="n">
        <f aca="false">SUM('MI wo. MBI10'!T63:T79)</f>
        <v>8.08380017436744</v>
      </c>
      <c r="U57" s="89" t="n">
        <f aca="false">SUM('MI wo. MBI10'!U63:U79)</f>
        <v>10.910242815967</v>
      </c>
      <c r="V57" s="88" t="n">
        <f aca="false">SUM('MI wo. MBI10'!V63:V79)</f>
        <v>11.1502711388553</v>
      </c>
      <c r="W57" s="88" t="n">
        <f aca="false">SUM('MI wo. MBI10'!W63:W79)</f>
        <v>11.6439551188075</v>
      </c>
      <c r="X57" s="90" t="n">
        <f aca="false">SUM('MI wo. MBI10'!X63:X79)</f>
        <v>11.9426629035733</v>
      </c>
      <c r="Y57" s="91" t="n">
        <f aca="false">SUM('MI wo. MBI10'!Y63:Y79)</f>
        <v>12.6223229146651</v>
      </c>
      <c r="Z57" s="89" t="n">
        <f aca="false">SUM('MI wo. MBI10'!Z63:Z79)</f>
        <v>12.9682913977239</v>
      </c>
      <c r="AA57" s="88" t="n">
        <f aca="false">SUM('MI wo. MBI10'!AA63:AA79)</f>
        <v>13.1601660209475</v>
      </c>
      <c r="AB57" s="89" t="n">
        <f aca="false">SUM('MI wo. MBI10'!AB63:AB79)</f>
        <v>14.4022573572458</v>
      </c>
      <c r="AC57" s="92" t="n">
        <f aca="false">SUM('MI wo. MBI10'!AC63:AC79)</f>
        <v>29.1654450972682</v>
      </c>
      <c r="AD57" s="91" t="n">
        <f aca="false">SUM('MI wo. MBI10'!AD63:AD79)</f>
        <v>23.4355245644316</v>
      </c>
      <c r="AE57" s="89" t="n">
        <f aca="false">SUM('MI wo. MBI10'!AE63:AE79)</f>
        <v>22.2381433422853</v>
      </c>
      <c r="AF57" s="88" t="n">
        <f aca="false">SUM('MI wo. MBI10'!AF63:AF79)</f>
        <v>21.8465249174652</v>
      </c>
      <c r="AG57" s="89" t="n">
        <f aca="false">SUM('MI wo. MBI10'!AG63:AG79)</f>
        <v>28.9041241594979</v>
      </c>
      <c r="AH57" s="89" t="n">
        <f aca="false">SUM('MI wo. MBI10'!AH63:AH79)</f>
        <v>8.49063519750721</v>
      </c>
      <c r="AI57" s="90" t="n">
        <f aca="false">SUM('MI wo. MBI10'!AI63:AI79)</f>
        <v>11.1542508580631</v>
      </c>
      <c r="AJ57" s="91" t="n">
        <f aca="false">SUM('MI wo. MBI10'!AJ63:AJ79)</f>
        <v>12.5245435745385</v>
      </c>
      <c r="AK57" s="89" t="n">
        <f aca="false">SUM('MI wo. MBI10'!AK63:AK79)</f>
        <v>16.9557930672445</v>
      </c>
      <c r="AL57" s="89" t="n">
        <f aca="false">SUM('MI wo. MBI10'!AL63:AL79)</f>
        <v>2.60802012078625</v>
      </c>
      <c r="AM57" s="89" t="n">
        <f aca="false">SUM('MI wo. MBI10'!AM63:AM79)</f>
        <v>3.02174603446647</v>
      </c>
      <c r="AN57" s="92" t="n">
        <f aca="false">SUM('MI wo. MBI10'!AN63:AN79)</f>
        <v>5.93459206528001</v>
      </c>
      <c r="AO57" s="91" t="n">
        <f aca="false">SUM('MI wo. MBI10'!AO63:AO79)</f>
        <v>4.55558622275584</v>
      </c>
      <c r="AP57" s="89" t="n">
        <f aca="false">SUM('MI wo. MBI10'!AP63:AP79)</f>
        <v>9.9164904677284</v>
      </c>
      <c r="AQ57" s="89" t="n">
        <f aca="false">SUM('MI wo. MBI10'!AQ63:AQ79)</f>
        <v>8.65553149028137</v>
      </c>
    </row>
    <row r="58" customFormat="false" ht="12.8" hidden="false" customHeight="false" outlineLevel="0" collapsed="false">
      <c r="A58" s="1" t="s">
        <v>100</v>
      </c>
      <c r="B58" s="64" t="n">
        <f aca="false">MEDIAN(B49:B57)</f>
        <v>13.4446347177689</v>
      </c>
      <c r="C58" s="65" t="n">
        <f aca="false">MEDIAN(C49:C57)</f>
        <v>13.1255691299823</v>
      </c>
      <c r="D58" s="63" t="n">
        <f aca="false">MEDIAN(D49:D57)</f>
        <v>13.312503480709</v>
      </c>
      <c r="E58" s="65" t="n">
        <f aca="false">MEDIAN(E49:E57)</f>
        <v>13.0008790490414</v>
      </c>
      <c r="F58" s="63" t="n">
        <f aca="false">MEDIAN(F49:F57)</f>
        <v>12.3425391064955</v>
      </c>
      <c r="G58" s="65" t="n">
        <f aca="false">MEDIAN(G49:G57)</f>
        <v>15.6019163904311</v>
      </c>
      <c r="H58" s="63" t="n">
        <f aca="false">MEDIAN(H49:H57)</f>
        <v>16.4760739006858</v>
      </c>
      <c r="I58" s="66" t="n">
        <f aca="false">MEDIAN(I49:I57)</f>
        <v>17.4052497433576</v>
      </c>
      <c r="J58" s="67" t="n">
        <f aca="false">MEDIAN(J49:J57)</f>
        <v>15.4325313258286</v>
      </c>
      <c r="K58" s="65" t="n">
        <f aca="false">MEDIAN(K49:K57)</f>
        <v>15.3475046819328</v>
      </c>
      <c r="L58" s="63" t="n">
        <f aca="false">MEDIAN(L49:L57)</f>
        <v>15.049080048873</v>
      </c>
      <c r="M58" s="65" t="n">
        <f aca="false">MEDIAN(M49:M57)</f>
        <v>14.9996889096135</v>
      </c>
      <c r="N58" s="65" t="n">
        <f aca="false">MEDIAN(N49:N57)</f>
        <v>14.8938575824692</v>
      </c>
      <c r="O58" s="63" t="n">
        <f aca="false">MEDIAN(O49:O57)</f>
        <v>15.012568307844</v>
      </c>
      <c r="P58" s="68" t="n">
        <f aca="false">MEDIAN(P49:P57)</f>
        <v>13.7895879122224</v>
      </c>
      <c r="Q58" s="67" t="n">
        <f aca="false">MEDIAN(Q49:Q57)</f>
        <v>13.1914262532002</v>
      </c>
      <c r="R58" s="63" t="n">
        <f aca="false">MEDIAN(R49:R57)</f>
        <v>12.9923039817266</v>
      </c>
      <c r="S58" s="65" t="n">
        <f aca="false">MEDIAN(S49:S57)</f>
        <v>13.3853693737293</v>
      </c>
      <c r="T58" s="63" t="n">
        <f aca="false">MEDIAN(T49:T57)</f>
        <v>13.5697313762593</v>
      </c>
      <c r="U58" s="63" t="n">
        <f aca="false">MEDIAN(U49:U57)</f>
        <v>13.5866849467508</v>
      </c>
      <c r="V58" s="65" t="n">
        <f aca="false">MEDIAN(V49:V57)</f>
        <v>13.5714606991312</v>
      </c>
      <c r="W58" s="65" t="n">
        <f aca="false">MEDIAN(W49:W57)</f>
        <v>12.9735571868008</v>
      </c>
      <c r="X58" s="66" t="n">
        <f aca="false">MEDIAN(X49:X57)</f>
        <v>14.0703923859474</v>
      </c>
      <c r="Y58" s="67" t="n">
        <f aca="false">MEDIAN(Y49:Y57)</f>
        <v>13.3495424691373</v>
      </c>
      <c r="Z58" s="63" t="n">
        <f aca="false">MEDIAN(Z49:Z57)</f>
        <v>12.9682913977239</v>
      </c>
      <c r="AA58" s="65" t="n">
        <f aca="false">MEDIAN(AA49:AA57)</f>
        <v>13.1601660209475</v>
      </c>
      <c r="AB58" s="63" t="n">
        <f aca="false">MEDIAN(AB49:AB54,AB56:AB57)</f>
        <v>13.5203861450726</v>
      </c>
      <c r="AC58" s="68" t="n">
        <f aca="false">MEDIAN(AC49:AC54,AC56:AC57)</f>
        <v>15.2883688272655</v>
      </c>
      <c r="AD58" s="67" t="n">
        <f aca="false">MEDIAN(AD49:AD54,AD56:AD57)</f>
        <v>14.0211701400492</v>
      </c>
      <c r="AE58" s="63" t="n">
        <f aca="false">MEDIAN(AE49:AE54,AE56:AE57)</f>
        <v>13.8387327305083</v>
      </c>
      <c r="AF58" s="65" t="n">
        <f aca="false">MEDIAN(AF49:AF54,AF56:AF57)</f>
        <v>13.8780783822375</v>
      </c>
      <c r="AG58" s="63" t="n">
        <f aca="false">MEDIAN(AG49:AG54,AG56:AG57)</f>
        <v>16.4452290486691</v>
      </c>
      <c r="AH58" s="63" t="n">
        <f aca="false">MEDIAN(AH49:AH54,AH56:AH57)</f>
        <v>10.2245105226281</v>
      </c>
      <c r="AI58" s="66" t="n">
        <f aca="false">MEDIAN(AI49:AI54,AI56:AI57)</f>
        <v>12.7489558153809</v>
      </c>
      <c r="AJ58" s="67" t="n">
        <f aca="false">MEDIAN(AJ49:AJ54,AJ56:AJ57)</f>
        <v>12.9890079888173</v>
      </c>
      <c r="AK58" s="63" t="n">
        <f aca="false">MEDIAN(AK49:AK54,AK56:AK57)</f>
        <v>15.4115690234532</v>
      </c>
      <c r="AL58" s="63" t="n">
        <f aca="false">MEDIAN(AL49:AL54,AL56:AL57)</f>
        <v>10.5198943745717</v>
      </c>
      <c r="AM58" s="63" t="n">
        <f aca="false">MEDIAN(AM49:AM54,AM56:AM57)</f>
        <v>10.0245361767952</v>
      </c>
      <c r="AN58" s="68" t="n">
        <f aca="false">MEDIAN(AN49:AN54,AN56:AN57)</f>
        <v>12.4687080290118</v>
      </c>
      <c r="AO58" s="67" t="n">
        <f aca="false">MEDIAN(AO49:AO54,AO56:AO57)</f>
        <v>11.9546106491545</v>
      </c>
      <c r="AP58" s="63" t="n">
        <f aca="false">MEDIAN(AP49:AP54,AP56:AP57)</f>
        <v>13.3023967565545</v>
      </c>
      <c r="AQ58" s="63" t="n">
        <f aca="false">MEDIAN(AQ49:AQ54,AQ56:AQ57)</f>
        <v>12.916277806303</v>
      </c>
    </row>
    <row r="59" s="93" customFormat="true" ht="12.8" hidden="false" customHeight="false" outlineLevel="0" collapsed="false">
      <c r="A59" s="1"/>
      <c r="B59" s="64"/>
      <c r="C59" s="65"/>
      <c r="D59" s="63"/>
      <c r="E59" s="65"/>
      <c r="F59" s="63"/>
      <c r="G59" s="65"/>
      <c r="H59" s="63"/>
      <c r="I59" s="66"/>
      <c r="J59" s="67"/>
      <c r="K59" s="65"/>
      <c r="L59" s="63"/>
      <c r="M59" s="65"/>
      <c r="N59" s="65"/>
      <c r="O59" s="63"/>
      <c r="P59" s="68"/>
      <c r="Q59" s="67"/>
      <c r="R59" s="63"/>
      <c r="S59" s="65"/>
      <c r="T59" s="63"/>
      <c r="U59" s="63"/>
      <c r="V59" s="65"/>
      <c r="W59" s="65"/>
      <c r="X59" s="66"/>
      <c r="Y59" s="67"/>
      <c r="Z59" s="63"/>
      <c r="AA59" s="65"/>
      <c r="AB59" s="63"/>
      <c r="AC59" s="68"/>
      <c r="AD59" s="67"/>
      <c r="AE59" s="63"/>
      <c r="AF59" s="65"/>
      <c r="AG59" s="63"/>
      <c r="AH59" s="63"/>
      <c r="AI59" s="66"/>
      <c r="AJ59" s="67"/>
      <c r="AK59" s="63"/>
      <c r="AL59" s="63"/>
      <c r="AM59" s="63"/>
      <c r="AN59" s="68"/>
      <c r="AO59" s="67"/>
      <c r="AP59" s="63"/>
      <c r="AQ59" s="63"/>
    </row>
    <row r="60" customFormat="false" ht="12.8" hidden="false" customHeight="false" outlineLevel="0" collapsed="false">
      <c r="A60" s="1" t="s">
        <v>102</v>
      </c>
      <c r="B60" s="64"/>
      <c r="C60" s="65"/>
      <c r="D60" s="63"/>
      <c r="E60" s="65"/>
      <c r="F60" s="63"/>
      <c r="G60" s="65"/>
      <c r="H60" s="63"/>
      <c r="I60" s="66"/>
      <c r="J60" s="67"/>
      <c r="K60" s="65"/>
      <c r="L60" s="63"/>
      <c r="M60" s="65"/>
      <c r="N60" s="65"/>
      <c r="O60" s="63"/>
      <c r="P60" s="68"/>
      <c r="Q60" s="67"/>
      <c r="R60" s="63"/>
      <c r="S60" s="65"/>
      <c r="T60" s="63"/>
      <c r="U60" s="63"/>
      <c r="V60" s="65"/>
      <c r="W60" s="65"/>
      <c r="X60" s="66"/>
      <c r="Y60" s="67"/>
      <c r="Z60" s="63"/>
      <c r="AA60" s="65"/>
      <c r="AB60" s="63"/>
      <c r="AC60" s="68"/>
      <c r="AD60" s="67"/>
      <c r="AE60" s="63"/>
      <c r="AF60" s="65"/>
      <c r="AG60" s="63"/>
      <c r="AH60" s="63"/>
      <c r="AI60" s="66"/>
      <c r="AJ60" s="67"/>
      <c r="AK60" s="63"/>
      <c r="AL60" s="63"/>
      <c r="AM60" s="63"/>
      <c r="AN60" s="68"/>
      <c r="AO60" s="67"/>
      <c r="AP60" s="63"/>
      <c r="AQ60" s="63"/>
    </row>
    <row r="61" customFormat="false" ht="12.8" hidden="false" customHeight="false" outlineLevel="0" collapsed="false">
      <c r="A61" s="1" t="s">
        <v>81</v>
      </c>
      <c r="B61" s="64" t="n">
        <f aca="false">SUM(MI!B126:B153)</f>
        <v>2.07107269344295</v>
      </c>
      <c r="C61" s="65" t="n">
        <f aca="false">SUM(MI!C126:C153)</f>
        <v>2.03465994916789</v>
      </c>
      <c r="D61" s="63" t="n">
        <f aca="false">SUM(MI!D126:D153)</f>
        <v>2.07986907369008</v>
      </c>
      <c r="E61" s="65" t="n">
        <f aca="false">SUM(MI!E126:E153)</f>
        <v>2.0272676910063</v>
      </c>
      <c r="F61" s="63" t="n">
        <f aca="false">SUM(MI!F126:F153)</f>
        <v>1.9273676254651</v>
      </c>
      <c r="G61" s="65" t="n">
        <f aca="false">SUM(MI!G126:G153)</f>
        <v>1.84514645510707</v>
      </c>
      <c r="H61" s="63" t="n">
        <f aca="false">SUM(MI!H126:H153)</f>
        <v>1.86280492822422</v>
      </c>
      <c r="I61" s="66" t="n">
        <f aca="false">SUM(MI!I126:I153)</f>
        <v>1.82382481609467</v>
      </c>
      <c r="J61" s="67" t="n">
        <f aca="false">SUM(MI!J126:J153)</f>
        <v>1.64175328632947</v>
      </c>
      <c r="K61" s="65" t="n">
        <f aca="false">SUM(MI!K126:K153)</f>
        <v>1.6490956644759</v>
      </c>
      <c r="L61" s="63" t="n">
        <f aca="false">SUM(MI!L126:L153)</f>
        <v>1.60363527467629</v>
      </c>
      <c r="M61" s="65" t="n">
        <f aca="false">SUM(MI!M126:M153)</f>
        <v>1.60199999851588</v>
      </c>
      <c r="N61" s="65" t="n">
        <f aca="false">SUM(MI!N126:N153)</f>
        <v>1.59433568947989</v>
      </c>
      <c r="O61" s="63" t="n">
        <f aca="false">SUM(MI!O126:O153)</f>
        <v>1.58337744124283</v>
      </c>
      <c r="P61" s="68" t="n">
        <f aca="false">SUM(MI!P126:P153)</f>
        <v>1.67148364450347</v>
      </c>
      <c r="Q61" s="67" t="n">
        <f aca="false">SUM(MI!Q126:Q153)</f>
        <v>1.62721648873266</v>
      </c>
      <c r="R61" s="63" t="n">
        <f aca="false">SUM(MI!R126:R153)</f>
        <v>1.56145283153819</v>
      </c>
      <c r="S61" s="65" t="n">
        <f aca="false">SUM(MI!S126:S153)</f>
        <v>1.62705879255403</v>
      </c>
      <c r="T61" s="63" t="n">
        <f aca="false">SUM(MI!T126:T153)</f>
        <v>1.67115218562232</v>
      </c>
      <c r="U61" s="63" t="n">
        <f aca="false">SUM(MI!U126:U153)</f>
        <v>1.83482802583748</v>
      </c>
      <c r="V61" s="65" t="n">
        <f aca="false">SUM(MI!V126:V153)</f>
        <v>1.7937314037709</v>
      </c>
      <c r="W61" s="65" t="n">
        <f aca="false">SUM(MI!W126:W153)</f>
        <v>1.72667506287155</v>
      </c>
      <c r="X61" s="66" t="n">
        <f aca="false">SUM(MI!X126:X153)</f>
        <v>1.85551113695264</v>
      </c>
      <c r="Y61" s="67" t="n">
        <f aca="false">SUM(MI!Y126:Y153)</f>
        <v>1.77070948155383</v>
      </c>
      <c r="Z61" s="63" t="n">
        <f aca="false">SUM(MI!Z126:Z153)</f>
        <v>1.6733343379066</v>
      </c>
      <c r="AA61" s="65" t="n">
        <f aca="false">SUM(MI!AA126:AA153)</f>
        <v>1.73286521392353</v>
      </c>
      <c r="AB61" s="63" t="n">
        <f aca="false">SUM(MI!AB126:AB153)</f>
        <v>1.59320642288399</v>
      </c>
      <c r="AC61" s="68" t="n">
        <f aca="false">SUM(MI!AC126:AC153)</f>
        <v>1.52503657628465</v>
      </c>
      <c r="AD61" s="67" t="n">
        <f aca="false">SUM(MI!AD126:AD153)</f>
        <v>1.46058868659786</v>
      </c>
      <c r="AE61" s="63" t="n">
        <f aca="false">SUM(MI!AE126:AE153)</f>
        <v>1.43290514481765</v>
      </c>
      <c r="AF61" s="65" t="n">
        <f aca="false">SUM(MI!AF126:AF153)</f>
        <v>1.44320104788661</v>
      </c>
      <c r="AG61" s="63" t="n">
        <f aca="false">SUM(MI!AG126:AG153)</f>
        <v>1.39284422265531</v>
      </c>
      <c r="AH61" s="63" t="n">
        <f aca="false">SUM(MI!AH126:AH153)</f>
        <v>1.26883868750297</v>
      </c>
      <c r="AI61" s="66" t="n">
        <f aca="false">SUM(MI!AI126:AI153)</f>
        <v>1.59853306655408</v>
      </c>
      <c r="AJ61" s="67" t="n">
        <f aca="false">SUM(MI!AJ126:AJ153)</f>
        <v>1.55279662119867</v>
      </c>
      <c r="AK61" s="63" t="n">
        <f aca="false">SUM(MI!AK126:AK153)</f>
        <v>1.47500360595556</v>
      </c>
      <c r="AL61" s="63" t="n">
        <f aca="false">SUM(MI!AL126:AL153)</f>
        <v>1.53302706023741</v>
      </c>
      <c r="AM61" s="63" t="n">
        <f aca="false">SUM(MI!AM126:AM153)</f>
        <v>1.34655946894071</v>
      </c>
      <c r="AN61" s="68" t="n">
        <f aca="false">SUM(MI!AN126:AN153)</f>
        <v>1.49147681670291</v>
      </c>
      <c r="AO61" s="67" t="n">
        <f aca="false">SUM(MI!AO126:AO153)</f>
        <v>1.44947311693681</v>
      </c>
      <c r="AP61" s="63" t="n">
        <f aca="false">SUM(MI!AP126:AP153)</f>
        <v>1.46493179595301</v>
      </c>
      <c r="AQ61" s="63" t="n">
        <f aca="false">SUM(MI!AQ126:AQ153)</f>
        <v>1.43592374959905</v>
      </c>
    </row>
    <row r="62" customFormat="false" ht="12.8" hidden="false" customHeight="false" outlineLevel="0" collapsed="false">
      <c r="A62" s="1" t="s">
        <v>82</v>
      </c>
      <c r="B62" s="64" t="n">
        <f aca="false">SUM('60th PRECNETILE'!B73:B86)</f>
        <v>2.16572455583581</v>
      </c>
      <c r="C62" s="65" t="n">
        <f aca="false">SUM('60th PRECNETILE'!C73:C86)</f>
        <v>2.12949302430609</v>
      </c>
      <c r="D62" s="63" t="n">
        <f aca="false">SUM('60th PRECNETILE'!D73:D86)</f>
        <v>2.17613202383138</v>
      </c>
      <c r="E62" s="65" t="n">
        <f aca="false">SUM('60th PRECNETILE'!E73:E86)</f>
        <v>2.12352746987618</v>
      </c>
      <c r="F62" s="63" t="n">
        <f aca="false">SUM('60th PRECNETILE'!F73:F86)</f>
        <v>2.01908233102046</v>
      </c>
      <c r="G62" s="65" t="n">
        <f aca="false">SUM('60th PRECNETILE'!G73:G86)</f>
        <v>1.92977962442338</v>
      </c>
      <c r="H62" s="63" t="n">
        <f aca="false">SUM('60th PRECNETILE'!H73:H86)</f>
        <v>1.9478429985332</v>
      </c>
      <c r="I62" s="66" t="n">
        <f aca="false">SUM('60th PRECNETILE'!I73:I86)</f>
        <v>1.90913216026503</v>
      </c>
      <c r="J62" s="67" t="n">
        <f aca="false">SUM('60th PRECNETILE'!J73:J86)</f>
        <v>1.72187385129768</v>
      </c>
      <c r="K62" s="65" t="n">
        <f aca="false">SUM('60th PRECNETILE'!K73:K86)</f>
        <v>1.73201539540484</v>
      </c>
      <c r="L62" s="63" t="n">
        <f aca="false">SUM('60th PRECNETILE'!L73:L86)</f>
        <v>1.68407723765022</v>
      </c>
      <c r="M62" s="65" t="n">
        <f aca="false">SUM('60th PRECNETILE'!M73:M86)</f>
        <v>1.68197958152353</v>
      </c>
      <c r="N62" s="65" t="n">
        <f aca="false">SUM('60th PRECNETILE'!N73:N86)</f>
        <v>1.67355943608421</v>
      </c>
      <c r="O62" s="63" t="n">
        <f aca="false">SUM('60th PRECNETILE'!O73:O86)</f>
        <v>1.66343955650158</v>
      </c>
      <c r="P62" s="68" t="n">
        <f aca="false">SUM('60th PRECNETILE'!P73:P86)</f>
        <v>1.75688067175418</v>
      </c>
      <c r="Q62" s="67" t="n">
        <f aca="false">SUM('60th PRECNETILE'!Q73:Q86)</f>
        <v>1.71355426055128</v>
      </c>
      <c r="R62" s="63" t="n">
        <f aca="false">SUM('60th PRECNETILE'!R73:R86)</f>
        <v>1.64526203766039</v>
      </c>
      <c r="S62" s="65" t="n">
        <f aca="false">SUM('60th PRECNETILE'!S73:S86)</f>
        <v>1.71336779587518</v>
      </c>
      <c r="T62" s="63" t="n">
        <f aca="false">SUM('60th PRECNETILE'!T73:T86)</f>
        <v>1.75961936929488</v>
      </c>
      <c r="U62" s="63" t="n">
        <f aca="false">SUM('60th PRECNETILE'!U73:U86)</f>
        <v>1.92206733970549</v>
      </c>
      <c r="V62" s="65" t="n">
        <f aca="false">SUM('60th PRECNETILE'!V73:V86)</f>
        <v>1.88204537843437</v>
      </c>
      <c r="W62" s="65" t="n">
        <f aca="false">SUM('60th PRECNETILE'!W73:W86)</f>
        <v>1.81294518372173</v>
      </c>
      <c r="X62" s="66" t="n">
        <f aca="false">SUM('60th PRECNETILE'!X73:X86)</f>
        <v>1.94659699230712</v>
      </c>
      <c r="Y62" s="67" t="n">
        <f aca="false">SUM('60th PRECNETILE'!Y73:Y86)</f>
        <v>1.85809024824918</v>
      </c>
      <c r="Z62" s="63" t="n">
        <f aca="false">SUM('60th PRECNETILE'!Z73:Z86)</f>
        <v>1.75808042390756</v>
      </c>
      <c r="AA62" s="65" t="n">
        <f aca="false">SUM('60th PRECNETILE'!AA73:AA86)</f>
        <v>1.81988155164892</v>
      </c>
      <c r="AB62" s="63" t="n">
        <f aca="false">SUM('60th PRECNETILE'!AB73:AB86)</f>
        <v>1.67759259497476</v>
      </c>
      <c r="AC62" s="68" t="n">
        <f aca="false">SUM('60th PRECNETILE'!AC73:AC86)</f>
        <v>1.60551838168725</v>
      </c>
      <c r="AD62" s="67" t="n">
        <f aca="false">SUM('60th PRECNETILE'!AD73:AD86)</f>
        <v>1.53711222921308</v>
      </c>
      <c r="AE62" s="63" t="n">
        <f aca="false">SUM('60th PRECNETILE'!AE73:AE86)</f>
        <v>1.50683636835455</v>
      </c>
      <c r="AF62" s="65" t="n">
        <f aca="false">SUM('60th PRECNETILE'!AF73:AF86)</f>
        <v>1.51687497829217</v>
      </c>
      <c r="AG62" s="63" t="n">
        <f aca="false">SUM('60th PRECNETILE'!AG73:AG86)</f>
        <v>1.46531788260759</v>
      </c>
      <c r="AH62" s="63" t="n">
        <f aca="false">SUM('60th PRECNETILE'!AH73:AH86)</f>
        <v>1.33713175594033</v>
      </c>
      <c r="AI62" s="66" t="n">
        <f aca="false">SUM('60th PRECNETILE'!AI73:AI86)</f>
        <v>1.68338051154753</v>
      </c>
      <c r="AJ62" s="67" t="n">
        <f aca="false">SUM('60th PRECNETILE'!AJ73:AJ86)</f>
        <v>1.63479650380134</v>
      </c>
      <c r="AK62" s="63" t="n">
        <f aca="false">SUM('60th PRECNETILE'!AK73:AK86)</f>
        <v>1.55236670395225</v>
      </c>
      <c r="AL62" s="63" t="n">
        <f aca="false">SUM('60th PRECNETILE'!AL73:AL86)</f>
        <v>1.48809547535149</v>
      </c>
      <c r="AM62" s="63" t="n">
        <f aca="false">SUM('60th PRECNETILE'!AM73:AM86)</f>
        <v>1.41717860228875</v>
      </c>
      <c r="AN62" s="68" t="n">
        <f aca="false">SUM('60th PRECNETILE'!AN73:AN86)</f>
        <v>1.45027342844984</v>
      </c>
      <c r="AO62" s="67" t="n">
        <f aca="false">SUM('60th PRECNETILE'!AO73:AO86)</f>
        <v>1.40866231551557</v>
      </c>
      <c r="AP62" s="63" t="n">
        <f aca="false">SUM('60th PRECNETILE'!AP73:AP86)</f>
        <v>1.43226358312616</v>
      </c>
      <c r="AQ62" s="63" t="n">
        <f aca="false">SUM('60th PRECNETILE'!AQ73:AQ86)</f>
        <v>1.40640915314523</v>
      </c>
    </row>
    <row r="63" customFormat="false" ht="12.8" hidden="false" customHeight="false" outlineLevel="0" collapsed="false">
      <c r="A63" s="1" t="s">
        <v>83</v>
      </c>
      <c r="B63" s="64" t="n">
        <f aca="false">SUM(Finance!B42:B48)</f>
        <v>2.21265671140427</v>
      </c>
      <c r="C63" s="65" t="n">
        <f aca="false">SUM(Finance!C42:C48)</f>
        <v>2.20427040346981</v>
      </c>
      <c r="D63" s="53" t="n">
        <f aca="false">SUM(Finance!D42:D48)</f>
        <v>2.27576414212617</v>
      </c>
      <c r="E63" s="94" t="n">
        <f aca="false">SUM(Finance!E42:E48)</f>
        <v>2.25911282638093</v>
      </c>
      <c r="F63" s="53" t="n">
        <f aca="false">SUM(Finance!F42:F48)</f>
        <v>2.07561503388688</v>
      </c>
      <c r="G63" s="94" t="n">
        <f aca="false">SUM(Finance!G42:G48)</f>
        <v>1.8021303668945</v>
      </c>
      <c r="H63" s="53" t="n">
        <f aca="false">SUM(Finance!H42:H48)</f>
        <v>1.82083351505329</v>
      </c>
      <c r="I63" s="66" t="n">
        <f aca="false">SUM(Finance!I42:I48)</f>
        <v>1.78016964853914</v>
      </c>
      <c r="J63" s="67" t="n">
        <f aca="false">SUM(Finance!J42:J48)</f>
        <v>1.55500425096763</v>
      </c>
      <c r="K63" s="94" t="n">
        <f aca="false">SUM(Finance!K42:K48)</f>
        <v>1.46644969967711</v>
      </c>
      <c r="L63" s="53" t="n">
        <f aca="false">SUM(Finance!L42:L48)</f>
        <v>1.40683994846419</v>
      </c>
      <c r="M63" s="94" t="n">
        <f aca="false">SUM(Finance!M42:M48)</f>
        <v>1.40176905697326</v>
      </c>
      <c r="N63" s="94" t="n">
        <f aca="false">SUM(Finance!N42:N48)</f>
        <v>1.39243207789439</v>
      </c>
      <c r="O63" s="53" t="n">
        <f aca="false">SUM(Finance!O42:O48)</f>
        <v>1.36462946523239</v>
      </c>
      <c r="P63" s="68" t="n">
        <f aca="false">SUM(Finance!P42:P48)</f>
        <v>1.48881078567169</v>
      </c>
      <c r="Q63" s="67" t="n">
        <f aca="false">SUM(Finance!Q42:Q48)</f>
        <v>1.44804896774932</v>
      </c>
      <c r="R63" s="53" t="n">
        <f aca="false">SUM(Finance!R42:R48)</f>
        <v>1.37311514083616</v>
      </c>
      <c r="S63" s="94" t="n">
        <f aca="false">SUM(Finance!S42:S48)</f>
        <v>1.41531211732412</v>
      </c>
      <c r="T63" s="53" t="n">
        <f aca="false">SUM(Finance!T42:T48)</f>
        <v>1.49253733763424</v>
      </c>
      <c r="U63" s="53" t="n">
        <f aca="false">SUM(Finance!U42:U48)</f>
        <v>1.72160190318696</v>
      </c>
      <c r="V63" s="94" t="n">
        <f aca="false">SUM(Finance!V42:V48)</f>
        <v>1.70773061151426</v>
      </c>
      <c r="W63" s="94" t="n">
        <f aca="false">SUM(Finance!W42:W48)</f>
        <v>1.6098088406964</v>
      </c>
      <c r="X63" s="66" t="n">
        <f aca="false">SUM(Finance!X42:X48)</f>
        <v>1.73953816199731</v>
      </c>
      <c r="Y63" s="67" t="n">
        <f aca="false">SUM(Finance!Y42:Y48)</f>
        <v>1.67079984158046</v>
      </c>
      <c r="Z63" s="53" t="n">
        <f aca="false">SUM(Finance!Z42:Z48)</f>
        <v>1.52680378580861</v>
      </c>
      <c r="AA63" s="94" t="n">
        <f aca="false">SUM(Finance!AA42:AA48)</f>
        <v>1.56366759630521</v>
      </c>
      <c r="AB63" s="53" t="n">
        <f aca="false">SUM(Finance!AB42:AB48)</f>
        <v>1.32215757741872</v>
      </c>
      <c r="AC63" s="68" t="n">
        <f aca="false">SUM(Finance!AC42:AC48)</f>
        <v>1.332652757306</v>
      </c>
      <c r="AD63" s="67" t="n">
        <f aca="false">SUM(Finance!AD42:AD48)</f>
        <v>1.25018781043746</v>
      </c>
      <c r="AE63" s="53" t="n">
        <f aca="false">SUM(Finance!AE42:AE48)</f>
        <v>1.18375650510551</v>
      </c>
      <c r="AF63" s="94" t="n">
        <f aca="false">SUM(Finance!AF42:AF48)</f>
        <v>1.19800961456117</v>
      </c>
      <c r="AG63" s="53" t="n">
        <f aca="false">SUM(Finance!AG42:AG48)</f>
        <v>1.15365532667196</v>
      </c>
      <c r="AH63" s="53" t="n">
        <f aca="false">SUM(Finance!AH42:AH48)</f>
        <v>1.12331296881464</v>
      </c>
      <c r="AI63" s="66" t="n">
        <f aca="false">SUM(Finance!AI42:AI48)</f>
        <v>1.38296952383403</v>
      </c>
      <c r="AJ63" s="67" t="n">
        <f aca="false">SUM(Finance!AJ42:AJ48)</f>
        <v>1.27014420689325</v>
      </c>
      <c r="AK63" s="53" t="n">
        <f aca="false">SUM(Finance!AK42:AK48)</f>
        <v>1.15146277884277</v>
      </c>
      <c r="AL63" s="53" t="n">
        <f aca="false">SUM(Finance!AL42:AL48)</f>
        <v>1.10293463359885</v>
      </c>
      <c r="AM63" s="53" t="n">
        <f aca="false">SUM(Finance!AM42:AM48)</f>
        <v>1.05372482250559</v>
      </c>
      <c r="AN63" s="68" t="n">
        <f aca="false">SUM(Finance!AN42:AN48)</f>
        <v>1.11118063555683</v>
      </c>
      <c r="AO63" s="67" t="n">
        <f aca="false">SUM(Finance!AO42:AO48)</f>
        <v>1.04768923489334</v>
      </c>
      <c r="AP63" s="53" t="n">
        <f aca="false">SUM(Finance!AP42:AP48)</f>
        <v>1.07869014696128</v>
      </c>
      <c r="AQ63" s="53" t="n">
        <f aca="false">SUM(Finance!AQ42:AQ48)</f>
        <v>1.05912994187966</v>
      </c>
    </row>
    <row r="64" customFormat="false" ht="12.8" hidden="false" customHeight="false" outlineLevel="0" collapsed="false">
      <c r="A64" s="1" t="s">
        <v>84</v>
      </c>
      <c r="B64" s="64" t="n">
        <f aca="false">SUM('Heavy Industry'!B47:B54)</f>
        <v>1.42748097837704</v>
      </c>
      <c r="C64" s="65" t="n">
        <f aca="false">SUM('Heavy Industry'!C47:C54)</f>
        <v>1.39805556170098</v>
      </c>
      <c r="D64" s="63" t="n">
        <f aca="false">SUM('Heavy Industry'!D47:D54)</f>
        <v>1.40172070056701</v>
      </c>
      <c r="E64" s="65" t="n">
        <f aca="false">SUM('Heavy Industry'!E47:E54)</f>
        <v>1.36130093819216</v>
      </c>
      <c r="F64" s="63" t="n">
        <f aca="false">SUM('Heavy Industry'!F47:F54)</f>
        <v>1.33083990289182</v>
      </c>
      <c r="G64" s="65" t="n">
        <f aca="false">SUM('Heavy Industry'!G47:G54)</f>
        <v>1.36019389916199</v>
      </c>
      <c r="H64" s="63" t="n">
        <f aca="false">SUM('Heavy Industry'!H47:H54)</f>
        <v>1.31052935752386</v>
      </c>
      <c r="I64" s="66" t="n">
        <f aca="false">SUM('Heavy Industry'!I47:I54)</f>
        <v>1.27156525102671</v>
      </c>
      <c r="J64" s="67" t="n">
        <f aca="false">SUM('Heavy Industry'!J47:J54)</f>
        <v>1.23169214314056</v>
      </c>
      <c r="K64" s="65" t="n">
        <f aca="false">SUM('Heavy Industry'!K47:K54)</f>
        <v>1.27291105478828</v>
      </c>
      <c r="L64" s="63" t="n">
        <f aca="false">SUM('Heavy Industry'!L47:L54)</f>
        <v>1.2113995158147</v>
      </c>
      <c r="M64" s="65" t="n">
        <f aca="false">SUM('Heavy Industry'!M47:M54)</f>
        <v>1.21152465165357</v>
      </c>
      <c r="N64" s="65" t="n">
        <f aca="false">SUM('Heavy Industry'!N47:N54)</f>
        <v>1.21962261477189</v>
      </c>
      <c r="O64" s="63" t="n">
        <f aca="false">SUM('Heavy Industry'!O47:O54)</f>
        <v>1.26915205103735</v>
      </c>
      <c r="P64" s="68" t="n">
        <f aca="false">SUM('Heavy Industry'!P47:P54)</f>
        <v>1.52919656168167</v>
      </c>
      <c r="Q64" s="67" t="n">
        <f aca="false">SUM('Heavy Industry'!Q47:Q54)</f>
        <v>1.51677274976219</v>
      </c>
      <c r="R64" s="63" t="n">
        <f aca="false">SUM('Heavy Industry'!R47:R54)</f>
        <v>1.46310291685362</v>
      </c>
      <c r="S64" s="65" t="n">
        <f aca="false">SUM('Heavy Industry'!S47:S54)</f>
        <v>1.52704367869733</v>
      </c>
      <c r="T64" s="63" t="n">
        <f aca="false">SUM('Heavy Industry'!T47:T54)</f>
        <v>1.6423464794238</v>
      </c>
      <c r="U64" s="63" t="n">
        <f aca="false">SUM('Heavy Industry'!U47:U54)</f>
        <v>1.78051585580453</v>
      </c>
      <c r="V64" s="65" t="n">
        <f aca="false">SUM('Heavy Industry'!V47:V54)</f>
        <v>1.68152060204838</v>
      </c>
      <c r="W64" s="65" t="n">
        <f aca="false">SUM('Heavy Industry'!W47:W54)</f>
        <v>1.66753150608784</v>
      </c>
      <c r="X64" s="66" t="n">
        <f aca="false">SUM('Heavy Industry'!X47:X54)</f>
        <v>1.82113225704202</v>
      </c>
      <c r="Y64" s="67" t="n">
        <f aca="false">SUM('Heavy Industry'!Y47:Y54)</f>
        <v>1.813292793314</v>
      </c>
      <c r="Z64" s="63" t="n">
        <f aca="false">SUM('Heavy Industry'!Z47:Z54)</f>
        <v>1.76765448280727</v>
      </c>
      <c r="AA64" s="65" t="n">
        <f aca="false">SUM('Heavy Industry'!AA47:AA54)</f>
        <v>1.7833415935883</v>
      </c>
      <c r="AB64" s="63" t="n">
        <f aca="false">SUM('Heavy Industry'!AB47:AB54)</f>
        <v>1.72405040085417</v>
      </c>
      <c r="AC64" s="68" t="n">
        <f aca="false">SUM('Heavy Industry'!AC47:AC54)</f>
        <v>1.34420887120626</v>
      </c>
      <c r="AD64" s="67" t="n">
        <f aca="false">SUM('Heavy Industry'!AD47:AD54)</f>
        <v>1.32991904434437</v>
      </c>
      <c r="AE64" s="63" t="n">
        <f aca="false">SUM('Heavy Industry'!AE47:AE54)</f>
        <v>1.2647579689401</v>
      </c>
      <c r="AF64" s="65" t="n">
        <f aca="false">SUM('Heavy Industry'!AF47:AF54)</f>
        <v>1.23473623365884</v>
      </c>
      <c r="AG64" s="63" t="n">
        <f aca="false">SUM('Heavy Industry'!AG47:AG54)</f>
        <v>1.19743147509168</v>
      </c>
      <c r="AH64" s="63" t="n">
        <f aca="false">SUM('Heavy Industry'!AH47:AH54)</f>
        <v>1.05223179157353</v>
      </c>
      <c r="AI64" s="66" t="n">
        <f aca="false">SUM('Heavy Industry'!AI47:AI54)</f>
        <v>1.45701644182123</v>
      </c>
      <c r="AJ64" s="67" t="n">
        <f aca="false">SUM('Heavy Industry'!AJ47:AJ54)</f>
        <v>1.48166443604704</v>
      </c>
      <c r="AK64" s="63" t="n">
        <f aca="false">SUM('Heavy Industry'!AK47:AK54)</f>
        <v>1.38784629298956</v>
      </c>
      <c r="AL64" s="63" t="n">
        <f aca="false">SUM('Heavy Industry'!AL47:AL54)</f>
        <v>1.2903648402999</v>
      </c>
      <c r="AM64" s="63" t="n">
        <f aca="false">SUM('Heavy Industry'!AM47:AM54)</f>
        <v>1.23121947320209</v>
      </c>
      <c r="AN64" s="68" t="n">
        <f aca="false">SUM('Heavy Industry'!AN47:AN54)</f>
        <v>1.11981672157432</v>
      </c>
      <c r="AO64" s="67" t="n">
        <f aca="false">SUM('Heavy Industry'!AO47:AO54)</f>
        <v>1.05484375510787</v>
      </c>
      <c r="AP64" s="63" t="n">
        <f aca="false">SUM('Heavy Industry'!AP47:AP54)</f>
        <v>1.09863674879502</v>
      </c>
      <c r="AQ64" s="63" t="n">
        <f aca="false">SUM('Heavy Industry'!AQ47:AQ54)</f>
        <v>1.06706546844054</v>
      </c>
    </row>
    <row r="65" customFormat="false" ht="12.8" hidden="false" customHeight="false" outlineLevel="0" collapsed="false">
      <c r="A65" s="1" t="s">
        <v>85</v>
      </c>
      <c r="B65" s="64" t="n">
        <f aca="false">SUM('Light Industry'!B43:B49)</f>
        <v>2.18293658155578</v>
      </c>
      <c r="C65" s="65" t="n">
        <f aca="false">SUM('Light Industry'!C43:C49)</f>
        <v>1.99589388414786</v>
      </c>
      <c r="D65" s="63" t="n">
        <f aca="false">SUM('Light Industry'!D43:D49)</f>
        <v>1.99873139030742</v>
      </c>
      <c r="E65" s="65" t="n">
        <f aca="false">SUM('Light Industry'!E43:E49)</f>
        <v>1.77748950798907</v>
      </c>
      <c r="F65" s="63" t="n">
        <f aca="false">SUM('Light Industry'!F43:F49)</f>
        <v>1.72698662294814</v>
      </c>
      <c r="G65" s="65" t="n">
        <f aca="false">SUM('Light Industry'!G43:G49)</f>
        <v>1.8028283832532</v>
      </c>
      <c r="H65" s="63" t="n">
        <f aca="false">SUM('Light Industry'!H43:H49)</f>
        <v>1.87406795375793</v>
      </c>
      <c r="I65" s="66" t="n">
        <f aca="false">SUM('Light Industry'!I43:I49)</f>
        <v>1.75630261365648</v>
      </c>
      <c r="J65" s="67" t="n">
        <f aca="false">SUM('Light Industry'!J43:J49)</f>
        <v>1.63364314557397</v>
      </c>
      <c r="K65" s="65" t="n">
        <f aca="false">SUM('Light Industry'!K43:K49)</f>
        <v>1.6407167161258</v>
      </c>
      <c r="L65" s="63" t="n">
        <f aca="false">SUM('Light Industry'!L43:L49)</f>
        <v>1.59781457975419</v>
      </c>
      <c r="M65" s="65" t="n">
        <f aca="false">SUM('Light Industry'!M43:M49)</f>
        <v>1.59950555439961</v>
      </c>
      <c r="N65" s="65" t="n">
        <f aca="false">SUM('Light Industry'!N43:N49)</f>
        <v>1.58037647886056</v>
      </c>
      <c r="O65" s="63" t="n">
        <f aca="false">SUM('Light Industry'!O43:O49)</f>
        <v>1.52938132908267</v>
      </c>
      <c r="P65" s="68" t="n">
        <f aca="false">SUM('Light Industry'!P43:P49)</f>
        <v>1.72314654643825</v>
      </c>
      <c r="Q65" s="67" t="n">
        <f aca="false">SUM('Light Industry'!Q43:Q49)</f>
        <v>1.75651415769576</v>
      </c>
      <c r="R65" s="63" t="n">
        <f aca="false">SUM('Light Industry'!R43:R49)</f>
        <v>1.75102662899512</v>
      </c>
      <c r="S65" s="65" t="n">
        <f aca="false">SUM('Light Industry'!S43:S49)</f>
        <v>1.82427449043006</v>
      </c>
      <c r="T65" s="63" t="n">
        <f aca="false">SUM('Light Industry'!T43:T49)</f>
        <v>1.77686376027416</v>
      </c>
      <c r="U65" s="63" t="n">
        <f aca="false">SUM('Light Industry'!U43:U49)</f>
        <v>2.07149903217867</v>
      </c>
      <c r="V65" s="65" t="n">
        <f aca="false">SUM('Light Industry'!V43:V49)</f>
        <v>1.94773802020126</v>
      </c>
      <c r="W65" s="65" t="n">
        <f aca="false">SUM('Light Industry'!W43:W49)</f>
        <v>1.8747374181455</v>
      </c>
      <c r="X65" s="66" t="n">
        <f aca="false">SUM('Light Industry'!X43:X49)</f>
        <v>2.07703264114224</v>
      </c>
      <c r="Y65" s="67" t="n">
        <f aca="false">SUM('Light Industry'!Y43:Y49)</f>
        <v>1.93356787021533</v>
      </c>
      <c r="Z65" s="63" t="n">
        <f aca="false">SUM('Light Industry'!Z43:Z49)</f>
        <v>1.84840386945915</v>
      </c>
      <c r="AA65" s="65" t="n">
        <f aca="false">SUM('Light Industry'!AA43:AA49)</f>
        <v>1.90015105949246</v>
      </c>
      <c r="AB65" s="63" t="n">
        <f aca="false">SUM('Light Industry'!AB43:AB49)</f>
        <v>1.70622993718374</v>
      </c>
      <c r="AC65" s="68" t="n">
        <f aca="false">SUM('Light Industry'!AC43:AC49)</f>
        <v>1.75996621909322</v>
      </c>
      <c r="AD65" s="67" t="n">
        <f aca="false">SUM('Light Industry'!AD43:AD49)</f>
        <v>1.70863658421754</v>
      </c>
      <c r="AE65" s="63" t="n">
        <f aca="false">SUM('Light Industry'!AE43:AE49)</f>
        <v>1.67131429202412</v>
      </c>
      <c r="AF65" s="65" t="n">
        <f aca="false">SUM('Light Industry'!AF43:AF49)</f>
        <v>1.725162183823</v>
      </c>
      <c r="AG65" s="63" t="n">
        <f aca="false">SUM('Light Industry'!AG43:AG49)</f>
        <v>1.54919158367278</v>
      </c>
      <c r="AH65" s="63" t="n">
        <f aca="false">SUM('Light Industry'!AH43:AH49)</f>
        <v>1.4323005955448</v>
      </c>
      <c r="AI65" s="66" t="n">
        <f aca="false">SUM('Light Industry'!AI43:AI49)</f>
        <v>1.95633102629637</v>
      </c>
      <c r="AJ65" s="67" t="n">
        <f aca="false">SUM('Light Industry'!AJ43:AJ49)</f>
        <v>1.87719184506002</v>
      </c>
      <c r="AK65" s="63" t="n">
        <f aca="false">SUM('Light Industry'!AK43:AK49)</f>
        <v>1.85712519855022</v>
      </c>
      <c r="AL65" s="63" t="n">
        <f aca="false">SUM('Light Industry'!AL43:AL49)</f>
        <v>1.82681617596594</v>
      </c>
      <c r="AM65" s="63" t="n">
        <f aca="false">SUM('Light Industry'!AM43:AM49)</f>
        <v>1.58722335089496</v>
      </c>
      <c r="AN65" s="68" t="n">
        <f aca="false">SUM('Light Industry'!AN43:AN49)</f>
        <v>1.8201371694554</v>
      </c>
      <c r="AO65" s="67" t="n">
        <f aca="false">SUM('Light Industry'!AO43:AO49)</f>
        <v>1.83160330097358</v>
      </c>
      <c r="AP65" s="63" t="n">
        <f aca="false">SUM('Light Industry'!AP43:AP49)</f>
        <v>1.77249135592062</v>
      </c>
      <c r="AQ65" s="63" t="n">
        <f aca="false">SUM('Light Industry'!AQ43:AQ49)</f>
        <v>1.73302886924121</v>
      </c>
    </row>
    <row r="66" customFormat="false" ht="12.8" hidden="false" customHeight="false" outlineLevel="0" collapsed="false">
      <c r="A66" s="1" t="s">
        <v>86</v>
      </c>
      <c r="B66" s="64" t="n">
        <f aca="false">SUM(Services!B39:B44)</f>
        <v>2.04963225592965</v>
      </c>
      <c r="C66" s="65" t="n">
        <f aca="false">SUM(Services!C39:C44)</f>
        <v>2.06704381451202</v>
      </c>
      <c r="D66" s="63" t="n">
        <f aca="false">SUM(Services!D39:D44)</f>
        <v>2.09682889543119</v>
      </c>
      <c r="E66" s="65" t="n">
        <f aca="false">SUM(Services!E39:E44)</f>
        <v>2.11016216039341</v>
      </c>
      <c r="F66" s="63" t="n">
        <f aca="false">SUM(Services!F39:F44)</f>
        <v>2.11404951618676</v>
      </c>
      <c r="G66" s="65" t="n">
        <f aca="false">SUM(Services!G39:G44)</f>
        <v>2.22552186376624</v>
      </c>
      <c r="H66" s="63" t="n">
        <f aca="false">SUM(Services!H39:H44)</f>
        <v>2.24184962089892</v>
      </c>
      <c r="I66" s="66" t="n">
        <f aca="false">SUM(Services!I39:I44)</f>
        <v>2.24762911409099</v>
      </c>
      <c r="J66" s="67" t="n">
        <f aca="false">SUM(Services!J39:J44)</f>
        <v>2.0425122772549</v>
      </c>
      <c r="K66" s="65" t="n">
        <f aca="false">SUM(Services!K39:K44)</f>
        <v>2.20625462885971</v>
      </c>
      <c r="L66" s="63" t="n">
        <f aca="false">SUM(Services!L39:L44)</f>
        <v>2.15488525436771</v>
      </c>
      <c r="M66" s="65" t="n">
        <f aca="false">SUM(Services!M39:M44)</f>
        <v>2.15519133814992</v>
      </c>
      <c r="N66" s="65" t="n">
        <f aca="false">SUM(Services!N39:N44)</f>
        <v>2.14265633263198</v>
      </c>
      <c r="O66" s="63" t="n">
        <f aca="false">SUM(Services!O39:O44)</f>
        <v>2.11849696308228</v>
      </c>
      <c r="P66" s="68" t="n">
        <f aca="false">SUM(Services!P39:P44)</f>
        <v>2.01359034044052</v>
      </c>
      <c r="Q66" s="67" t="n">
        <f aca="false">SUM(Services!Q39:Q44)</f>
        <v>1.89824037244507</v>
      </c>
      <c r="R66" s="63" t="n">
        <f aca="false">SUM(Services!R39:R44)</f>
        <v>1.81189374136458</v>
      </c>
      <c r="S66" s="65" t="n">
        <f aca="false">SUM(Services!S39:S44)</f>
        <v>1.91171727937192</v>
      </c>
      <c r="T66" s="63" t="n">
        <f aca="false">SUM(Services!T39:T44)</f>
        <v>1.91784325287618</v>
      </c>
      <c r="U66" s="63" t="n">
        <f aca="false">SUM(Services!U39:U44)</f>
        <v>1.9190168308584</v>
      </c>
      <c r="V66" s="65" t="n">
        <f aca="false">SUM(Services!V39:V44)</f>
        <v>1.92699329623555</v>
      </c>
      <c r="W66" s="65" t="n">
        <f aca="false">SUM(Services!W39:W44)</f>
        <v>1.87776713646404</v>
      </c>
      <c r="X66" s="66" t="n">
        <f aca="false">SUM(Services!X39:X44)</f>
        <v>1.93874237747004</v>
      </c>
      <c r="Y66" s="67" t="n">
        <f aca="false">SUM(Services!Y39:Y44)</f>
        <v>1.81631049477692</v>
      </c>
      <c r="Z66" s="63" t="n">
        <f aca="false">SUM(Services!Z39:Z44)</f>
        <v>1.74507640953621</v>
      </c>
      <c r="AA66" s="65" t="n">
        <f aca="false">SUM(Services!AA39:AA44)</f>
        <v>1.87556075266159</v>
      </c>
      <c r="AB66" s="63" t="n">
        <f aca="false">SUM(Services!AB39:AB44)</f>
        <v>1.85423289549015</v>
      </c>
      <c r="AC66" s="68" t="n">
        <f aca="false">SUM(Services!AC39:AC44)</f>
        <v>1.76154266164316</v>
      </c>
      <c r="AD66" s="67" t="n">
        <f aca="false">SUM(Services!AD39:AD44)</f>
        <v>1.68797679613644</v>
      </c>
      <c r="AE66" s="63" t="n">
        <f aca="false">SUM(Services!AE39:AE44)</f>
        <v>1.72854243523386</v>
      </c>
      <c r="AF66" s="65" t="n">
        <f aca="false">SUM(Services!AF39:AF44)</f>
        <v>1.72959916854667</v>
      </c>
      <c r="AG66" s="63" t="n">
        <f aca="false">SUM(Services!AG39:AG44)</f>
        <v>1.7102679643602</v>
      </c>
      <c r="AH66" s="63" t="n">
        <f aca="false">SUM(Services!AH39:AH44)</f>
        <v>1.49837888797996</v>
      </c>
      <c r="AI66" s="66" t="n">
        <f aca="false">SUM(Services!AI39:AI44)</f>
        <v>1.7705758588439</v>
      </c>
      <c r="AJ66" s="67" t="n">
        <f aca="false">SUM(Services!AJ39:AJ44)</f>
        <v>1.77926171695956</v>
      </c>
      <c r="AK66" s="63" t="n">
        <f aca="false">SUM(Services!AK39:AK44)</f>
        <v>1.72724452926679</v>
      </c>
      <c r="AL66" s="63" t="n">
        <f aca="false">SUM(Services!AL39:AL44)</f>
        <v>1.68117721145818</v>
      </c>
      <c r="AM66" s="63" t="n">
        <f aca="false">SUM(Services!AM39:AM44)</f>
        <v>1.65214759091739</v>
      </c>
      <c r="AN66" s="68" t="n">
        <f aca="false">SUM(Services!AN39:AN44)</f>
        <v>1.68539783685492</v>
      </c>
      <c r="AO66" s="67" t="n">
        <f aca="false">SUM(Services!AO39:AO44)</f>
        <v>1.67964014743845</v>
      </c>
      <c r="AP66" s="63" t="n">
        <f aca="false">SUM(Services!AP39:AP44)</f>
        <v>1.69545280622281</v>
      </c>
      <c r="AQ66" s="63" t="n">
        <f aca="false">SUM(Services!AQ39:AQ44)</f>
        <v>1.67194461231949</v>
      </c>
    </row>
    <row r="67" customFormat="false" ht="12.8" hidden="false" customHeight="false" outlineLevel="0" collapsed="false">
      <c r="A67" s="1" t="s">
        <v>87</v>
      </c>
      <c r="B67" s="64" t="n">
        <f aca="false">SUM('MBI10 Ratio'!B110:B119)</f>
        <v>1.91086553329086</v>
      </c>
      <c r="C67" s="65" t="n">
        <f aca="false">SUM('MBI10 Ratio'!C110:C119)</f>
        <v>1.84412497604807</v>
      </c>
      <c r="D67" s="63" t="n">
        <f aca="false">SUM('MBI10 Ratio'!D110:D119)</f>
        <v>1.87333383226936</v>
      </c>
      <c r="E67" s="65" t="n">
        <f aca="false">SUM('MBI10 Ratio'!E110:E119)</f>
        <v>1.77749947306936</v>
      </c>
      <c r="F67" s="63" t="n">
        <f aca="false">SUM('MBI10 Ratio'!F110:F119)</f>
        <v>1.67638210312036</v>
      </c>
      <c r="G67" s="65" t="n">
        <f aca="false">SUM('MBI10 Ratio'!G110:G119)</f>
        <v>1.60432245798572</v>
      </c>
      <c r="H67" s="63" t="n">
        <f aca="false">SUM('MBI10 Ratio'!H110:H119)</f>
        <v>1.62075212208241</v>
      </c>
      <c r="I67" s="66" t="n">
        <f aca="false">SUM('MBI10 Ratio'!I110:I119)</f>
        <v>1.57379963662019</v>
      </c>
      <c r="J67" s="67" t="n">
        <f aca="false">SUM('MBI10 Ratio'!J110:J119)</f>
        <v>1.41712974691658</v>
      </c>
      <c r="K67" s="65" t="n">
        <f aca="false">SUM('MBI10 Ratio'!K110:K119)</f>
        <v>1.39839620102852</v>
      </c>
      <c r="L67" s="63" t="n">
        <f aca="false">SUM('MBI10 Ratio'!L110:L119)</f>
        <v>1.36565344263003</v>
      </c>
      <c r="M67" s="65" t="n">
        <f aca="false">SUM('MBI10 Ratio'!M110:M119)</f>
        <v>1.36455269602386</v>
      </c>
      <c r="N67" s="65" t="n">
        <f aca="false">SUM('MBI10 Ratio'!N110:N119)</f>
        <v>1.34328319292553</v>
      </c>
      <c r="O67" s="63" t="n">
        <f aca="false">SUM('MBI10 Ratio'!O110:O119)</f>
        <v>1.24695686189216</v>
      </c>
      <c r="P67" s="68" t="n">
        <f aca="false">SUM('MBI10 Ratio'!P110:P119)</f>
        <v>1.34844059646699</v>
      </c>
      <c r="Q67" s="67" t="n">
        <f aca="false">SUM('MBI10 Ratio'!Q110:Q119)</f>
        <v>1.3157455525953</v>
      </c>
      <c r="R67" s="63" t="n">
        <f aca="false">SUM('MBI10 Ratio'!R110:R119)</f>
        <v>1.27077478832879</v>
      </c>
      <c r="S67" s="65" t="n">
        <f aca="false">SUM('MBI10 Ratio'!S110:S119)</f>
        <v>1.31616006324166</v>
      </c>
      <c r="T67" s="63" t="n">
        <f aca="false">SUM('MBI10 Ratio'!T110:T119)</f>
        <v>1.32532880178374</v>
      </c>
      <c r="U67" s="63" t="n">
        <f aca="false">SUM('MBI10 Ratio'!U110:U119)</f>
        <v>1.50693538932502</v>
      </c>
      <c r="V67" s="65" t="n">
        <f aca="false">SUM('MBI10 Ratio'!V110:V119)</f>
        <v>1.47498106628914</v>
      </c>
      <c r="W67" s="65" t="n">
        <f aca="false">SUM('MBI10 Ratio'!W110:W119)</f>
        <v>1.40962141547719</v>
      </c>
      <c r="X67" s="66" t="n">
        <f aca="false">SUM('MBI10 Ratio'!X110:X119)</f>
        <v>1.52645448930086</v>
      </c>
      <c r="Y67" s="67" t="n">
        <f aca="false">SUM('MBI10 Ratio'!Y110:Y119)</f>
        <v>1.43437329158334</v>
      </c>
      <c r="Z67" s="63" t="n">
        <f aca="false">SUM('MBI10 Ratio'!Z110:Z119)</f>
        <v>1.32078016491098</v>
      </c>
      <c r="AA67" s="65" t="n">
        <f aca="false">SUM('MBI10 Ratio'!AA110:AA119)</f>
        <v>1.39231371704355</v>
      </c>
      <c r="AB67" s="22"/>
      <c r="AE67" s="22"/>
      <c r="AF67" s="39"/>
      <c r="AG67" s="22"/>
      <c r="AH67" s="22"/>
      <c r="AK67" s="22"/>
      <c r="AL67" s="22"/>
      <c r="AM67" s="22"/>
      <c r="AP67" s="22"/>
      <c r="AQ67" s="22"/>
    </row>
    <row r="68" customFormat="false" ht="12.8" hidden="false" customHeight="false" outlineLevel="0" collapsed="false">
      <c r="A68" s="1" t="s">
        <v>88</v>
      </c>
      <c r="B68" s="64" t="n">
        <f aca="false">SUM('MBI10 Ratio'!B98:B107)</f>
        <v>2.2050665022472</v>
      </c>
      <c r="C68" s="65" t="n">
        <f aca="false">SUM('MBI10 Ratio'!C98:C107)</f>
        <v>2.17514628982963</v>
      </c>
      <c r="D68" s="63" t="n">
        <f aca="false">SUM('MBI10 Ratio'!D98:D107)</f>
        <v>2.22596988271352</v>
      </c>
      <c r="E68" s="65" t="n">
        <f aca="false">SUM('MBI10 Ratio'!E98:E107)</f>
        <v>2.173041672523</v>
      </c>
      <c r="F68" s="63" t="n">
        <f aca="false">SUM('MBI10 Ratio'!F98:F107)</f>
        <v>2.06684535342772</v>
      </c>
      <c r="G68" s="65" t="n">
        <f aca="false">SUM('MBI10 Ratio'!G98:G107)</f>
        <v>1.94775758564569</v>
      </c>
      <c r="H68" s="63" t="n">
        <f aca="false">SUM('MBI10 Ratio'!H98:H107)</f>
        <v>1.97926926588921</v>
      </c>
      <c r="I68" s="66" t="n">
        <f aca="false">SUM('MBI10 Ratio'!I98:I107)</f>
        <v>1.9449214319971</v>
      </c>
      <c r="J68" s="67" t="n">
        <f aca="false">SUM('MBI10 Ratio'!J98:J107)</f>
        <v>1.74281819161674</v>
      </c>
      <c r="K68" s="65" t="n">
        <f aca="false">SUM('MBI10 Ratio'!K98:K107)</f>
        <v>1.74846770489041</v>
      </c>
      <c r="L68" s="63" t="n">
        <f aca="false">SUM('MBI10 Ratio'!L98:L107)</f>
        <v>1.70638650396237</v>
      </c>
      <c r="M68" s="65" t="n">
        <f aca="false">SUM('MBI10 Ratio'!M98:M107)</f>
        <v>1.70415961555084</v>
      </c>
      <c r="N68" s="65" t="n">
        <f aca="false">SUM('MBI10 Ratio'!N98:N107)</f>
        <v>1.69287165609413</v>
      </c>
      <c r="O68" s="63" t="n">
        <f aca="false">SUM('MBI10 Ratio'!O98:O107)</f>
        <v>1.66741205414353</v>
      </c>
      <c r="P68" s="68" t="n">
        <f aca="false">SUM('MBI10 Ratio'!P98:P107)</f>
        <v>1.72889313550944</v>
      </c>
      <c r="Q68" s="67" t="n">
        <f aca="false">SUM('MBI10 Ratio'!Q98:Q107)</f>
        <v>1.68255568338622</v>
      </c>
      <c r="R68" s="63" t="n">
        <f aca="false">SUM('MBI10 Ratio'!R98:R107)</f>
        <v>1.60332053999662</v>
      </c>
      <c r="S68" s="65" t="n">
        <f aca="false">SUM('MBI10 Ratio'!S98:S107)</f>
        <v>1.67247564343467</v>
      </c>
      <c r="T68" s="63" t="n">
        <f aca="false">SUM('MBI10 Ratio'!T98:T107)</f>
        <v>1.7100178886323</v>
      </c>
      <c r="U68" s="63" t="n">
        <f aca="false">SUM('MBI10 Ratio'!U98:U107)</f>
        <v>1.882219794448</v>
      </c>
      <c r="V68" s="65" t="n">
        <f aca="false">SUM('MBI10 Ratio'!V98:V107)</f>
        <v>1.85623945392644</v>
      </c>
      <c r="W68" s="65" t="n">
        <f aca="false">SUM('MBI10 Ratio'!W98:W107)</f>
        <v>1.77637497189932</v>
      </c>
      <c r="X68" s="66" t="n">
        <f aca="false">SUM('MBI10 Ratio'!X98:X107)</f>
        <v>1.89901725519426</v>
      </c>
      <c r="Y68" s="67" t="n">
        <f aca="false">SUM('MBI10 Ratio'!Y98:Y107)</f>
        <v>1.79041165833398</v>
      </c>
      <c r="Z68" s="63" t="n">
        <f aca="false">SUM('MBI10 Ratio'!Z98:Z107)</f>
        <v>1.68101049022585</v>
      </c>
      <c r="AA68" s="65" t="n">
        <f aca="false">SUM('MBI10 Ratio'!AA98:AA107)</f>
        <v>1.75318763045795</v>
      </c>
      <c r="AB68" s="63" t="n">
        <f aca="false">SUM('MBI10 Ratio'!AB98:AB107)</f>
        <v>1.59511325479228</v>
      </c>
      <c r="AC68" s="68" t="n">
        <f aca="false">SUM('MBI10 Ratio'!AC98:AC107)</f>
        <v>1.58982119888481</v>
      </c>
      <c r="AD68" s="67" t="n">
        <f aca="false">SUM('MBI10 Ratio'!AD98:AD107)</f>
        <v>1.50450273840275</v>
      </c>
      <c r="AE68" s="63" t="n">
        <f aca="false">SUM('MBI10 Ratio'!AE98:AE107)</f>
        <v>1.49004695308062</v>
      </c>
      <c r="AF68" s="65" t="n">
        <f aca="false">SUM('MBI10 Ratio'!AF98:AF107)</f>
        <v>1.50878398571564</v>
      </c>
      <c r="AG68" s="63" t="n">
        <f aca="false">SUM('MBI10 Ratio'!AG98:AG107)</f>
        <v>1.45892931517721</v>
      </c>
      <c r="AH68" s="63" t="n">
        <f aca="false">SUM('MBI10 Ratio'!AH98:AH107)</f>
        <v>1.33986374461675</v>
      </c>
      <c r="AI68" s="66" t="n">
        <f aca="false">SUM('MBI10 Ratio'!AI98:AI107)</f>
        <v>1.65668319959241</v>
      </c>
      <c r="AJ68" s="67" t="n">
        <f aca="false">SUM('MBI10 Ratio'!AJ98:AJ107)</f>
        <v>1.59930886512408</v>
      </c>
      <c r="AK68" s="63" t="n">
        <f aca="false">SUM('MBI10 Ratio'!AK98:AK107)</f>
        <v>1.52440607441809</v>
      </c>
      <c r="AL68" s="63" t="n">
        <f aca="false">SUM('MBI10 Ratio'!AL98:AL107)</f>
        <v>1.48040902433249</v>
      </c>
      <c r="AM68" s="63" t="n">
        <f aca="false">SUM('MBI10 Ratio'!AM98:AM107)</f>
        <v>1.4042598869276</v>
      </c>
      <c r="AN68" s="68" t="n">
        <f aca="false">SUM('MBI10 Ratio'!AN98:AN107)</f>
        <v>1.47173184113234</v>
      </c>
      <c r="AO68" s="67" t="n">
        <f aca="false">SUM('MBI10 Ratio'!AO98:AO107)</f>
        <v>1.44515829813833</v>
      </c>
      <c r="AP68" s="63" t="n">
        <f aca="false">SUM('MBI10 Ratio'!AP98:AP107)</f>
        <v>1.45706420640516</v>
      </c>
      <c r="AQ68" s="63" t="n">
        <f aca="false">SUM('MBI10 Ratio'!AQ98:AQ107)</f>
        <v>1.43383943123083</v>
      </c>
    </row>
    <row r="69" customFormat="false" ht="12.8" hidden="false" customHeight="false" outlineLevel="0" collapsed="false">
      <c r="A69" s="86" t="s">
        <v>89</v>
      </c>
      <c r="B69" s="87" t="n">
        <f aca="false">SUM('MI wo. MBI10'!B82:B98)</f>
        <v>1.32569042060841</v>
      </c>
      <c r="C69" s="88" t="n">
        <f aca="false">SUM('MI wo. MBI10'!C82:C98)</f>
        <v>1.2883545270693</v>
      </c>
      <c r="D69" s="89" t="n">
        <f aca="false">SUM('MI wo. MBI10'!D82:D98)</f>
        <v>1.28966023295848</v>
      </c>
      <c r="E69" s="88" t="n">
        <f aca="false">SUM('MI wo. MBI10'!E82:E98)</f>
        <v>1.26037558628208</v>
      </c>
      <c r="F69" s="89" t="n">
        <f aca="false">SUM('MI wo. MBI10'!F82:F98)</f>
        <v>1.2200827696839</v>
      </c>
      <c r="G69" s="88" t="n">
        <f aca="false">SUM('MI wo. MBI10'!G82:G98)</f>
        <v>1.24418545382253</v>
      </c>
      <c r="H69" s="89" t="n">
        <f aca="false">SUM('MI wo. MBI10'!H82:H98)</f>
        <v>1.19520042920343</v>
      </c>
      <c r="I69" s="90" t="n">
        <f aca="false">SUM('MI wo. MBI10'!I82:I98)</f>
        <v>1.15463202716255</v>
      </c>
      <c r="J69" s="91" t="n">
        <f aca="false">SUM('MI wo. MBI10'!J82:J98)</f>
        <v>1.1337952113577</v>
      </c>
      <c r="K69" s="88" t="n">
        <f aca="false">SUM('MI wo. MBI10'!K82:K98)</f>
        <v>1.17263819355264</v>
      </c>
      <c r="L69" s="89" t="n">
        <f aca="false">SUM('MI wo. MBI10'!L82:L98)</f>
        <v>1.11765451133518</v>
      </c>
      <c r="M69" s="88" t="n">
        <f aca="false">SUM('MI wo. MBI10'!M82:M98)</f>
        <v>1.11744680502658</v>
      </c>
      <c r="N69" s="88" t="n">
        <f aca="false">SUM('MI wo. MBI10'!N82:N98)</f>
        <v>1.12211517612828</v>
      </c>
      <c r="O69" s="89" t="n">
        <f aca="false">SUM('MI wo. MBI10'!O82:O98)</f>
        <v>1.15963058116157</v>
      </c>
      <c r="P69" s="92" t="n">
        <f aca="false">SUM('MI wo. MBI10'!P82:P98)</f>
        <v>1.3860971022503</v>
      </c>
      <c r="Q69" s="91" t="n">
        <f aca="false">SUM('MI wo. MBI10'!Q82:Q98)</f>
        <v>1.39386333097294</v>
      </c>
      <c r="R69" s="89" t="n">
        <f aca="false">SUM('MI wo. MBI10'!R82:R98)</f>
        <v>1.38076891468177</v>
      </c>
      <c r="S69" s="88" t="n">
        <f aca="false">SUM('MI wo. MBI10'!S82:S98)</f>
        <v>1.42549480326075</v>
      </c>
      <c r="T69" s="89" t="n">
        <f aca="false">SUM('MI wo. MBI10'!T82:T98)</f>
        <v>1.52195861482559</v>
      </c>
      <c r="U69" s="89" t="n">
        <f aca="false">SUM('MI wo. MBI10'!U82:U98)</f>
        <v>1.66310560766025</v>
      </c>
      <c r="V69" s="88" t="n">
        <f aca="false">SUM('MI wo. MBI10'!V82:V98)</f>
        <v>1.56026708377527</v>
      </c>
      <c r="W69" s="88" t="n">
        <f aca="false">SUM('MI wo. MBI10'!W82:W98)</f>
        <v>1.5483298664571</v>
      </c>
      <c r="X69" s="90" t="n">
        <f aca="false">SUM('MI wo. MBI10'!X82:X98)</f>
        <v>1.69176616717206</v>
      </c>
      <c r="Y69" s="91" t="n">
        <f aca="false">SUM('MI wo. MBI10'!Y82:Y98)</f>
        <v>1.68980267412584</v>
      </c>
      <c r="Z69" s="89" t="n">
        <f aca="false">SUM('MI wo. MBI10'!Z82:Z98)</f>
        <v>1.63810171973188</v>
      </c>
      <c r="AA69" s="88" t="n">
        <f aca="false">SUM('MI wo. MBI10'!AA82:AA98)</f>
        <v>1.64716961688954</v>
      </c>
      <c r="AB69" s="89" t="n">
        <f aca="false">SUM('MI wo. MBI10'!AB82:AB98)</f>
        <v>1.57403686654442</v>
      </c>
      <c r="AC69" s="92" t="n">
        <f aca="false">SUM('MI wo. MBI10'!AC82:AC98)</f>
        <v>1.2699975703319</v>
      </c>
      <c r="AD69" s="91" t="n">
        <f aca="false">SUM('MI wo. MBI10'!AD82:AD98)</f>
        <v>1.27378435074759</v>
      </c>
      <c r="AE69" s="89" t="n">
        <f aca="false">SUM('MI wo. MBI10'!AE82:AE98)</f>
        <v>1.2071617371654</v>
      </c>
      <c r="AF69" s="88" t="n">
        <f aca="false">SUM('MI wo. MBI10'!AF82:AF98)</f>
        <v>1.18185971851547</v>
      </c>
      <c r="AG69" s="89" t="n">
        <f aca="false">SUM('MI wo. MBI10'!AG82:AG98)</f>
        <v>1.14649224963449</v>
      </c>
      <c r="AH69" s="89" t="n">
        <f aca="false">SUM('MI wo. MBI10'!AH82:AH98)</f>
        <v>1.02847714947071</v>
      </c>
      <c r="AI69" s="90" t="n">
        <f aca="false">SUM('MI wo. MBI10'!AI82:AI98)</f>
        <v>1.37368027922067</v>
      </c>
      <c r="AJ69" s="91" t="n">
        <f aca="false">SUM('MI wo. MBI10'!AJ82:AJ98)</f>
        <v>1.38938270961338</v>
      </c>
      <c r="AK69" s="89" t="n">
        <f aca="false">SUM('MI wo. MBI10'!AK82:AK98)</f>
        <v>1.3001399302167</v>
      </c>
      <c r="AL69" s="89" t="n">
        <f aca="false">SUM('MI wo. MBI10'!AL82:AL98)</f>
        <v>1.21266072486712</v>
      </c>
      <c r="AM69" s="89" t="n">
        <f aca="false">SUM('MI wo. MBI10'!AM82:AM98)</f>
        <v>1.15831538474086</v>
      </c>
      <c r="AN69" s="92" t="n">
        <f aca="false">SUM('MI wo. MBI10'!AN82:AN98)</f>
        <v>1.09605537183182</v>
      </c>
      <c r="AO69" s="91" t="n">
        <f aca="false">SUM('MI wo. MBI10'!AO82:AO98)</f>
        <v>1.04108413413616</v>
      </c>
      <c r="AP69" s="89" t="n">
        <f aca="false">SUM('MI wo. MBI10'!AP82:AP98)</f>
        <v>1.07280647016375</v>
      </c>
      <c r="AQ69" s="89" t="n">
        <f aca="false">SUM('MI wo. MBI10'!AQ82:AQ98)</f>
        <v>1.04002621762738</v>
      </c>
    </row>
    <row r="70" customFormat="false" ht="12.8" hidden="false" customHeight="false" outlineLevel="0" collapsed="false">
      <c r="A70" s="1" t="s">
        <v>100</v>
      </c>
      <c r="B70" s="64" t="n">
        <f aca="false">MEDIAN(B61:B69)</f>
        <v>2.07107269344295</v>
      </c>
      <c r="C70" s="65" t="n">
        <f aca="false">MEDIAN(C61:C69)</f>
        <v>2.03465994916789</v>
      </c>
      <c r="D70" s="63" t="n">
        <f aca="false">MEDIAN(D61:D69)</f>
        <v>2.07986907369008</v>
      </c>
      <c r="E70" s="65" t="n">
        <f aca="false">MEDIAN(E61:E69)</f>
        <v>2.0272676910063</v>
      </c>
      <c r="F70" s="63" t="n">
        <f aca="false">MEDIAN(F61:F69)</f>
        <v>1.9273676254651</v>
      </c>
      <c r="G70" s="65" t="n">
        <f aca="false">MEDIAN(G61:G69)</f>
        <v>1.8028283832532</v>
      </c>
      <c r="H70" s="63" t="n">
        <f aca="false">MEDIAN(H61:H69)</f>
        <v>1.86280492822422</v>
      </c>
      <c r="I70" s="66" t="n">
        <f aca="false">MEDIAN(I61:I69)</f>
        <v>1.78016964853914</v>
      </c>
      <c r="J70" s="67" t="n">
        <f aca="false">MEDIAN(J61:J69)</f>
        <v>1.63364314557397</v>
      </c>
      <c r="K70" s="65" t="n">
        <f aca="false">MEDIAN(K61:K69)</f>
        <v>1.6407167161258</v>
      </c>
      <c r="L70" s="63" t="n">
        <f aca="false">MEDIAN(L61:L69)</f>
        <v>1.59781457975419</v>
      </c>
      <c r="M70" s="65" t="n">
        <f aca="false">MEDIAN(M61:M69)</f>
        <v>1.59950555439961</v>
      </c>
      <c r="N70" s="65" t="n">
        <f aca="false">MEDIAN(N61:N69)</f>
        <v>1.58037647886056</v>
      </c>
      <c r="O70" s="63" t="n">
        <f aca="false">MEDIAN(O61:O69)</f>
        <v>1.52938132908267</v>
      </c>
      <c r="P70" s="68" t="n">
        <f aca="false">MEDIAN(P61:P69)</f>
        <v>1.67148364450347</v>
      </c>
      <c r="Q70" s="67" t="n">
        <f aca="false">MEDIAN(Q61:Q69)</f>
        <v>1.62721648873266</v>
      </c>
      <c r="R70" s="63" t="n">
        <f aca="false">MEDIAN(R61:R69)</f>
        <v>1.56145283153819</v>
      </c>
      <c r="S70" s="65" t="n">
        <f aca="false">MEDIAN(S61:S69)</f>
        <v>1.62705879255403</v>
      </c>
      <c r="T70" s="63" t="n">
        <f aca="false">MEDIAN(T61:T69)</f>
        <v>1.67115218562232</v>
      </c>
      <c r="U70" s="63" t="n">
        <f aca="false">MEDIAN(U61:U69)</f>
        <v>1.83482802583748</v>
      </c>
      <c r="V70" s="65" t="n">
        <f aca="false">MEDIAN(V61:V69)</f>
        <v>1.7937314037709</v>
      </c>
      <c r="W70" s="65" t="n">
        <f aca="false">MEDIAN(W61:W69)</f>
        <v>1.72667506287155</v>
      </c>
      <c r="X70" s="66" t="n">
        <f aca="false">MEDIAN(X61:X69)</f>
        <v>1.85551113695264</v>
      </c>
      <c r="Y70" s="67" t="n">
        <f aca="false">MEDIAN(Y61:Y69)</f>
        <v>1.79041165833398</v>
      </c>
      <c r="Z70" s="63" t="n">
        <f aca="false">MEDIAN(Z61:Z69)</f>
        <v>1.68101049022585</v>
      </c>
      <c r="AA70" s="65" t="n">
        <f aca="false">MEDIAN(AA61:AA69)</f>
        <v>1.75318763045795</v>
      </c>
      <c r="AB70" s="63" t="n">
        <f aca="false">MEDIAN(AB61:AB66,AB68:AB69)</f>
        <v>1.63635292488352</v>
      </c>
      <c r="AC70" s="68" t="n">
        <f aca="false">MEDIAN(AC61:AC66,AC68:AC69)</f>
        <v>1.55742888758473</v>
      </c>
      <c r="AD70" s="67" t="n">
        <f aca="false">MEDIAN(AD61:AD66,AD68:AD69)</f>
        <v>1.48254571250031</v>
      </c>
      <c r="AE70" s="63" t="n">
        <f aca="false">MEDIAN(AE61:AE66,AE68:AE69)</f>
        <v>1.46147604894913</v>
      </c>
      <c r="AF70" s="65" t="n">
        <f aca="false">MEDIAN(AF61:AF66,AF68:AF69)</f>
        <v>1.47599251680113</v>
      </c>
      <c r="AG70" s="63" t="n">
        <f aca="false">MEDIAN(AG61:AG66,AG68:AG69)</f>
        <v>1.42588676891626</v>
      </c>
      <c r="AH70" s="63" t="n">
        <f aca="false">MEDIAN(AH61:AH66,AH68:AH69)</f>
        <v>1.30298522172165</v>
      </c>
      <c r="AI70" s="66" t="n">
        <f aca="false">MEDIAN(AI61:AI66,AI68:AI69)</f>
        <v>1.62760813307325</v>
      </c>
      <c r="AJ70" s="67" t="n">
        <f aca="false">MEDIAN(AJ61:AJ66,AJ68:AJ69)</f>
        <v>1.57605274316138</v>
      </c>
      <c r="AK70" s="63" t="n">
        <f aca="false">MEDIAN(AK61:AK66,AK68:AK69)</f>
        <v>1.49970484018683</v>
      </c>
      <c r="AL70" s="63" t="n">
        <f aca="false">MEDIAN(AL61:AL66,AL68:AL69)</f>
        <v>1.48425224984199</v>
      </c>
      <c r="AM70" s="63" t="n">
        <f aca="false">MEDIAN(AM61:AM66,AM68:AM69)</f>
        <v>1.37540967793415</v>
      </c>
      <c r="AN70" s="68" t="n">
        <f aca="false">MEDIAN(AN61:AN66,AN68:AN69)</f>
        <v>1.46100263479109</v>
      </c>
      <c r="AO70" s="67" t="n">
        <f aca="false">MEDIAN(AO61:AO66,AO68:AO69)</f>
        <v>1.42691030682695</v>
      </c>
      <c r="AP70" s="63" t="n">
        <f aca="false">MEDIAN(AP61:AP66,AP68:AP69)</f>
        <v>1.44466389476566</v>
      </c>
      <c r="AQ70" s="63" t="n">
        <f aca="false">MEDIAN(AQ61:AQ66,AQ68:AQ69)</f>
        <v>1.42012429218803</v>
      </c>
    </row>
    <row r="71" s="93" customFormat="true" ht="12.8" hidden="false" customHeight="false" outlineLevel="0" collapsed="false">
      <c r="A71" s="1"/>
      <c r="B71" s="38"/>
      <c r="C71" s="39"/>
      <c r="D71" s="1"/>
      <c r="E71" s="40"/>
      <c r="F71" s="1"/>
      <c r="G71" s="40"/>
      <c r="H71" s="1"/>
      <c r="I71" s="41"/>
      <c r="J71" s="21"/>
      <c r="K71" s="40"/>
      <c r="L71" s="1"/>
      <c r="M71" s="40"/>
      <c r="N71" s="40"/>
      <c r="O71" s="1"/>
      <c r="P71" s="42"/>
      <c r="Q71" s="21"/>
      <c r="R71" s="1"/>
      <c r="S71" s="40"/>
      <c r="T71" s="1"/>
      <c r="U71" s="1"/>
      <c r="V71" s="40"/>
      <c r="W71" s="40"/>
      <c r="X71" s="41"/>
      <c r="Y71" s="21"/>
      <c r="Z71" s="1"/>
      <c r="AA71" s="40"/>
      <c r="AB71" s="1"/>
      <c r="AC71" s="42"/>
      <c r="AD71" s="21"/>
      <c r="AE71" s="1"/>
      <c r="AF71" s="40"/>
      <c r="AG71" s="1"/>
      <c r="AH71" s="1"/>
      <c r="AI71" s="41"/>
      <c r="AJ71" s="21"/>
      <c r="AK71" s="1"/>
      <c r="AL71" s="1"/>
      <c r="AM71" s="1"/>
      <c r="AN71" s="42"/>
      <c r="AO71" s="21"/>
      <c r="AP71" s="1"/>
      <c r="AQ71" s="1"/>
    </row>
    <row r="72" customFormat="false" ht="12.8" hidden="false" customHeight="false" outlineLevel="0" collapsed="false">
      <c r="A72" s="1" t="s">
        <v>103</v>
      </c>
      <c r="K72" s="40"/>
      <c r="AQ72" s="1"/>
    </row>
    <row r="73" customFormat="false" ht="12.8" hidden="false" customHeight="false" outlineLevel="0" collapsed="false">
      <c r="A73" s="1" t="s">
        <v>81</v>
      </c>
      <c r="B73" s="95" t="n">
        <f aca="false">SUM(MI!B156:B183)</f>
        <v>19.3747726611851</v>
      </c>
      <c r="C73" s="72" t="n">
        <f aca="false">SUM(MI!C156:C183)</f>
        <v>18.9833795116087</v>
      </c>
      <c r="D73" s="31" t="n">
        <f aca="false">SUM(MI!D158:D185)</f>
        <v>11.699576400191</v>
      </c>
      <c r="E73" s="96" t="n">
        <f aca="false">SUM(MI!E156:E183)</f>
        <v>18.6843059343111</v>
      </c>
      <c r="F73" s="31" t="n">
        <f aca="false">SUM(MI!F156:F183)</f>
        <v>18.0301145946814</v>
      </c>
      <c r="G73" s="96" t="n">
        <f aca="false">SUM(MI!G156:G183)</f>
        <v>20.6486735006585</v>
      </c>
      <c r="H73" s="31" t="n">
        <f aca="false">SUM(MI!H156:H183)</f>
        <v>20.796732383145</v>
      </c>
      <c r="I73" s="74" t="n">
        <f aca="false">SUM(MI!I156:I183)</f>
        <v>22.5491190029203</v>
      </c>
      <c r="J73" s="75" t="n">
        <f aca="false">SUM(MI!J156:J183)</f>
        <v>21.2572960604685</v>
      </c>
      <c r="K73" s="96" t="n">
        <f aca="false">SUM(MI!K156:K183)</f>
        <v>20.665842954664</v>
      </c>
      <c r="L73" s="31" t="n">
        <f aca="false">SUM(MI!L156:L183)</f>
        <v>20.4205816857741</v>
      </c>
      <c r="M73" s="96" t="n">
        <f aca="false">SUM(MI!M156:M183)</f>
        <v>20.3977229057142</v>
      </c>
      <c r="N73" s="96" t="n">
        <f aca="false">SUM(MI!N156:N183)</f>
        <v>20.3114942135685</v>
      </c>
      <c r="O73" s="31" t="n">
        <f aca="false">SUM(MI!O156:O183)</f>
        <v>20.0048198161827</v>
      </c>
      <c r="P73" s="76" t="n">
        <f aca="false">SUM(MI!P156:P183)</f>
        <v>20.004694194427</v>
      </c>
      <c r="Q73" s="75" t="n">
        <f aca="false">SUM(MI!Q156:Q183)</f>
        <v>19.2944718618554</v>
      </c>
      <c r="R73" s="31" t="n">
        <f aca="false">SUM(MI!R156:R183)</f>
        <v>19.0912066130448</v>
      </c>
      <c r="S73" s="96" t="n">
        <f aca="false">SUM(MI!S156:S183)</f>
        <v>19.4095107626708</v>
      </c>
      <c r="T73" s="31" t="n">
        <f aca="false">SUM(MI!T156:T183)</f>
        <v>19.4991461657472</v>
      </c>
      <c r="U73" s="31" t="n">
        <f aca="false">SUM(MI!U156:U183)</f>
        <v>22.5662666299007</v>
      </c>
      <c r="V73" s="96" t="n">
        <f aca="false">SUM(MI!V156:V183)</f>
        <v>22.5221939427142</v>
      </c>
      <c r="W73" s="96" t="n">
        <f aca="false">SUM(MI!W156:W183)</f>
        <v>21.6346206955148</v>
      </c>
      <c r="X73" s="74" t="n">
        <f aca="false">SUM(MI!X156:X183)</f>
        <v>22.2941354172969</v>
      </c>
      <c r="Y73" s="75" t="n">
        <f aca="false">SUM(MI!Y156:Y183)</f>
        <v>22.1305736989493</v>
      </c>
      <c r="Z73" s="31" t="n">
        <f aca="false">SUM(MI!Z156:Z183)</f>
        <v>21.2426221770076</v>
      </c>
      <c r="AA73" s="96" t="n">
        <f aca="false">SUM(MI!AA156:AA183)</f>
        <v>21.6806067857633</v>
      </c>
      <c r="AB73" s="31" t="n">
        <f aca="false">SUM(MI!AB156:AB183)</f>
        <v>20.4720684555643</v>
      </c>
      <c r="AC73" s="76" t="n">
        <f aca="false">SUM(MI!AC156:AC183)</f>
        <v>16.9713567560889</v>
      </c>
      <c r="AD73" s="75" t="n">
        <f aca="false">SUM(MI!AD156:AD183)</f>
        <v>17.4446123316934</v>
      </c>
      <c r="AE73" s="31" t="n">
        <f aca="false">SUM(MI!AE156:AE183)</f>
        <v>17.2919493403524</v>
      </c>
      <c r="AF73" s="96" t="n">
        <f aca="false">SUM(MI!AF156:AF183)</f>
        <v>17.1244040621579</v>
      </c>
      <c r="AG73" s="31" t="n">
        <f aca="false">SUM(MI!AG156:AG183)</f>
        <v>13.6015473504177</v>
      </c>
      <c r="AH73" s="31" t="n">
        <f aca="false">SUM(MI!AH156:AH183)</f>
        <v>14.7127820998334</v>
      </c>
      <c r="AI73" s="74" t="n">
        <f aca="false">SUM(MI!AI156:AI183)</f>
        <v>16.4481557684031</v>
      </c>
      <c r="AJ73" s="75" t="n">
        <f aca="false">SUM(MI!AJ156:AJ183)</f>
        <v>16.0818516133412</v>
      </c>
      <c r="AK73" s="31" t="n">
        <f aca="false">SUM(MI!AK156:AK183)</f>
        <v>15.9313249144336</v>
      </c>
      <c r="AL73" s="31" t="n">
        <f aca="false">SUM(MI!AL156:AL183)</f>
        <v>15.6759915378752</v>
      </c>
      <c r="AM73" s="31" t="n">
        <f aca="false">SUM(MI!AM156:AM183)</f>
        <v>15.6318389006777</v>
      </c>
      <c r="AN73" s="76" t="n">
        <f aca="false">SUM(MI!AN156:AN183)</f>
        <v>19.5377669576715</v>
      </c>
      <c r="AO73" s="75" t="n">
        <f aca="false">SUM(MI!AO156:AO183)</f>
        <v>19.3397570326753</v>
      </c>
      <c r="AP73" s="31" t="n">
        <f aca="false">SUM(MI!AP156:AP183)</f>
        <v>19.3340683051905</v>
      </c>
      <c r="AQ73" s="31" t="n">
        <f aca="false">SUM(MI!AQ156:AQ183)</f>
        <v>19.116043471114</v>
      </c>
    </row>
    <row r="74" customFormat="false" ht="12.8" hidden="false" customHeight="false" outlineLevel="0" collapsed="false">
      <c r="A74" s="1" t="s">
        <v>82</v>
      </c>
      <c r="B74" s="95" t="n">
        <f aca="false">SUM('60th PRECNETILE'!B89:B102)</f>
        <v>19.7091646963642</v>
      </c>
      <c r="C74" s="72" t="n">
        <f aca="false">SUM('60th PRECNETILE'!C89:C102)</f>
        <v>19.2993990053251</v>
      </c>
      <c r="D74" s="31" t="n">
        <f aca="false">SUM('60th PRECNETILE'!D89:D102)</f>
        <v>19.5327925164575</v>
      </c>
      <c r="E74" s="96" t="n">
        <f aca="false">SUM('60th PRECNETILE'!E89:E102)</f>
        <v>18.9980496359604</v>
      </c>
      <c r="F74" s="31" t="n">
        <f aca="false">SUM('60th PRECNETILE'!F89:F102)</f>
        <v>18.4296072253932</v>
      </c>
      <c r="G74" s="96" t="n">
        <f aca="false">SUM('60th PRECNETILE'!G89:G102)</f>
        <v>21.2589434712229</v>
      </c>
      <c r="H74" s="31" t="n">
        <f aca="false">SUM('60th PRECNETILE'!H89:H102)</f>
        <v>21.3340848660665</v>
      </c>
      <c r="I74" s="74" t="n">
        <f aca="false">SUM('60th PRECNETILE'!I89:I102)</f>
        <v>23.1987310058316</v>
      </c>
      <c r="J74" s="75" t="n">
        <f aca="false">SUM('60th PRECNETILE'!J89:J102)</f>
        <v>21.8314090535583</v>
      </c>
      <c r="K74" s="96" t="n">
        <f aca="false">SUM('60th PRECNETILE'!K89:K102)</f>
        <v>21.163708016469</v>
      </c>
      <c r="L74" s="31" t="n">
        <f aca="false">SUM('60th PRECNETILE'!L89:L102)</f>
        <v>20.9105363787295</v>
      </c>
      <c r="M74" s="96" t="n">
        <f aca="false">SUM('60th PRECNETILE'!M89:M102)</f>
        <v>20.9032933276911</v>
      </c>
      <c r="N74" s="96" t="n">
        <f aca="false">SUM('60th PRECNETILE'!N89:N102)</f>
        <v>20.8276929905441</v>
      </c>
      <c r="O74" s="31" t="n">
        <f aca="false">SUM('60th PRECNETILE'!O89:O102)</f>
        <v>20.5146507936758</v>
      </c>
      <c r="P74" s="76" t="n">
        <f aca="false">SUM('60th PRECNETILE'!P89:P102)</f>
        <v>20.5427285713568</v>
      </c>
      <c r="Q74" s="75" t="n">
        <f aca="false">SUM('60th PRECNETILE'!Q89:Q102)</f>
        <v>19.5348274258374</v>
      </c>
      <c r="R74" s="31" t="n">
        <f aca="false">SUM('60th PRECNETILE'!R89:R102)</f>
        <v>19.1982219978375</v>
      </c>
      <c r="S74" s="96" t="n">
        <f aca="false">SUM('60th PRECNETILE'!S89:S102)</f>
        <v>19.5502450699633</v>
      </c>
      <c r="T74" s="31" t="n">
        <f aca="false">SUM('60th PRECNETILE'!T89:T102)</f>
        <v>19.641289221574</v>
      </c>
      <c r="U74" s="31" t="n">
        <f aca="false">SUM('60th PRECNETILE'!U89:U102)</f>
        <v>22.8288002431292</v>
      </c>
      <c r="V74" s="96" t="n">
        <f aca="false">SUM('60th PRECNETILE'!V89:V102)</f>
        <v>22.9204863111251</v>
      </c>
      <c r="W74" s="96" t="n">
        <f aca="false">SUM('60th PRECNETILE'!W89:W102)</f>
        <v>22.0380228099037</v>
      </c>
      <c r="X74" s="74" t="n">
        <f aca="false">SUM('60th PRECNETILE'!X89:X102)</f>
        <v>22.7184628146565</v>
      </c>
      <c r="Y74" s="75" t="n">
        <f aca="false">SUM('60th PRECNETILE'!Y89:Y102)</f>
        <v>22.5397301628814</v>
      </c>
      <c r="Z74" s="31" t="n">
        <f aca="false">SUM('60th PRECNETILE'!Z89:Z102)</f>
        <v>21.6029169737424</v>
      </c>
      <c r="AA74" s="96" t="n">
        <f aca="false">SUM('60th PRECNETILE'!AA89:AA102)</f>
        <v>22.0553623605899</v>
      </c>
      <c r="AB74" s="31" t="n">
        <f aca="false">SUM('60th PRECNETILE'!AB89:AB102)</f>
        <v>20.7704982116249</v>
      </c>
      <c r="AC74" s="76" t="n">
        <f aca="false">SUM('60th PRECNETILE'!AC89:AC102)</f>
        <v>16.9041531399424</v>
      </c>
      <c r="AD74" s="75" t="n">
        <f aca="false">SUM('60th PRECNETILE'!AD89:AD102)</f>
        <v>16.1162912296494</v>
      </c>
      <c r="AE74" s="31" t="n">
        <f aca="false">SUM('60th PRECNETILE'!AE89:AE102)</f>
        <v>15.830247687912</v>
      </c>
      <c r="AF74" s="79" t="n">
        <f aca="false">SUM('60th PRECNETILE'!AF89:AF102)</f>
        <v>15.8259803835443</v>
      </c>
      <c r="AG74" s="31" t="n">
        <f aca="false">SUM('60th PRECNETILE'!AG89:AG102)</f>
        <v>12.4466011221565</v>
      </c>
      <c r="AH74" s="31" t="n">
        <f aca="false">SUM('60th PRECNETILE'!AH89:AH102)</f>
        <v>11.7295428640706</v>
      </c>
      <c r="AI74" s="74" t="n">
        <f aca="false">SUM('60th PRECNETILE'!AI89:AI102)</f>
        <v>13.5219351441443</v>
      </c>
      <c r="AJ74" s="75" t="n">
        <f aca="false">SUM('60th PRECNETILE'!AJ89:AJ102)</f>
        <v>12.8816723807021</v>
      </c>
      <c r="AK74" s="31" t="n">
        <f aca="false">SUM('60th PRECNETILE'!AK89:AK102)</f>
        <v>12.3095025748668</v>
      </c>
      <c r="AL74" s="31" t="n">
        <f aca="false">SUM('60th PRECNETILE'!AL89:AL102)</f>
        <v>12.0587452429724</v>
      </c>
      <c r="AM74" s="31" t="n">
        <f aca="false">SUM('60th PRECNETILE'!AM89:AM102)</f>
        <v>11.7370920962102</v>
      </c>
      <c r="AN74" s="76" t="n">
        <f aca="false">SUM('60th PRECNETILE'!AN89:AN102)</f>
        <v>16.8708039150198</v>
      </c>
      <c r="AO74" s="75" t="n">
        <f aca="false">SUM('60th PRECNETILE'!AO89:AO102)</f>
        <v>16.3655457849703</v>
      </c>
      <c r="AP74" s="31" t="n">
        <f aca="false">SUM('60th PRECNETILE'!AP89:AP102)</f>
        <v>16.5331193649696</v>
      </c>
      <c r="AQ74" s="31" t="n">
        <f aca="false">SUM('60th PRECNETILE'!AQ89:AQ102)</f>
        <v>16.3914335908102</v>
      </c>
    </row>
    <row r="75" customFormat="false" ht="12.8" hidden="false" customHeight="false" outlineLevel="0" collapsed="false">
      <c r="A75" s="1" t="s">
        <v>83</v>
      </c>
      <c r="B75" s="95" t="n">
        <f aca="false">SUM(Finance!B51:B57)</f>
        <v>27.6621813870035</v>
      </c>
      <c r="C75" s="72" t="n">
        <f aca="false">SUM(Finance!C51:C57)</f>
        <v>27.3287744528714</v>
      </c>
      <c r="D75" s="31" t="n">
        <f aca="false">SUM(Finance!D51:D57)</f>
        <v>27.5640466009226</v>
      </c>
      <c r="E75" s="96" t="n">
        <f aca="false">SUM(Finance!E51:E57)</f>
        <v>27.0665740998007</v>
      </c>
      <c r="F75" s="31" t="n">
        <f aca="false">SUM(Finance!F51:F57)</f>
        <v>26.5064133544917</v>
      </c>
      <c r="G75" s="96" t="n">
        <f aca="false">SUM(Finance!G51:G57)</f>
        <v>31.3905333553123</v>
      </c>
      <c r="H75" s="31" t="n">
        <f aca="false">SUM(Finance!H51:H57)</f>
        <v>31.3588286077222</v>
      </c>
      <c r="I75" s="74" t="n">
        <f aca="false">SUM(Finance!I51:I57)</f>
        <v>36.3491409796312</v>
      </c>
      <c r="J75" s="75" t="n">
        <f aca="false">SUM(Finance!J51:J57)</f>
        <v>35.0431543353826</v>
      </c>
      <c r="K75" s="96" t="n">
        <f aca="false">SUM(Finance!K51:K57)</f>
        <v>34.7699766311077</v>
      </c>
      <c r="L75" s="31" t="n">
        <f aca="false">SUM(Finance!L51:L57)</f>
        <v>34.2572959912239</v>
      </c>
      <c r="M75" s="96" t="n">
        <f aca="false">SUM(Finance!M51:M57)</f>
        <v>34.2293880305492</v>
      </c>
      <c r="N75" s="96" t="n">
        <f aca="false">SUM(Finance!N51:N57)</f>
        <v>34.1475837686333</v>
      </c>
      <c r="O75" s="31" t="n">
        <f aca="false">SUM(Finance!O51:O57)</f>
        <v>33.7752290018113</v>
      </c>
      <c r="P75" s="76" t="n">
        <f aca="false">SUM(Finance!P51:P57)</f>
        <v>33.438129577793</v>
      </c>
      <c r="Q75" s="75" t="n">
        <f aca="false">SUM(Finance!Q51:Q57)</f>
        <v>32.0530326983926</v>
      </c>
      <c r="R75" s="31" t="n">
        <f aca="false">SUM(Finance!R51:R57)</f>
        <v>31.7692169070737</v>
      </c>
      <c r="S75" s="96" t="n">
        <f aca="false">SUM(Finance!S51:S57)</f>
        <v>32.0974408273614</v>
      </c>
      <c r="T75" s="31" t="n">
        <f aca="false">SUM(Finance!T51:T57)</f>
        <v>32.1098643971272</v>
      </c>
      <c r="U75" s="31" t="n">
        <f aca="false">SUM(Finance!U51:U57)</f>
        <v>35.0667804192728</v>
      </c>
      <c r="V75" s="96" t="n">
        <f aca="false">SUM(Finance!V51:V57)</f>
        <v>35.4251313940897</v>
      </c>
      <c r="W75" s="96" t="n">
        <f aca="false">SUM(Finance!W51:W57)</f>
        <v>34.507294520339</v>
      </c>
      <c r="X75" s="74" t="n">
        <f aca="false">SUM(Finance!X51:X57)</f>
        <v>34.859383448128</v>
      </c>
      <c r="Y75" s="75" t="n">
        <f aca="false">SUM(Finance!Y51:Y57)</f>
        <v>34.3446514171441</v>
      </c>
      <c r="Z75" s="31" t="n">
        <f aca="false">SUM(Finance!Z51:Z57)</f>
        <v>33.6525509766789</v>
      </c>
      <c r="AA75" s="96" t="n">
        <f aca="false">SUM(Finance!AA51:AA57)</f>
        <v>33.8343057646749</v>
      </c>
      <c r="AB75" s="31" t="n">
        <f aca="false">SUM(Finance!AB51:AB57)</f>
        <v>32.860212913541</v>
      </c>
      <c r="AC75" s="76" t="n">
        <f aca="false">SUM(Finance!AC51:AC57)</f>
        <v>27.9237884429214</v>
      </c>
      <c r="AD75" s="75" t="n">
        <f aca="false">SUM(Finance!AD51:AD57)</f>
        <v>26.5704943825584</v>
      </c>
      <c r="AE75" s="31" t="n">
        <f aca="false">SUM(Finance!AE51:AE57)</f>
        <v>26.3946114745677</v>
      </c>
      <c r="AF75" s="96" t="n">
        <f aca="false">SUM(Finance!AF51:AF57)</f>
        <v>26.1510231702532</v>
      </c>
      <c r="AG75" s="31" t="n">
        <f aca="false">SUM(Finance!AG51:AG57)</f>
        <v>18.8574327635627</v>
      </c>
      <c r="AH75" s="31" t="n">
        <f aca="false">SUM(Finance!AH51:AH57)</f>
        <v>16.8499715541575</v>
      </c>
      <c r="AI75" s="74" t="n">
        <f aca="false">SUM(Finance!AI51:AI57)</f>
        <v>18.1535827680471</v>
      </c>
      <c r="AJ75" s="75" t="n">
        <f aca="false">SUM(Finance!AJ51:AJ57)</f>
        <v>17.2653456678229</v>
      </c>
      <c r="AK75" s="31" t="n">
        <f aca="false">SUM(Finance!AK51:AK57)</f>
        <v>16.51794881813</v>
      </c>
      <c r="AL75" s="31" t="n">
        <f aca="false">SUM(Finance!AL51:AL57)</f>
        <v>16.4614505438562</v>
      </c>
      <c r="AM75" s="31" t="n">
        <f aca="false">SUM(Finance!AM51:AM57)</f>
        <v>16.3556668099836</v>
      </c>
      <c r="AN75" s="76" t="n">
        <f aca="false">SUM(Finance!AN51:AN57)</f>
        <v>27.569843334968</v>
      </c>
      <c r="AO75" s="75" t="n">
        <f aca="false">SUM(Finance!AO51:AO57)</f>
        <v>26.9618983041858</v>
      </c>
      <c r="AP75" s="31" t="n">
        <f aca="false">SUM(Finance!AP51:AP57)</f>
        <v>27.1220510861902</v>
      </c>
      <c r="AQ75" s="31" t="n">
        <f aca="false">SUM(Finance!AQ51:AQ57)</f>
        <v>26.98849555078</v>
      </c>
    </row>
    <row r="76" customFormat="false" ht="12.8" hidden="false" customHeight="false" outlineLevel="0" collapsed="false">
      <c r="A76" s="1" t="s">
        <v>84</v>
      </c>
      <c r="B76" s="95" t="n">
        <f aca="false">SUM('Heavy Industry'!B57:B64)</f>
        <v>10.899337224526</v>
      </c>
      <c r="C76" s="72" t="n">
        <f aca="false">SUM('Heavy Industry'!C57:C64)</f>
        <v>10.9029628066336</v>
      </c>
      <c r="D76" s="31" t="n">
        <f aca="false">SUM('Heavy Industry'!D57:D64)</f>
        <v>10.9025379442735</v>
      </c>
      <c r="E76" s="96" t="n">
        <f aca="false">SUM('Heavy Industry'!E57:E64)</f>
        <v>10.7990205155286</v>
      </c>
      <c r="F76" s="31" t="n">
        <f aca="false">SUM('Heavy Industry'!F57:F64)</f>
        <v>10.637377348476</v>
      </c>
      <c r="G76" s="96" t="n">
        <f aca="false">SUM('Heavy Industry'!G57:G64)</f>
        <v>12.6812321439895</v>
      </c>
      <c r="H76" s="31" t="n">
        <f aca="false">SUM('Heavy Industry'!H57:H64)</f>
        <v>12.3927608248618</v>
      </c>
      <c r="I76" s="74" t="n">
        <f aca="false">SUM('Heavy Industry'!I57:I64)</f>
        <v>12.0850036217105</v>
      </c>
      <c r="J76" s="75" t="n">
        <f aca="false">SUM('Heavy Industry'!J57:J64)</f>
        <v>11.7477004105115</v>
      </c>
      <c r="K76" s="96" t="n">
        <f aca="false">SUM('Heavy Industry'!K57:K64)</f>
        <v>11.5068413499982</v>
      </c>
      <c r="L76" s="31" t="n">
        <f aca="false">SUM('Heavy Industry'!L57:L64)</f>
        <v>11.5180697648692</v>
      </c>
      <c r="M76" s="96" t="n">
        <f aca="false">SUM('Heavy Industry'!M57:M64)</f>
        <v>11.5093710746908</v>
      </c>
      <c r="N76" s="96" t="n">
        <f aca="false">SUM('Heavy Industry'!N57:N64)</f>
        <v>11.5249033454792</v>
      </c>
      <c r="O76" s="31" t="n">
        <f aca="false">SUM('Heavy Industry'!O57:O64)</f>
        <v>11.9466153155876</v>
      </c>
      <c r="P76" s="76" t="n">
        <f aca="false">SUM('Heavy Industry'!P57:P64)</f>
        <v>10.2789277763009</v>
      </c>
      <c r="Q76" s="75" t="n">
        <f aca="false">SUM('Heavy Industry'!Q57:Q64)</f>
        <v>10.8468288130388</v>
      </c>
      <c r="R76" s="31" t="n">
        <f aca="false">SUM('Heavy Industry'!R57:R64)</f>
        <v>10.9533985873552</v>
      </c>
      <c r="S76" s="96" t="n">
        <f aca="false">SUM('Heavy Industry'!S57:S64)</f>
        <v>10.6699560780819</v>
      </c>
      <c r="T76" s="31" t="n">
        <f aca="false">SUM('Heavy Industry'!T57:T64)</f>
        <v>12.3091889455778</v>
      </c>
      <c r="U76" s="31" t="n">
        <f aca="false">SUM('Heavy Industry'!U57:U64)</f>
        <v>12.1008446708346</v>
      </c>
      <c r="V76" s="96" t="n">
        <f aca="false">SUM('Heavy Industry'!V57:V64)</f>
        <v>11.5971424274024</v>
      </c>
      <c r="W76" s="96" t="n">
        <f aca="false">SUM('Heavy Industry'!W57:W64)</f>
        <v>10.3120432560664</v>
      </c>
      <c r="X76" s="74" t="n">
        <f aca="false">SUM('Heavy Industry'!X57:X64)</f>
        <v>10.5027402039583</v>
      </c>
      <c r="Y76" s="75" t="n">
        <f aca="false">SUM('Heavy Industry'!Y57:Y64)</f>
        <v>10.1757247401989</v>
      </c>
      <c r="Z76" s="31" t="n">
        <f aca="false">SUM('Heavy Industry'!Z57:Z64)</f>
        <v>9.75920861231516</v>
      </c>
      <c r="AA76" s="96" t="n">
        <f aca="false">SUM('Heavy Industry'!AA57:AA64)</f>
        <v>9.92767115384219</v>
      </c>
      <c r="AB76" s="31" t="n">
        <f aca="false">SUM('Heavy Industry'!AB57:AB64)</f>
        <v>9.57248137474936</v>
      </c>
      <c r="AC76" s="76" t="n">
        <f aca="false">SUM('Heavy Industry'!AC57:AC64)</f>
        <v>10.3732267473478</v>
      </c>
      <c r="AD76" s="75" t="n">
        <f aca="false">SUM('Heavy Industry'!AD57:AD64)</f>
        <v>17.7879331842778</v>
      </c>
      <c r="AE76" s="31" t="n">
        <f aca="false">SUM('Heavy Industry'!AE57:AE64)</f>
        <v>18.1347148683488</v>
      </c>
      <c r="AF76" s="96" t="n">
        <f aca="false">SUM('Heavy Industry'!AF57:AF64)</f>
        <v>17.3030029873739</v>
      </c>
      <c r="AG76" s="31" t="n">
        <f aca="false">SUM('Heavy Industry'!AG57:AG64)</f>
        <v>13.9823246149457</v>
      </c>
      <c r="AH76" s="31" t="n">
        <f aca="false">SUM('Heavy Industry'!AH57:AH64)</f>
        <v>25.6988235783435</v>
      </c>
      <c r="AI76" s="74" t="n">
        <f aca="false">SUM('Heavy Industry'!AI57:AI64)</f>
        <v>28.743552277823</v>
      </c>
      <c r="AJ76" s="75" t="n">
        <f aca="false">SUM('Heavy Industry'!AJ57:AJ64)</f>
        <v>29.2283312742219</v>
      </c>
      <c r="AK76" s="31" t="n">
        <f aca="false">SUM('Heavy Industry'!AK57:AK64)</f>
        <v>31.126711435078</v>
      </c>
      <c r="AL76" s="31" t="n">
        <f aca="false">SUM('Heavy Industry'!AL57:AL64)</f>
        <v>30.4815330400285</v>
      </c>
      <c r="AM76" s="31" t="n">
        <f aca="false">SUM('Heavy Industry'!AM57:AM64)</f>
        <v>30.8657297573753</v>
      </c>
      <c r="AN76" s="76" t="n">
        <f aca="false">SUM('Heavy Industry'!AN57:AN64)</f>
        <v>26.4287776222084</v>
      </c>
      <c r="AO76" s="75" t="n">
        <f aca="false">SUM('Heavy Industry'!AO57:AO64)</f>
        <v>27.6654304690722</v>
      </c>
      <c r="AP76" s="31" t="n">
        <f aca="false">SUM('Heavy Industry'!AP57:AP64)</f>
        <v>26.7663715431543</v>
      </c>
      <c r="AQ76" s="31" t="n">
        <f aca="false">SUM('Heavy Industry'!AQ57:AQ64)</f>
        <v>26.3867310830584</v>
      </c>
    </row>
    <row r="77" customFormat="false" ht="12.8" hidden="false" customHeight="false" outlineLevel="0" collapsed="false">
      <c r="A77" s="1" t="s">
        <v>85</v>
      </c>
      <c r="B77" s="95" t="n">
        <f aca="false">SUM('Light Industry'!B52:B58)</f>
        <v>12.6623610149314</v>
      </c>
      <c r="C77" s="72" t="n">
        <f aca="false">SUM('Light Industry'!C52:C58)</f>
        <v>12.5112696497652</v>
      </c>
      <c r="D77" s="31" t="n">
        <f aca="false">SUM('Light Industry'!D52:D58)</f>
        <v>12.6378308598203</v>
      </c>
      <c r="E77" s="96" t="n">
        <f aca="false">SUM('Light Industry'!E52:E58)</f>
        <v>12.5571681079703</v>
      </c>
      <c r="F77" s="31" t="n">
        <f aca="false">SUM('Light Industry'!F52:F58)</f>
        <v>11.6905201931089</v>
      </c>
      <c r="G77" s="96" t="n">
        <f aca="false">SUM('Light Industry'!G52:G58)</f>
        <v>12.3683406421599</v>
      </c>
      <c r="H77" s="31" t="n">
        <f aca="false">SUM('Light Industry'!H52:H58)</f>
        <v>12.9703975138935</v>
      </c>
      <c r="I77" s="74" t="n">
        <f aca="false">SUM('Light Industry'!I52:I58)</f>
        <v>12.8236729914519</v>
      </c>
      <c r="J77" s="75" t="n">
        <f aca="false">SUM('Light Industry'!J52:J58)</f>
        <v>11.7864212188395</v>
      </c>
      <c r="K77" s="96" t="n">
        <f aca="false">SUM('Light Industry'!K52:K58)</f>
        <v>11.2791407010811</v>
      </c>
      <c r="L77" s="31" t="n">
        <f aca="false">SUM('Light Industry'!L52:L58)</f>
        <v>11.4085110743726</v>
      </c>
      <c r="M77" s="96" t="n">
        <f aca="false">SUM('Light Industry'!M52:M58)</f>
        <v>11.3751269137584</v>
      </c>
      <c r="N77" s="96" t="n">
        <f aca="false">SUM('Light Industry'!N52:N58)</f>
        <v>11.3005091045666</v>
      </c>
      <c r="O77" s="31" t="n">
        <f aca="false">SUM('Light Industry'!O52:O58)</f>
        <v>11.4624565234004</v>
      </c>
      <c r="P77" s="76" t="n">
        <f aca="false">SUM('Light Industry'!P52:P58)</f>
        <v>12.2224754632163</v>
      </c>
      <c r="Q77" s="75" t="n">
        <f aca="false">SUM('Light Industry'!Q52:Q58)</f>
        <v>11.912870315045</v>
      </c>
      <c r="R77" s="31" t="n">
        <f aca="false">SUM('Light Industry'!R52:R58)</f>
        <v>11.4138031270728</v>
      </c>
      <c r="S77" s="96" t="n">
        <f aca="false">SUM('Light Industry'!S52:S58)</f>
        <v>11.8069681442099</v>
      </c>
      <c r="T77" s="31" t="n">
        <f aca="false">SUM('Light Industry'!T52:T58)</f>
        <v>11.6732604830075</v>
      </c>
      <c r="U77" s="31" t="n">
        <f aca="false">SUM('Light Industry'!U52:U58)</f>
        <v>13.1733705604126</v>
      </c>
      <c r="V77" s="96" t="n">
        <f aca="false">SUM('Light Industry'!V52:V58)</f>
        <v>12.9797014980653</v>
      </c>
      <c r="W77" s="96" t="n">
        <f aca="false">SUM('Light Industry'!W52:W58)</f>
        <v>12.4011108954055</v>
      </c>
      <c r="X77" s="74" t="n">
        <f aca="false">SUM('Light Industry'!X52:X58)</f>
        <v>13.3516113124585</v>
      </c>
      <c r="Y77" s="75" t="n">
        <f aca="false">SUM('Light Industry'!Y52:Y58)</f>
        <v>13.5825299362185</v>
      </c>
      <c r="Z77" s="31" t="n">
        <f aca="false">SUM('Light Industry'!Z52:Z58)</f>
        <v>12.9232383826254</v>
      </c>
      <c r="AA77" s="96" t="n">
        <f aca="false">SUM('Light Industry'!AA52:AA58)</f>
        <v>13.3548055747121</v>
      </c>
      <c r="AB77" s="31" t="n">
        <f aca="false">SUM('Light Industry'!AB52:AB58)</f>
        <v>12.1011318120058</v>
      </c>
      <c r="AC77" s="76" t="n">
        <f aca="false">SUM('Light Industry'!AC52:AC58)</f>
        <v>12.721021478664</v>
      </c>
      <c r="AD77" s="75" t="n">
        <f aca="false">SUM('Light Industry'!AD52:AD58)</f>
        <v>12.1864233974916</v>
      </c>
      <c r="AE77" s="31" t="n">
        <f aca="false">SUM('Light Industry'!AE52:AE58)</f>
        <v>11.495577866579</v>
      </c>
      <c r="AF77" s="96" t="n">
        <f aca="false">SUM('Light Industry'!AF52:AF58)</f>
        <v>11.5893682678019</v>
      </c>
      <c r="AG77" s="31" t="n">
        <f aca="false">SUM('Light Industry'!AG52:AG58)</f>
        <v>11.0388702697266</v>
      </c>
      <c r="AH77" s="31" t="n">
        <f aca="false">SUM('Light Industry'!AH52:AH58)</f>
        <v>10.9895597611391</v>
      </c>
      <c r="AI77" s="74" t="n">
        <f aca="false">SUM('Light Industry'!AI52:AI58)</f>
        <v>13.0205491012287</v>
      </c>
      <c r="AJ77" s="75" t="n">
        <f aca="false">SUM('Light Industry'!AJ52:AJ58)</f>
        <v>12.1405512984237</v>
      </c>
      <c r="AK77" s="31" t="n">
        <f aca="false">SUM('Light Industry'!AK52:AK58)</f>
        <v>11.6675026590083</v>
      </c>
      <c r="AL77" s="31" t="n">
        <f aca="false">SUM('Light Industry'!AL52:AL58)</f>
        <v>10.8933896428429</v>
      </c>
      <c r="AM77" s="31" t="n">
        <f aca="false">SUM('Light Industry'!AM52:AM58)</f>
        <v>10.4187981675403</v>
      </c>
      <c r="AN77" s="76" t="n">
        <f aca="false">SUM('Light Industry'!AN52:AN58)</f>
        <v>10.167312933989</v>
      </c>
      <c r="AO77" s="75" t="n">
        <f aca="false">SUM('Light Industry'!AO52:AO58)</f>
        <v>9.76301745452315</v>
      </c>
      <c r="AP77" s="31" t="n">
        <f aca="false">SUM('Light Industry'!AP52:AP58)</f>
        <v>9.75203341512125</v>
      </c>
      <c r="AQ77" s="31" t="n">
        <f aca="false">SUM('Light Industry'!AQ52:AQ58)</f>
        <v>9.51463505419593</v>
      </c>
    </row>
    <row r="78" customFormat="false" ht="12.8" hidden="false" customHeight="false" outlineLevel="0" collapsed="false">
      <c r="A78" s="1" t="s">
        <v>86</v>
      </c>
      <c r="B78" s="95" t="n">
        <f aca="false">SUM(Services!B47:B52)</f>
        <v>9.2012364214815</v>
      </c>
      <c r="C78" s="72" t="n">
        <f aca="false">SUM(Services!C47:C52)</f>
        <v>9.09475485602308</v>
      </c>
      <c r="D78" s="31" t="n">
        <f aca="false">SUM(Services!D47:D52)</f>
        <v>9.12423942431841</v>
      </c>
      <c r="E78" s="96" t="n">
        <f aca="false">SUM(Services!E47:E52)</f>
        <v>9.24192053780514</v>
      </c>
      <c r="F78" s="31" t="n">
        <f aca="false">SUM(Services!F47:F52)</f>
        <v>8.90393519281993</v>
      </c>
      <c r="G78" s="96" t="n">
        <f aca="false">SUM(Services!G47:G52)</f>
        <v>9.16674719923811</v>
      </c>
      <c r="H78" s="31" t="n">
        <f aca="false">SUM(Services!H47:H52)</f>
        <v>9.53285002905808</v>
      </c>
      <c r="I78" s="74" t="n">
        <f aca="false">SUM(Services!I47:I52)</f>
        <v>9.48809338313892</v>
      </c>
      <c r="J78" s="75" t="n">
        <f aca="false">SUM(Services!J47:J52)</f>
        <v>8.79574288975044</v>
      </c>
      <c r="K78" s="96" t="n">
        <f aca="false">SUM(Services!K47:K52)</f>
        <v>9.17272408065204</v>
      </c>
      <c r="L78" s="31" t="n">
        <f aca="false">SUM(Services!L47:L52)</f>
        <v>8.97171280764859</v>
      </c>
      <c r="M78" s="96" t="n">
        <f aca="false">SUM(Services!M47:M52)</f>
        <v>8.97174813238518</v>
      </c>
      <c r="N78" s="96" t="n">
        <f aca="false">SUM(Services!N47:N52)</f>
        <v>8.92680524539367</v>
      </c>
      <c r="O78" s="31" t="n">
        <f aca="false">SUM(Services!O47:O52)</f>
        <v>9.00208722136747</v>
      </c>
      <c r="P78" s="76" t="n">
        <f aca="false">SUM(Services!P47:P52)</f>
        <v>8.75847160565373</v>
      </c>
      <c r="Q78" s="75" t="n">
        <f aca="false">SUM(Services!Q47:Q52)</f>
        <v>8.39928849750413</v>
      </c>
      <c r="R78" s="31" t="n">
        <f aca="false">SUM(Services!R47:R52)</f>
        <v>8.18318961204114</v>
      </c>
      <c r="S78" s="96" t="n">
        <f aca="false">SUM(Services!S47:S52)</f>
        <v>8.45152985376013</v>
      </c>
      <c r="T78" s="31" t="n">
        <f aca="false">SUM(Services!T47:T52)</f>
        <v>8.57579743386041</v>
      </c>
      <c r="U78" s="31" t="n">
        <f aca="false">SUM(Services!U47:U52)</f>
        <v>14.152219114161</v>
      </c>
      <c r="V78" s="96" t="n">
        <f aca="false">SUM(Services!V47:V52)</f>
        <v>14.2238064453218</v>
      </c>
      <c r="W78" s="96" t="n">
        <f aca="false">SUM(Services!W47:W52)</f>
        <v>14.1839403148085</v>
      </c>
      <c r="X78" s="74" t="n">
        <f aca="false">SUM(Services!X47:X52)</f>
        <v>14.4650757704113</v>
      </c>
      <c r="Y78" s="75" t="n">
        <f aca="false">SUM(Services!Y47:Y52)</f>
        <v>14.8187103873607</v>
      </c>
      <c r="Z78" s="31" t="n">
        <f aca="false">SUM(Services!Z47:Z52)</f>
        <v>14.4194819613357</v>
      </c>
      <c r="AA78" s="96" t="n">
        <f aca="false">SUM(Services!AA47:AA52)</f>
        <v>15.131386479835</v>
      </c>
      <c r="AB78" s="31" t="n">
        <f aca="false">SUM(Services!AB47:AB52)</f>
        <v>14.3873924436983</v>
      </c>
      <c r="AC78" s="76" t="n">
        <f aca="false">SUM(Services!AC47:AC52)</f>
        <v>8.21686318530491</v>
      </c>
      <c r="AD78" s="75" t="n">
        <f aca="false">SUM(Services!AD47:AD52)</f>
        <v>7.9348889411692</v>
      </c>
      <c r="AE78" s="31" t="n">
        <f aca="false">SUM(Services!AE47:AE52)</f>
        <v>7.98920327048971</v>
      </c>
      <c r="AF78" s="96" t="n">
        <f aca="false">SUM(Services!AF47:AF52)</f>
        <v>7.9500803119931</v>
      </c>
      <c r="AG78" s="31" t="n">
        <f aca="false">SUM(Services!AG47:AG52)</f>
        <v>8.2807563111732</v>
      </c>
      <c r="AH78" s="31" t="n">
        <f aca="false">SUM(Services!AH47:AH52)</f>
        <v>7.57296029176983</v>
      </c>
      <c r="AI78" s="74" t="n">
        <f aca="false">SUM(Services!AI47:AI52)</f>
        <v>9.23565143206922</v>
      </c>
      <c r="AJ78" s="75" t="n">
        <f aca="false">SUM(Services!AJ47:AJ52)</f>
        <v>9.2409037194584</v>
      </c>
      <c r="AK78" s="31" t="n">
        <f aca="false">SUM(Services!AK47:AK52)</f>
        <v>8.9342482111913</v>
      </c>
      <c r="AL78" s="31" t="n">
        <f aca="false">SUM(Services!AL47:AL52)</f>
        <v>8.67933095506004</v>
      </c>
      <c r="AM78" s="31" t="n">
        <f aca="false">SUM(Services!AM47:AM52)</f>
        <v>8.55285064445795</v>
      </c>
      <c r="AN78" s="76" t="n">
        <f aca="false">SUM(Services!AN47:AN52)</f>
        <v>9.29235892891631</v>
      </c>
      <c r="AO78" s="75" t="n">
        <f aca="false">SUM(Services!AO47:AO52)</f>
        <v>9.03880658920487</v>
      </c>
      <c r="AP78" s="31" t="n">
        <f aca="false">SUM(Services!AP47:AP52)</f>
        <v>9.02980594518924</v>
      </c>
      <c r="AQ78" s="31" t="n">
        <f aca="false">SUM(Services!AQ47:AQ52)</f>
        <v>8.89004628529207</v>
      </c>
    </row>
    <row r="79" customFormat="false" ht="12.8" hidden="false" customHeight="false" outlineLevel="0" collapsed="false">
      <c r="A79" s="1" t="s">
        <v>87</v>
      </c>
      <c r="B79" s="97" t="n">
        <f aca="false">SUM('MBI10 Ratio'!B135:B144)</f>
        <v>19.3150235709097</v>
      </c>
      <c r="C79" s="72" t="n">
        <f aca="false">SUM('MBI10 Ratio'!C135:C144)</f>
        <v>18.9578810908084</v>
      </c>
      <c r="D79" s="31" t="n">
        <f aca="false">SUM('MBI10 Ratio'!D135:D144)</f>
        <v>19.085640578768</v>
      </c>
      <c r="E79" s="96" t="n">
        <f aca="false">SUM('MBI10 Ratio'!E135:E144)</f>
        <v>18.8473290589196</v>
      </c>
      <c r="F79" s="31" t="n">
        <f aca="false">SUM('MBI10 Ratio'!F135:F144)</f>
        <v>18.1613110396534</v>
      </c>
      <c r="G79" s="96" t="n">
        <f aca="false">SUM('MBI10 Ratio'!G135:G144)</f>
        <v>19.2542548690239</v>
      </c>
      <c r="H79" s="31" t="n">
        <f aca="false">SUM('MBI10 Ratio'!H135:H144)</f>
        <v>19.7047201863281</v>
      </c>
      <c r="I79" s="74" t="n">
        <f aca="false">SUM('MBI10 Ratio'!I135:I144)</f>
        <v>22.6830168375682</v>
      </c>
      <c r="J79" s="75" t="n">
        <f aca="false">SUM('MBI10 Ratio'!J135:J144)</f>
        <v>21.4359958051607</v>
      </c>
      <c r="K79" s="96" t="n">
        <f aca="false">SUM('MBI10 Ratio'!K135:K144)</f>
        <v>21.0893062626832</v>
      </c>
      <c r="L79" s="31" t="n">
        <f aca="false">SUM('MBI10 Ratio'!L135:L144)</f>
        <v>20.9017317473481</v>
      </c>
      <c r="M79" s="96" t="n">
        <f aca="false">SUM('MBI10 Ratio'!M135:M144)</f>
        <v>20.8845794566928</v>
      </c>
      <c r="N79" s="96" t="n">
        <f aca="false">SUM('MBI10 Ratio'!N135:N144)</f>
        <v>20.8379220184143</v>
      </c>
      <c r="O79" s="31" t="n">
        <f aca="false">SUM('MBI10 Ratio'!O135:O144)</f>
        <v>20.488464158509</v>
      </c>
      <c r="P79" s="76" t="n">
        <f aca="false">SUM('MBI10 Ratio'!P135:P144)</f>
        <v>20.8480120361205</v>
      </c>
      <c r="Q79" s="75" t="n">
        <f aca="false">SUM('MBI10 Ratio'!Q135:Q144)</f>
        <v>19.3350065798793</v>
      </c>
      <c r="R79" s="31" t="n">
        <f aca="false">SUM('MBI10 Ratio'!R135:R144)</f>
        <v>19.2335280926458</v>
      </c>
      <c r="S79" s="96" t="n">
        <f aca="false">SUM('MBI10 Ratio'!S135:S144)</f>
        <v>19.4326172874794</v>
      </c>
      <c r="T79" s="31" t="n">
        <f aca="false">SUM('MBI10 Ratio'!T135:T144)</f>
        <v>19.7656213707725</v>
      </c>
      <c r="U79" s="31" t="n">
        <f aca="false">SUM('MBI10 Ratio'!U135:U144)</f>
        <v>27.1591863282878</v>
      </c>
      <c r="V79" s="96" t="n">
        <f aca="false">SUM('MBI10 Ratio'!V135:V144)</f>
        <v>26.9743848793787</v>
      </c>
      <c r="W79" s="96" t="n">
        <f aca="false">SUM('MBI10 Ratio'!W135:W144)</f>
        <v>26.4300148236013</v>
      </c>
      <c r="X79" s="74" t="n">
        <f aca="false">SUM('MBI10 Ratio'!X135:X144)</f>
        <v>27.1713139649268</v>
      </c>
      <c r="Y79" s="75" t="n">
        <f aca="false">SUM('MBI10 Ratio'!Y135:Y144)</f>
        <v>27.1346963629231</v>
      </c>
      <c r="Z79" s="31" t="n">
        <f aca="false">SUM('MBI10 Ratio'!Z135:Z144)</f>
        <v>26.3147263485727</v>
      </c>
      <c r="AA79" s="96" t="n">
        <f aca="false">SUM('MBI10 Ratio'!AA135:AA144)</f>
        <v>26.8818562879226</v>
      </c>
      <c r="AC79" s="1"/>
      <c r="AD79" s="1"/>
      <c r="AF79" s="1"/>
      <c r="AI79" s="1"/>
      <c r="AJ79" s="1"/>
      <c r="AN79" s="1"/>
      <c r="AO79" s="1"/>
    </row>
    <row r="80" customFormat="false" ht="12.8" hidden="false" customHeight="false" outlineLevel="0" collapsed="false">
      <c r="A80" s="1" t="s">
        <v>88</v>
      </c>
      <c r="B80" s="97" t="n">
        <f aca="false">SUM('MBI10 Ratio'!B123:B132)</f>
        <v>21.0412354372841</v>
      </c>
      <c r="C80" s="72" t="n">
        <f aca="false">SUM('MBI10 Ratio'!C123:C132)</f>
        <v>20.6156044060361</v>
      </c>
      <c r="D80" s="31" t="n">
        <f aca="false">SUM('MBI10 Ratio'!D123:D132)</f>
        <v>20.848538484922</v>
      </c>
      <c r="E80" s="96" t="n">
        <f aca="false">SUM('MBI10 Ratio'!E123:E132)</f>
        <v>20.2957527863228</v>
      </c>
      <c r="F80" s="31" t="n">
        <f aca="false">SUM('MBI10 Ratio'!F123:F132)</f>
        <v>19.6586042918838</v>
      </c>
      <c r="G80" s="96" t="n">
        <f aca="false">SUM('MBI10 Ratio'!G123:G132)</f>
        <v>22.3692482567599</v>
      </c>
      <c r="H80" s="31" t="n">
        <f aca="false">SUM('MBI10 Ratio'!H123:H132)</f>
        <v>22.5855632524303</v>
      </c>
      <c r="I80" s="74" t="n">
        <f aca="false">SUM('MBI10 Ratio'!I123:I132)</f>
        <v>24.8540952723453</v>
      </c>
      <c r="J80" s="75" t="n">
        <f aca="false">SUM('MBI10 Ratio'!J123:J132)</f>
        <v>23.5042856380346</v>
      </c>
      <c r="K80" s="96" t="n">
        <f aca="false">SUM('MBI10 Ratio'!K123:K132)</f>
        <v>22.7996577150616</v>
      </c>
      <c r="L80" s="31" t="n">
        <f aca="false">SUM('MBI10 Ratio'!L123:L132)</f>
        <v>22.5579330113518</v>
      </c>
      <c r="M80" s="96" t="n">
        <f aca="false">SUM('MBI10 Ratio'!M123:M132)</f>
        <v>22.5524024936984</v>
      </c>
      <c r="N80" s="96" t="n">
        <f aca="false">SUM('MBI10 Ratio'!N123:N132)</f>
        <v>22.4498468084178</v>
      </c>
      <c r="O80" s="31" t="n">
        <f aca="false">SUM('MBI10 Ratio'!O123:O132)</f>
        <v>21.9609220231201</v>
      </c>
      <c r="P80" s="76" t="n">
        <f aca="false">SUM('MBI10 Ratio'!P123:P132)</f>
        <v>22.2749349466974</v>
      </c>
      <c r="Q80" s="75" t="n">
        <f aca="false">SUM('MBI10 Ratio'!Q123:Q132)</f>
        <v>21.0411345330703</v>
      </c>
      <c r="R80" s="31" t="n">
        <f aca="false">SUM('MBI10 Ratio'!R123:R132)</f>
        <v>20.8321232015939</v>
      </c>
      <c r="S80" s="96" t="n">
        <f aca="false">SUM('MBI10 Ratio'!S123:S132)</f>
        <v>21.1752698125123</v>
      </c>
      <c r="T80" s="31" t="n">
        <f aca="false">SUM('MBI10 Ratio'!T123:T132)</f>
        <v>21.1587528147669</v>
      </c>
      <c r="U80" s="31" t="n">
        <f aca="false">SUM('MBI10 Ratio'!U123:U132)</f>
        <v>25.2985613644303</v>
      </c>
      <c r="V80" s="96" t="n">
        <f aca="false">SUM('MBI10 Ratio'!V123:V132)</f>
        <v>25.3483744116367</v>
      </c>
      <c r="W80" s="96" t="n">
        <f aca="false">SUM('MBI10 Ratio'!W123:W132)</f>
        <v>24.6234018008872</v>
      </c>
      <c r="X80" s="74" t="n">
        <f aca="false">SUM('MBI10 Ratio'!X123:X132)</f>
        <v>25.2164472231458</v>
      </c>
      <c r="Y80" s="75" t="n">
        <f aca="false">SUM('MBI10 Ratio'!Y123:Y132)</f>
        <v>24.9607480916117</v>
      </c>
      <c r="Z80" s="31" t="n">
        <f aca="false">SUM('MBI10 Ratio'!Z123:Z132)</f>
        <v>24.0854411586455</v>
      </c>
      <c r="AA80" s="96" t="n">
        <f aca="false">SUM('MBI10 Ratio'!AA123:AA132)</f>
        <v>24.4305125012141</v>
      </c>
      <c r="AB80" s="31" t="n">
        <f aca="false">SUM('MBI10 Ratio'!AB123:AB132)</f>
        <v>22.9971489886493</v>
      </c>
      <c r="AC80" s="76" t="n">
        <f aca="false">SUM('MBI10 Ratio'!AC123:AC132)</f>
        <v>18.4736828786099</v>
      </c>
      <c r="AD80" s="75" t="n">
        <f aca="false">SUM('MBI10 Ratio'!AD123:AD132)</f>
        <v>17.5613186587145</v>
      </c>
      <c r="AE80" s="31" t="n">
        <f aca="false">SUM('MBI10 Ratio'!AE123:AE132)</f>
        <v>17.3420930378597</v>
      </c>
      <c r="AF80" s="96" t="n">
        <f aca="false">SUM('MBI10 Ratio'!AF123:AF132)</f>
        <v>17.3105480408184</v>
      </c>
      <c r="AG80" s="31" t="n">
        <f aca="false">SUM('MBI10 Ratio'!AG123:AG132)</f>
        <v>13.5036054044231</v>
      </c>
      <c r="AH80" s="31" t="n">
        <f aca="false">SUM('MBI10 Ratio'!AH123:AH132)</f>
        <v>12.36357557017</v>
      </c>
      <c r="AI80" s="74" t="n">
        <f aca="false">SUM('MBI10 Ratio'!AI123:AI132)</f>
        <v>14.275859197647</v>
      </c>
      <c r="AJ80" s="75" t="n">
        <f aca="false">SUM('MBI10 Ratio'!AJ123:AJ132)</f>
        <v>13.5016569125276</v>
      </c>
      <c r="AK80" s="31" t="n">
        <f aca="false">SUM('MBI10 Ratio'!AK123:AK132)</f>
        <v>12.883112648017</v>
      </c>
      <c r="AL80" s="31" t="n">
        <f aca="false">SUM('MBI10 Ratio'!AL123:AL132)</f>
        <v>12.5880699794698</v>
      </c>
      <c r="AM80" s="31" t="n">
        <f aca="false">SUM('MBI10 Ratio'!AM123:AM132)</f>
        <v>12.2962386295237</v>
      </c>
      <c r="AN80" s="76" t="n">
        <f aca="false">SUM('MBI10 Ratio'!AN123:AN132)</f>
        <v>18.5557301929645</v>
      </c>
      <c r="AO80" s="75" t="n">
        <f aca="false">SUM('MBI10 Ratio'!AO123:AO132)</f>
        <v>18.0260833544877</v>
      </c>
      <c r="AP80" s="31" t="n">
        <f aca="false">SUM('MBI10 Ratio'!AP123:AP132)</f>
        <v>18.0948918786383</v>
      </c>
      <c r="AQ80" s="31" t="n">
        <f aca="false">SUM('MBI10 Ratio'!AQ123:AQ132)</f>
        <v>17.9377311382211</v>
      </c>
    </row>
    <row r="81" customFormat="false" ht="12.8" hidden="false" customHeight="false" outlineLevel="0" collapsed="false">
      <c r="A81" s="86" t="s">
        <v>89</v>
      </c>
      <c r="B81" s="98" t="n">
        <f aca="false">SUM('MI wo. MBI10'!B101:B117)</f>
        <v>9.79266365110131</v>
      </c>
      <c r="C81" s="99" t="n">
        <f aca="false">SUM('MI wo. MBI10'!C101:C117)</f>
        <v>9.96341800102724</v>
      </c>
      <c r="D81" s="100" t="n">
        <f aca="false">SUM('MI wo. MBI10'!D101:D117)</f>
        <v>9.96341800102724</v>
      </c>
      <c r="E81" s="99" t="n">
        <f aca="false">SUM('MI wo. MBI10'!E101:E117)</f>
        <v>9.86865136600566</v>
      </c>
      <c r="F81" s="100" t="n">
        <f aca="false">SUM('MI wo. MBI10'!F101:F117)</f>
        <v>9.62190939139654</v>
      </c>
      <c r="G81" s="99" t="n">
        <f aca="false">SUM('MI wo. MBI10'!G101:G117)</f>
        <v>11.5552211357657</v>
      </c>
      <c r="H81" s="100" t="n">
        <f aca="false">SUM('MI wo. MBI10'!H101:H117)</f>
        <v>11.4359577400163</v>
      </c>
      <c r="I81" s="101" t="n">
        <f aca="false">SUM('MI wo. MBI10'!I101:I117)</f>
        <v>11.151376484818</v>
      </c>
      <c r="J81" s="102" t="n">
        <f aca="false">SUM('MI wo. MBI10'!J101:J117)</f>
        <v>10.7876132108534</v>
      </c>
      <c r="K81" s="99" t="n">
        <f aca="false">SUM('MI wo. MBI10'!K101:K117)</f>
        <v>10.557542752042</v>
      </c>
      <c r="L81" s="100" t="n">
        <f aca="false">SUM('MI wo. MBI10'!L101:L117)</f>
        <v>10.5694478022562</v>
      </c>
      <c r="M81" s="99" t="n">
        <f aca="false">SUM('MI wo. MBI10'!M101:M117)</f>
        <v>10.5697881683018</v>
      </c>
      <c r="N81" s="99" t="n">
        <f aca="false">SUM('MI wo. MBI10'!N101:N117)</f>
        <v>10.4896832644044</v>
      </c>
      <c r="O81" s="100" t="n">
        <f aca="false">SUM('MI wo. MBI10'!O101:O117)</f>
        <v>10.7354402337231</v>
      </c>
      <c r="P81" s="103" t="n">
        <f aca="false">SUM('MI wo. MBI10'!P101:P117)</f>
        <v>10.023121495694</v>
      </c>
      <c r="Q81" s="102" t="n">
        <f aca="false">SUM('MI wo. MBI10'!Q101:Q117)</f>
        <v>10.4887892413587</v>
      </c>
      <c r="R81" s="100" t="n">
        <f aca="false">SUM('MI wo. MBI10'!R101:R117)</f>
        <v>10.3242503876793</v>
      </c>
      <c r="S81" s="99" t="n">
        <f aca="false">SUM('MI wo. MBI10'!S101:S117)</f>
        <v>10.244811889354</v>
      </c>
      <c r="T81" s="100" t="n">
        <f aca="false">SUM('MI wo. MBI10'!T101:T117)</f>
        <v>11.6829382895316</v>
      </c>
      <c r="U81" s="100" t="n">
        <f aca="false">SUM('MI wo. MBI10'!U101:U117)</f>
        <v>11.5882171810088</v>
      </c>
      <c r="V81" s="99" t="n">
        <f aca="false">SUM('MI wo. MBI10'!V101:V117)</f>
        <v>11.3764988671637</v>
      </c>
      <c r="W81" s="99" t="n">
        <f aca="false">SUM('MI wo. MBI10'!W101:W117)</f>
        <v>10.3048773380342</v>
      </c>
      <c r="X81" s="101" t="n">
        <f aca="false">SUM('MI wo. MBI10'!X101:X117)</f>
        <v>10.3181834830685</v>
      </c>
      <c r="Y81" s="102" t="n">
        <f aca="false">SUM('MI wo. MBI10'!Y101:Y117)</f>
        <v>10.038051031382</v>
      </c>
      <c r="Z81" s="100" t="n">
        <f aca="false">SUM('MI wo. MBI10'!Z101:Z117)</f>
        <v>9.93714436274529</v>
      </c>
      <c r="AA81" s="99" t="n">
        <f aca="false">SUM('MI wo. MBI10'!AA101:AA117)</f>
        <v>10.0686470057108</v>
      </c>
      <c r="AB81" s="100" t="n">
        <f aca="false">SUM('MI wo. MBI10'!AB101:AB117)</f>
        <v>10.0595564864405</v>
      </c>
      <c r="AC81" s="103" t="n">
        <f aca="false">SUM('MI wo. MBI10'!AC101:AC117)</f>
        <v>10.607048149496</v>
      </c>
      <c r="AD81" s="102" t="n">
        <f aca="false">SUM('MI wo. MBI10'!AD101:AD117)</f>
        <v>16.2994838082964</v>
      </c>
      <c r="AE81" s="100" t="n">
        <f aca="false">SUM('MI wo. MBI10'!AE101:AE117)</f>
        <v>16.3967770416203</v>
      </c>
      <c r="AF81" s="99" t="n">
        <f aca="false">SUM('MI wo. MBI10'!AF101:AF117)</f>
        <v>15.6815506229451</v>
      </c>
      <c r="AG81" s="100" t="n">
        <f aca="false">SUM('MI wo. MBI10'!AG101:AG117)</f>
        <v>13.1343929735482</v>
      </c>
      <c r="AH81" s="100" t="n">
        <f aca="false">SUM('MI wo. MBI10'!AH101:AH117)</f>
        <v>21.8756415846645</v>
      </c>
      <c r="AI81" s="101" t="n">
        <f aca="false">SUM('MI wo. MBI10'!AI101:AI117)</f>
        <v>24.5567403944626</v>
      </c>
      <c r="AJ81" s="102" t="n">
        <f aca="false">SUM('MI wo. MBI10'!AJ101:AJ117)</f>
        <v>25.0832235563094</v>
      </c>
      <c r="AK81" s="100" t="n">
        <f aca="false">SUM('MI wo. MBI10'!AK101:AK117)</f>
        <v>26.4526081697854</v>
      </c>
      <c r="AL81" s="100" t="n">
        <f aca="false">SUM('MI wo. MBI10'!AL101:AL117)</f>
        <v>25.8798735076948</v>
      </c>
      <c r="AM81" s="100" t="n">
        <f aca="false">SUM('MI wo. MBI10'!AM101:AM117)</f>
        <v>26.0632745565719</v>
      </c>
      <c r="AN81" s="103" t="n">
        <f aca="false">SUM('MI wo. MBI10'!AN101:AN117)</f>
        <v>22.3724856732759</v>
      </c>
      <c r="AO81" s="102" t="n">
        <f aca="false">SUM('MI wo. MBI10'!AO101:AO117)</f>
        <v>23.2342460081196</v>
      </c>
      <c r="AP81" s="100" t="n">
        <f aca="false">SUM('MI wo. MBI10'!AP101:AP117)</f>
        <v>22.8260726210665</v>
      </c>
      <c r="AQ81" s="100" t="n">
        <f aca="false">SUM('MI wo. MBI10'!AQ101:AQ117)</f>
        <v>22.4326021203419</v>
      </c>
    </row>
    <row r="82" customFormat="false" ht="12.8" hidden="false" customHeight="false" outlineLevel="0" collapsed="false">
      <c r="A82" s="1" t="s">
        <v>100</v>
      </c>
      <c r="B82" s="64" t="n">
        <f aca="false">MEDIAN(B73:B81)</f>
        <v>19.3150235709097</v>
      </c>
      <c r="C82" s="65" t="n">
        <f aca="false">MEDIAN(C73:C81)</f>
        <v>18.9578810908084</v>
      </c>
      <c r="D82" s="63" t="n">
        <f aca="false">MEDIAN(D73:D81)</f>
        <v>12.6378308598203</v>
      </c>
      <c r="E82" s="65" t="n">
        <f aca="false">MEDIAN(E73:E81)</f>
        <v>18.6843059343111</v>
      </c>
      <c r="F82" s="63" t="n">
        <f aca="false">MEDIAN(F73:F81)</f>
        <v>18.0301145946814</v>
      </c>
      <c r="G82" s="65" t="n">
        <f aca="false">MEDIAN(G73:G81)</f>
        <v>19.2542548690239</v>
      </c>
      <c r="H82" s="63" t="n">
        <f aca="false">MEDIAN(H73:H81)</f>
        <v>19.7047201863281</v>
      </c>
      <c r="I82" s="66" t="n">
        <f aca="false">MEDIAN(I73:I81)</f>
        <v>22.5491190029203</v>
      </c>
      <c r="J82" s="67" t="n">
        <f aca="false">MEDIAN(J73:J81)</f>
        <v>21.2572960604685</v>
      </c>
      <c r="K82" s="65" t="n">
        <f aca="false">MEDIAN(K73:K81)</f>
        <v>20.665842954664</v>
      </c>
      <c r="L82" s="63" t="n">
        <f aca="false">MEDIAN(L73:L81)</f>
        <v>20.4205816857741</v>
      </c>
      <c r="M82" s="65" t="n">
        <f aca="false">MEDIAN(M73:M81)</f>
        <v>20.3977229057142</v>
      </c>
      <c r="N82" s="65" t="n">
        <f aca="false">MEDIAN(N73:N81)</f>
        <v>20.3114942135685</v>
      </c>
      <c r="O82" s="63" t="n">
        <f aca="false">MEDIAN(O73:O81)</f>
        <v>20.0048198161827</v>
      </c>
      <c r="P82" s="68" t="n">
        <f aca="false">MEDIAN(P73:P81)</f>
        <v>20.004694194427</v>
      </c>
      <c r="Q82" s="67" t="n">
        <f aca="false">MEDIAN(Q73:Q81)</f>
        <v>19.2944718618554</v>
      </c>
      <c r="R82" s="63" t="n">
        <f aca="false">MEDIAN(R73:R81)</f>
        <v>19.0912066130448</v>
      </c>
      <c r="S82" s="65" t="n">
        <f aca="false">MEDIAN(S73:S81)</f>
        <v>19.4095107626708</v>
      </c>
      <c r="T82" s="63" t="n">
        <f aca="false">MEDIAN(T73:T81)</f>
        <v>19.4991461657472</v>
      </c>
      <c r="U82" s="63" t="n">
        <f aca="false">MEDIAN(U73:U81)</f>
        <v>22.5662666299007</v>
      </c>
      <c r="V82" s="65" t="n">
        <f aca="false">MEDIAN(V73:V81)</f>
        <v>22.5221939427142</v>
      </c>
      <c r="W82" s="65" t="n">
        <f aca="false">MEDIAN(W73:W81)</f>
        <v>21.6346206955148</v>
      </c>
      <c r="X82" s="66" t="n">
        <f aca="false">MEDIAN(X73:X81)</f>
        <v>22.2941354172969</v>
      </c>
      <c r="Y82" s="67" t="n">
        <f aca="false">MEDIAN(Y73:Y81)</f>
        <v>22.1305736989493</v>
      </c>
      <c r="Z82" s="63" t="n">
        <f aca="false">MEDIAN(Z73:Z81)</f>
        <v>21.2426221770076</v>
      </c>
      <c r="AA82" s="65" t="n">
        <f aca="false">MEDIAN(AA73:AA81)</f>
        <v>21.6806067857633</v>
      </c>
      <c r="AB82" s="63" t="n">
        <f aca="false">MEDIAN(AB73:AB78,AB80:AB81)</f>
        <v>17.4297304496313</v>
      </c>
      <c r="AC82" s="68" t="n">
        <f aca="false">MEDIAN(AC73:AC78,AC80:AC81)</f>
        <v>14.8125873093032</v>
      </c>
      <c r="AD82" s="67" t="n">
        <f aca="false">MEDIAN(AD73:AD78,AD80:AD81)</f>
        <v>16.8720480699949</v>
      </c>
      <c r="AE82" s="63" t="n">
        <f aca="false">MEDIAN(AE73:AE78,AE80:AE81)</f>
        <v>16.8443631909863</v>
      </c>
      <c r="AF82" s="65" t="n">
        <f aca="false">MEDIAN(AF73:AF78,AF80:AF81)</f>
        <v>16.4751922228511</v>
      </c>
      <c r="AG82" s="63" t="n">
        <f aca="false">MEDIAN(AG73:AG78,AG80:AG81)</f>
        <v>13.3189991889856</v>
      </c>
      <c r="AH82" s="63" t="n">
        <f aca="false">MEDIAN(AH73:AH78,AH80:AH81)</f>
        <v>13.5381788350017</v>
      </c>
      <c r="AI82" s="66" t="n">
        <f aca="false">MEDIAN(AI73:AI78,AI80:AI81)</f>
        <v>15.3620074830251</v>
      </c>
      <c r="AJ82" s="67" t="n">
        <f aca="false">MEDIAN(AJ73:AJ78,AJ80:AJ81)</f>
        <v>14.7917542629344</v>
      </c>
      <c r="AK82" s="63" t="n">
        <f aca="false">MEDIAN(AK73:AK78,AK80:AK81)</f>
        <v>14.4072187812253</v>
      </c>
      <c r="AL82" s="63" t="n">
        <f aca="false">MEDIAN(AL73:AL78,AL80:AL81)</f>
        <v>14.1320307586725</v>
      </c>
      <c r="AM82" s="63" t="n">
        <f aca="false">MEDIAN(AM73:AM78,AM80:AM81)</f>
        <v>13.9640387651007</v>
      </c>
      <c r="AN82" s="68" t="n">
        <f aca="false">MEDIAN(AN73:AN78,AN80:AN81)</f>
        <v>19.046748575318</v>
      </c>
      <c r="AO82" s="67" t="n">
        <f aca="false">MEDIAN(AO73:AO78,AO80:AO81)</f>
        <v>18.6829201935815</v>
      </c>
      <c r="AP82" s="63" t="n">
        <f aca="false">MEDIAN(AP73:AP78,AP80:AP81)</f>
        <v>18.7144800919144</v>
      </c>
      <c r="AQ82" s="63" t="n">
        <f aca="false">MEDIAN(AQ73:AQ78,AQ80:AQ81)</f>
        <v>18.5268873046676</v>
      </c>
    </row>
    <row r="83" s="93" customFormat="true" ht="12.8" hidden="false" customHeight="false" outlineLevel="0" collapsed="false">
      <c r="A83" s="1"/>
      <c r="B83" s="38"/>
      <c r="C83" s="39"/>
      <c r="D83" s="1"/>
      <c r="E83" s="40"/>
      <c r="F83" s="1"/>
      <c r="G83" s="40"/>
      <c r="H83" s="1"/>
      <c r="I83" s="41"/>
      <c r="J83" s="21"/>
      <c r="K83" s="39"/>
      <c r="L83" s="1"/>
      <c r="M83" s="40"/>
      <c r="N83" s="40"/>
      <c r="O83" s="1"/>
      <c r="P83" s="42"/>
      <c r="Q83" s="21"/>
      <c r="R83" s="1"/>
      <c r="S83" s="40"/>
      <c r="T83" s="1"/>
      <c r="U83" s="1"/>
      <c r="V83" s="40"/>
      <c r="W83" s="40"/>
      <c r="X83" s="41"/>
      <c r="Y83" s="21"/>
      <c r="Z83" s="1"/>
      <c r="AA83" s="40"/>
      <c r="AB83" s="1"/>
      <c r="AC83" s="42"/>
      <c r="AD83" s="21"/>
      <c r="AE83" s="1"/>
      <c r="AF83" s="40"/>
      <c r="AG83" s="1"/>
      <c r="AH83" s="1"/>
      <c r="AI83" s="41"/>
      <c r="AJ83" s="21"/>
      <c r="AK83" s="1"/>
      <c r="AL83" s="1"/>
      <c r="AM83" s="1"/>
      <c r="AN83" s="42"/>
      <c r="AO83" s="21"/>
      <c r="AP83" s="1"/>
    </row>
    <row r="84" customFormat="false" ht="23.85" hidden="false" customHeight="false" outlineLevel="0" collapsed="false">
      <c r="A84" s="78" t="s">
        <v>104</v>
      </c>
      <c r="B84" s="104" t="s">
        <v>105</v>
      </c>
      <c r="C84" s="105" t="s">
        <v>106</v>
      </c>
      <c r="D84" s="104" t="s">
        <v>107</v>
      </c>
      <c r="E84" s="104" t="s">
        <v>108</v>
      </c>
      <c r="F84" s="104" t="s">
        <v>109</v>
      </c>
      <c r="G84" s="106" t="s">
        <v>110</v>
      </c>
      <c r="H84" s="107"/>
      <c r="I84" s="108" t="s">
        <v>111</v>
      </c>
    </row>
    <row r="85" customFormat="false" ht="12.8" hidden="false" customHeight="false" outlineLevel="0" collapsed="false">
      <c r="A85" s="1" t="str">
        <f aca="false">A3</f>
        <v>MI</v>
      </c>
      <c r="B85" s="109" t="n">
        <f aca="false">SLOPE(B$15:AQ$15,B3:AQ3)</f>
        <v>1.04436899441264</v>
      </c>
      <c r="C85" s="110" t="n">
        <f aca="false">SLOPE(B$15:AI$15,B3:AI3)</f>
        <v>0.994797932828135</v>
      </c>
      <c r="D85" s="110" t="n">
        <f aca="false">SLOPE(B$15:AC$15,B3:AC3)</f>
        <v>0.987756476444512</v>
      </c>
      <c r="E85" s="110" t="n">
        <f aca="false">SLOPE(B$15:X$15,B3:X3)</f>
        <v>1.0375928739272</v>
      </c>
      <c r="F85" s="110" t="n">
        <f aca="false">SLOPE(B$15:P$15,B3:P3)</f>
        <v>1.10624067394293</v>
      </c>
      <c r="G85" s="110" t="n">
        <f aca="false">SLOPE(B$15:K$15,B3:K3)</f>
        <v>1.11703548276391</v>
      </c>
      <c r="H85" s="107"/>
      <c r="I85" s="111" t="n">
        <f aca="false">AVERAGE(B85/2,C85:F85,G85/2)</f>
        <v>0.867848365955175</v>
      </c>
    </row>
    <row r="86" customFormat="false" ht="12.8" hidden="false" customHeight="false" outlineLevel="0" collapsed="false">
      <c r="A86" s="1" t="str">
        <f aca="false">A5</f>
        <v>60th</v>
      </c>
      <c r="B86" s="109" t="n">
        <f aca="false">SLOPE(B$15:AQ$15,B5:AQ5)</f>
        <v>1.12531034614992</v>
      </c>
      <c r="C86" s="110" t="n">
        <f aca="false">SLOPE(B$15:AI$15,B5:AI5)</f>
        <v>1.06579904612535</v>
      </c>
      <c r="D86" s="110" t="n">
        <f aca="false">SLOPE(B$15:AC$15,B5:AC5)</f>
        <v>1.05449139881036</v>
      </c>
      <c r="E86" s="110" t="n">
        <f aca="false">SLOPE(B$15:X$15,B5:X5)</f>
        <v>1.10662609909944</v>
      </c>
      <c r="F86" s="110" t="n">
        <f aca="false">SLOPE(B$15:P$15,B5:P5)</f>
        <v>1.18281387185545</v>
      </c>
      <c r="G86" s="110" t="n">
        <f aca="false">SLOPE(B$15:K$15,B5:K5)</f>
        <v>1.19260438932552</v>
      </c>
      <c r="H86" s="107"/>
      <c r="I86" s="111" t="n">
        <f aca="false">AVERAGE(B86/2,C86:F86,G86/2)</f>
        <v>0.928114630604719</v>
      </c>
    </row>
    <row r="87" customFormat="false" ht="12.8" hidden="false" customHeight="false" outlineLevel="0" collapsed="false">
      <c r="A87" s="1" t="str">
        <f aca="false">A7</f>
        <v>Finance</v>
      </c>
      <c r="B87" s="109" t="n">
        <f aca="false">SLOPE(B$15:AQ$15,B7:AQ7)</f>
        <v>0.69865062325749</v>
      </c>
      <c r="C87" s="110" t="n">
        <f aca="false">SLOPE(B$15:AI$15,B7:AI7)</f>
        <v>0.636367058454808</v>
      </c>
      <c r="D87" s="110" t="n">
        <f aca="false">SLOPE(B$15:AC$15,B7:AC7)</f>
        <v>0.597963611252623</v>
      </c>
      <c r="E87" s="110" t="n">
        <f aca="false">SLOPE(B$15:X$15,B7:X7)</f>
        <v>0.609737610064181</v>
      </c>
      <c r="F87" s="110" t="n">
        <f aca="false">SLOPE(B$15:P$15,B7:P7)</f>
        <v>0.617997263409892</v>
      </c>
      <c r="G87" s="110" t="n">
        <f aca="false">SLOPE(B$15:K$15,B7:K7)</f>
        <v>0.636343749382128</v>
      </c>
      <c r="H87" s="107"/>
      <c r="I87" s="111" t="n">
        <f aca="false">AVERAGE(B87/2,C87:F87,G87/2)</f>
        <v>0.521593788250219</v>
      </c>
    </row>
    <row r="88" customFormat="false" ht="12.8" hidden="false" customHeight="false" outlineLevel="0" collapsed="false">
      <c r="A88" s="1" t="str">
        <f aca="false">A9</f>
        <v>Heavy Ind</v>
      </c>
      <c r="B88" s="109" t="n">
        <f aca="false">SLOPE(B$15:AQ$15,B9:AQ9)</f>
        <v>1.01214399796575</v>
      </c>
      <c r="C88" s="110" t="n">
        <f aca="false">SLOPE(B$15:AI$15,B9:AI9)</f>
        <v>0.74001517004987</v>
      </c>
      <c r="D88" s="110" t="n">
        <f aca="false">SLOPE(B$15:AC$15,B9:AC9)</f>
        <v>0.36219967264334</v>
      </c>
      <c r="E88" s="110" t="n">
        <f aca="false">SLOPE(B$15:X$15,B9:X9)</f>
        <v>0.332774027236199</v>
      </c>
      <c r="F88" s="110" t="n">
        <f aca="false">SLOPE(B$15:P$15,B9:P9)</f>
        <v>1.86779223812048</v>
      </c>
      <c r="G88" s="110" t="n">
        <f aca="false">SLOPE(B$15:K$15,B9:K9)</f>
        <v>1.59825076207315</v>
      </c>
      <c r="H88" s="107"/>
      <c r="I88" s="111" t="n">
        <f aca="false">AVERAGE(B88/2,C88:F88,G88/2)</f>
        <v>0.767996414678222</v>
      </c>
    </row>
    <row r="89" customFormat="false" ht="12.8" hidden="false" customHeight="false" outlineLevel="0" collapsed="false">
      <c r="A89" s="1" t="str">
        <f aca="false">A11</f>
        <v>Light Ind</v>
      </c>
      <c r="B89" s="109" t="n">
        <f aca="false">SLOPE(B$15:AQ$15,B11:AQ11)</f>
        <v>0.565072271577514</v>
      </c>
      <c r="C89" s="110" t="n">
        <f aca="false">SLOPE(B$15:AI$15,B11:AI11)</f>
        <v>0.666235293014376</v>
      </c>
      <c r="D89" s="110" t="n">
        <f aca="false">SLOPE(B$15:AC$15,B11:AC11)</f>
        <v>0.858561288576049</v>
      </c>
      <c r="E89" s="110" t="n">
        <f aca="false">SLOPE(B$15:X$15,B11:X11)</f>
        <v>0.952621562258264</v>
      </c>
      <c r="F89" s="110" t="n">
        <f aca="false">SLOPE(B$15:P$15,B11:P11)</f>
        <v>1.13021077554908</v>
      </c>
      <c r="G89" s="110" t="n">
        <f aca="false">SLOPE(B$15:K$15,B11:K11)</f>
        <v>1.15227582570031</v>
      </c>
      <c r="H89" s="107"/>
      <c r="I89" s="111" t="n">
        <f aca="false">AVERAGE(B89/2,C89:F89,G89/2)</f>
        <v>0.744383828006113</v>
      </c>
    </row>
    <row r="90" customFormat="false" ht="12.8" hidden="false" customHeight="false" outlineLevel="0" collapsed="false">
      <c r="A90" s="1" t="str">
        <f aca="false">A13</f>
        <v>Services</v>
      </c>
      <c r="B90" s="109" t="n">
        <f aca="false">SLOPE(B$15:AQ$15,B13:AQ13)</f>
        <v>1.94372361394525</v>
      </c>
      <c r="C90" s="110" t="n">
        <f aca="false">SLOPE(B$15:AI$15,B13:AI13)</f>
        <v>1.74990880221094</v>
      </c>
      <c r="D90" s="110" t="n">
        <f aca="false">SLOPE(B$15:AC$15,B13:AC13)</f>
        <v>1.50077330388583</v>
      </c>
      <c r="E90" s="110" t="n">
        <f aca="false">SLOPE(B$15:X$15,B13:X13)</f>
        <v>1.60671653267157</v>
      </c>
      <c r="F90" s="110" t="n">
        <f aca="false">SLOPE(B$15:P$15,B13:P13)</f>
        <v>0.928024580977628</v>
      </c>
      <c r="G90" s="110" t="n">
        <f aca="false">SLOPE(B$15:K$15,B13:K13)</f>
        <v>-1.23570297722853</v>
      </c>
      <c r="H90" s="107"/>
      <c r="I90" s="111" t="n">
        <f aca="false">AVERAGE(B90/2,C90:F90,G90/2)</f>
        <v>1.02323892301739</v>
      </c>
    </row>
    <row r="91" customFormat="false" ht="12.8" hidden="false" customHeight="false" outlineLevel="0" collapsed="false">
      <c r="A91" s="59" t="str">
        <f aca="false">A17</f>
        <v>MBI10 (cap)</v>
      </c>
      <c r="B91" s="109" t="n">
        <f aca="false">SLOPE(B$15:AQ$15,B17:AQ17)</f>
        <v>1.12233545484694</v>
      </c>
      <c r="C91" s="110" t="n">
        <f aca="false">SLOPE(B$15:AI$15,B17:AI17)</f>
        <v>1.0551910985049</v>
      </c>
      <c r="D91" s="110" t="n">
        <f aca="false">SLOPE(B$15:AC$15,B17:AC17)</f>
        <v>1.03231981851531</v>
      </c>
      <c r="E91" s="110" t="n">
        <f aca="false">SLOPE(B$15:X$15,B17:X17)</f>
        <v>1.08276775044684</v>
      </c>
      <c r="F91" s="110" t="n">
        <f aca="false">SLOPE(B$15:P$15,B17:P17)</f>
        <v>1.1822493297509</v>
      </c>
      <c r="G91" s="110" t="n">
        <f aca="false">SLOPE(B$15:K$15,B17:K17)</f>
        <v>1.1984026514039</v>
      </c>
      <c r="H91" s="107"/>
      <c r="I91" s="111" t="n">
        <f aca="false">AVERAGE(B91/2,C91:F91,G91/2)</f>
        <v>0.918816175057228</v>
      </c>
    </row>
    <row r="92" customFormat="false" ht="12.8" hidden="false" customHeight="false" outlineLevel="0" collapsed="false">
      <c r="A92" s="59" t="str">
        <f aca="false">A19</f>
        <v>MI wo. MBI10</v>
      </c>
      <c r="B92" s="112" t="n">
        <f aca="false">SLOPE(B$15:AQ$15,B19:AQ19)</f>
        <v>2.77326775235191</v>
      </c>
      <c r="C92" s="111" t="n">
        <f aca="false">SLOPE(B$15:AI$15,B19:AI19)</f>
        <v>2.43554503250007</v>
      </c>
      <c r="D92" s="111" t="n">
        <f aca="false">SLOPE(B$15:AC$15,B19:AC19)</f>
        <v>2.35104149236234</v>
      </c>
      <c r="E92" s="111" t="n">
        <f aca="false">SLOPE(B$15:X$15,B19:X19)</f>
        <v>2.2426213433714</v>
      </c>
      <c r="F92" s="111" t="n">
        <f aca="false">SLOPE(B$15:P$15,B19:P19)</f>
        <v>2.848070870065</v>
      </c>
      <c r="G92" s="111" t="n">
        <f aca="false">SLOPE(B$15:K$15,B19:K19)</f>
        <v>2.73610981538195</v>
      </c>
      <c r="H92" s="107"/>
      <c r="I92" s="111" t="n">
        <f aca="false">AVERAGE(B92/2,C92:F92,G92/2)</f>
        <v>2.10532792036096</v>
      </c>
    </row>
    <row r="93" customFormat="false" ht="12.8" hidden="false" customHeight="false" outlineLevel="0" collapsed="false">
      <c r="A93" s="113"/>
      <c r="B93" s="113"/>
      <c r="C93" s="113"/>
      <c r="D93" s="113"/>
      <c r="E93" s="113"/>
      <c r="F93" s="113"/>
      <c r="G93" s="113"/>
      <c r="H93" s="113"/>
      <c r="I93" s="113"/>
    </row>
    <row r="94" customFormat="false" ht="23.85" hidden="false" customHeight="false" outlineLevel="0" collapsed="false">
      <c r="A94" s="78" t="s">
        <v>112</v>
      </c>
      <c r="B94" s="114" t="s">
        <v>105</v>
      </c>
      <c r="C94" s="115" t="s">
        <v>106</v>
      </c>
      <c r="D94" s="115" t="s">
        <v>107</v>
      </c>
      <c r="E94" s="115" t="s">
        <v>108</v>
      </c>
      <c r="F94" s="115" t="s">
        <v>109</v>
      </c>
      <c r="G94" s="116" t="s">
        <v>110</v>
      </c>
      <c r="H94" s="107"/>
      <c r="I94" s="108" t="s">
        <v>111</v>
      </c>
    </row>
    <row r="95" customFormat="false" ht="12.8" hidden="false" customHeight="false" outlineLevel="0" collapsed="false">
      <c r="A95" s="1" t="s">
        <v>81</v>
      </c>
      <c r="B95" s="109" t="n">
        <f aca="false">SLOPE(B3:AQ3,B$15:AQ$15)</f>
        <v>0.935980461226922</v>
      </c>
      <c r="C95" s="110" t="n">
        <f aca="false">SLOPE(B3:AI3,B$15:AI$15)</f>
        <v>0.985827171130233</v>
      </c>
      <c r="D95" s="110" t="n">
        <f aca="false">SLOPE(B3:AC3,B$15:AC$15)</f>
        <v>0.987782191853133</v>
      </c>
      <c r="E95" s="110" t="n">
        <f aca="false">SLOPE(B3:X3,B$15:X$15)</f>
        <v>0.950629954229172</v>
      </c>
      <c r="F95" s="110" t="n">
        <f aca="false">SLOPE(B3:P3,B$15:P$15)</f>
        <v>0.899153803756652</v>
      </c>
      <c r="G95" s="110" t="n">
        <f aca="false">SLOPE(B3:K3,B$15:K$15)</f>
        <v>0.88699855613368</v>
      </c>
      <c r="H95" s="107"/>
      <c r="I95" s="111" t="n">
        <f aca="false">AVERAGE(B95/2,C95:F95,G95/2)</f>
        <v>0.789147104941582</v>
      </c>
    </row>
    <row r="96" customFormat="false" ht="12.8" hidden="false" customHeight="false" outlineLevel="0" collapsed="false">
      <c r="A96" s="1" t="s">
        <v>113</v>
      </c>
      <c r="B96" s="109" t="n">
        <f aca="false">SLOPE(B5:AQ5,B$15:AQ$15)</f>
        <v>0.867093642852939</v>
      </c>
      <c r="C96" s="110" t="n">
        <f aca="false">SLOPE(B5:AI5,B$15:AI$15)</f>
        <v>0.919987634336699</v>
      </c>
      <c r="D96" s="110" t="n">
        <f aca="false">SLOPE(B5:AC5,B$15:AC$15)</f>
        <v>0.924813848856046</v>
      </c>
      <c r="E96" s="110" t="n">
        <f aca="false">SLOPE(B5:X5,B$15:X$15)</f>
        <v>0.891053288295868</v>
      </c>
      <c r="F96" s="110" t="n">
        <f aca="false">SLOPE(B5:P5,B$15:P$15)</f>
        <v>0.841205186966874</v>
      </c>
      <c r="G96" s="110" t="n">
        <f aca="false">SLOPE(B5:K5,B$15:K$15)</f>
        <v>0.831093559448746</v>
      </c>
      <c r="H96" s="107"/>
      <c r="I96" s="111" t="n">
        <f aca="false">AVERAGE(B96/2,C96:F96,G96/2)</f>
        <v>0.737692259934388</v>
      </c>
    </row>
    <row r="97" customFormat="false" ht="12.8" hidden="false" customHeight="false" outlineLevel="0" collapsed="false">
      <c r="A97" s="1" t="s">
        <v>83</v>
      </c>
      <c r="B97" s="109" t="n">
        <f aca="false">SLOPE(B7:AQ7,B$15:AQ$15)</f>
        <v>1.3677696362889</v>
      </c>
      <c r="C97" s="110" t="n">
        <f aca="false">SLOPE(B7:AI7,B$15:AI$15)</f>
        <v>1.54502227584477</v>
      </c>
      <c r="D97" s="110" t="n">
        <f aca="false">SLOPE(B7:AC7,B$15:AC$15)</f>
        <v>1.65698231093263</v>
      </c>
      <c r="E97" s="110" t="n">
        <f aca="false">SLOPE(B7:X7,B$15:X$15)</f>
        <v>1.63325942095407</v>
      </c>
      <c r="F97" s="110" t="n">
        <f aca="false">SLOPE(B7:P7,B$15:P$15)</f>
        <v>1.61246117776257</v>
      </c>
      <c r="G97" s="110" t="n">
        <f aca="false">SLOPE(B7:K7,B$15:K$15)</f>
        <v>1.56591783666942</v>
      </c>
      <c r="H97" s="107"/>
      <c r="I97" s="111" t="n">
        <f aca="false">AVERAGE(B97/2,C97:F97,G97/2)</f>
        <v>1.31909482032887</v>
      </c>
    </row>
    <row r="98" customFormat="false" ht="12.8" hidden="false" customHeight="false" outlineLevel="0" collapsed="false">
      <c r="A98" s="1" t="s">
        <v>84</v>
      </c>
      <c r="B98" s="109" t="n">
        <f aca="false">SLOPE(B9:AQ9,B$15:AQ$15)</f>
        <v>0.465368201162952</v>
      </c>
      <c r="C98" s="110" t="n">
        <f aca="false">SLOPE(B9:AI9,B$15:AI$15)</f>
        <v>0.37762452906245</v>
      </c>
      <c r="D98" s="110" t="n">
        <f aca="false">SLOPE(B9:AC9,B$15:AC$15)</f>
        <v>0.208728671230404</v>
      </c>
      <c r="E98" s="110" t="n">
        <f aca="false">SLOPE(B9:X9,B$15:X$15)</f>
        <v>0.2147703474583</v>
      </c>
      <c r="F98" s="110" t="n">
        <f aca="false">SLOPE(B9:P9,B$15:P$15)</f>
        <v>0.463634936748906</v>
      </c>
      <c r="G98" s="110" t="n">
        <f aca="false">SLOPE(B9:K9,B$15:K$15)</f>
        <v>0.515514933441049</v>
      </c>
      <c r="H98" s="107"/>
      <c r="I98" s="111" t="n">
        <f aca="false">AVERAGE(B98/2,C98:F98,G98/2)</f>
        <v>0.29253334196701</v>
      </c>
    </row>
    <row r="99" customFormat="false" ht="12.8" hidden="false" customHeight="false" outlineLevel="0" collapsed="false">
      <c r="A99" s="1" t="s">
        <v>85</v>
      </c>
      <c r="B99" s="109" t="n">
        <f aca="false">SLOPE(B11:AQ11,B$15:AQ$15)</f>
        <v>1.61658707608842</v>
      </c>
      <c r="C99" s="110" t="n">
        <f aca="false">SLOPE(B11:AI11,B$15:AI$15)</f>
        <v>1.3451436883663</v>
      </c>
      <c r="D99" s="110" t="n">
        <f aca="false">SLOPE(B11:AC11,B$15:AC$15)</f>
        <v>1.05174946575752</v>
      </c>
      <c r="E99" s="110" t="n">
        <f aca="false">SLOPE(B11:X11,B$15:X$15)</f>
        <v>0.964963864794669</v>
      </c>
      <c r="F99" s="110" t="n">
        <f aca="false">SLOPE(B11:P11,B$15:P$15)</f>
        <v>0.841860563302297</v>
      </c>
      <c r="G99" s="110" t="n">
        <f aca="false">SLOPE(B11:K11,B$15:K$15)</f>
        <v>0.790200126791945</v>
      </c>
      <c r="H99" s="107"/>
      <c r="I99" s="111" t="n">
        <f aca="false">AVERAGE(B99/2,C99:F99,G99/2)</f>
        <v>0.901185197276828</v>
      </c>
    </row>
    <row r="100" customFormat="false" ht="12.8" hidden="false" customHeight="false" outlineLevel="0" collapsed="false">
      <c r="A100" s="1" t="s">
        <v>86</v>
      </c>
      <c r="B100" s="109" t="n">
        <f aca="false">SLOPE(B13:AQ13,B$15:AQ$15)</f>
        <v>0.375838242178498</v>
      </c>
      <c r="C100" s="110" t="n">
        <f aca="false">SLOPE(B13:AI13,B$15:AI$15)</f>
        <v>0.336173344572767</v>
      </c>
      <c r="D100" s="110" t="n">
        <f aca="false">SLOPE(B13:AC13,B$15:AC$15)</f>
        <v>0.228697250376317</v>
      </c>
      <c r="E100" s="110" t="n">
        <f aca="false">SLOPE(B13:X13,B$15:X$15)</f>
        <v>0.152961930129998</v>
      </c>
      <c r="F100" s="110" t="n">
        <f aca="false">SLOPE(B13:P13,B$15:P$15)</f>
        <v>0.0154456893685249</v>
      </c>
      <c r="G100" s="110" t="n">
        <f aca="false">SLOPE(B13:K13,B$15:K$15)</f>
        <v>-0.0309135579311136</v>
      </c>
      <c r="H100" s="107"/>
      <c r="I100" s="111" t="n">
        <f aca="false">AVERAGE(B100/2,C100:F100,G100/2)</f>
        <v>0.15095675942855</v>
      </c>
    </row>
    <row r="101" customFormat="false" ht="12.8" hidden="false" customHeight="false" outlineLevel="0" collapsed="false">
      <c r="A101" s="59" t="s">
        <v>88</v>
      </c>
      <c r="B101" s="109" t="n">
        <f aca="false">SLOPE(B17:AQ17,B$15:AQ$15)</f>
        <v>0.865245433243167</v>
      </c>
      <c r="C101" s="110" t="n">
        <f aca="false">SLOPE(B17:AI17,B$15:AI$15)</f>
        <v>0.925482208053422</v>
      </c>
      <c r="D101" s="110" t="n">
        <f aca="false">SLOPE(B17:AC17,B$15:AC$15)</f>
        <v>0.938742875328045</v>
      </c>
      <c r="E101" s="110" t="n">
        <f aca="false">SLOPE(B17:X17,B$15:X$15)</f>
        <v>0.904676294129592</v>
      </c>
      <c r="F101" s="110" t="n">
        <f aca="false">SLOPE(B17:P17,B$15:P$15)</f>
        <v>0.840600348560292</v>
      </c>
      <c r="G101" s="110" t="n">
        <f aca="false">SLOPE(B17:K17,B$15:K$15)</f>
        <v>0.826671383613794</v>
      </c>
      <c r="H101" s="107"/>
      <c r="I101" s="111" t="n">
        <f aca="false">AVERAGE(B101/2,C101:F101,G101/2)</f>
        <v>0.742576689083305</v>
      </c>
    </row>
    <row r="102" customFormat="false" ht="12.8" hidden="false" customHeight="false" outlineLevel="0" collapsed="false">
      <c r="A102" s="59" t="s">
        <v>89</v>
      </c>
      <c r="B102" s="112" t="n">
        <f aca="false">SLOPE(B19:AQ19,B$15:AQ$15)</f>
        <v>0.294455305917931</v>
      </c>
      <c r="C102" s="111" t="n">
        <f aca="false">SLOPE(B19:AI19,B$15:AI$15)</f>
        <v>0.324883844938035</v>
      </c>
      <c r="D102" s="111" t="n">
        <f aca="false">SLOPE(B19:AC19,B$15:AC$15)</f>
        <v>0.280738929385447</v>
      </c>
      <c r="E102" s="111" t="n">
        <f aca="false">SLOPE(B19:X19,B$15:X$15)</f>
        <v>0.282255889998811</v>
      </c>
      <c r="F102" s="111" t="n">
        <f aca="false">SLOPE(B19:P19,B$15:P$15)</f>
        <v>0.327984893706855</v>
      </c>
      <c r="G102" s="111" t="n">
        <f aca="false">SLOPE(B19:K19,B$15:K$15)</f>
        <v>0.340236636498979</v>
      </c>
      <c r="H102" s="107"/>
      <c r="I102" s="111" t="n">
        <f aca="false">AVERAGE(B102/2,C102:F102,G102/2)</f>
        <v>0.2555349215396</v>
      </c>
    </row>
    <row r="104" customFormat="false" ht="12.8" hidden="false" customHeight="false" outlineLevel="0" collapsed="false">
      <c r="C104" s="1"/>
      <c r="E104" s="1"/>
      <c r="G104" s="1"/>
    </row>
    <row r="105" customFormat="false" ht="12.8" hidden="false" customHeight="false" outlineLevel="0" collapsed="false">
      <c r="B105" s="39"/>
      <c r="C105" s="117"/>
      <c r="D105" s="118"/>
      <c r="E105" s="117"/>
      <c r="F105" s="79"/>
      <c r="G105" s="117"/>
      <c r="H105" s="79"/>
      <c r="I105" s="119" t="s">
        <v>114</v>
      </c>
    </row>
    <row r="106" customFormat="false" ht="15" hidden="false" customHeight="false" outlineLevel="0" collapsed="false">
      <c r="B106" s="39"/>
      <c r="C106" s="120"/>
      <c r="D106" s="120"/>
      <c r="E106" s="120"/>
      <c r="F106" s="120"/>
      <c r="G106" s="120"/>
      <c r="H106" s="117"/>
    </row>
    <row r="107" customFormat="false" ht="12.8" hidden="false" customHeight="false" outlineLevel="0" collapsed="false">
      <c r="B107" s="39"/>
    </row>
    <row r="108" customFormat="false" ht="12.8" hidden="false" customHeight="false" outlineLevel="0" collapsed="false">
      <c r="B108" s="39"/>
    </row>
    <row r="109" customFormat="false" ht="12.8" hidden="false" customHeight="false" outlineLevel="0" collapsed="false">
      <c r="B109" s="39"/>
    </row>
  </sheetData>
  <mergeCells count="3">
    <mergeCell ref="H84:H92"/>
    <mergeCell ref="A93:I93"/>
    <mergeCell ref="H94:H102"/>
  </mergeCells>
  <conditionalFormatting sqref="E24:E32">
    <cfRule type="iconSet" priority="2">
      <iconSet iconSet="3TrafficLights2">
        <cfvo type="percent" val="0"/>
        <cfvo type="percent" val="0"/>
        <cfvo type="percent" val="1"/>
      </iconSet>
    </cfRule>
  </conditionalFormatting>
  <conditionalFormatting sqref="B37:AA46 AB37:AQ42 AB44:AQ46">
    <cfRule type="duplicateValues" priority="3" aboveAverage="0" equalAverage="0" bottom="0" percent="0" rank="0" text="" dxfId="0"/>
  </conditionalFormatting>
  <conditionalFormatting sqref="B49:AQ58">
    <cfRule type="duplicateValues" priority="4" aboveAverage="0" equalAverage="0" bottom="0" percent="0" rank="0" text="" dxfId="0"/>
  </conditionalFormatting>
  <conditionalFormatting sqref="B73:AA82 AB73:AQ78 AB80:AQ82">
    <cfRule type="duplicateValues" priority="5" aboveAverage="0" equalAverage="0" bottom="0" percent="0" rank="0" text="" dxfId="0"/>
  </conditionalFormatting>
  <conditionalFormatting sqref="B61:AQ70">
    <cfRule type="duplicateValues" priority="6" aboveAverage="0" equalAverage="0" bottom="0" percent="0" rank="0" text="" dxfId="0"/>
  </conditionalFormatting>
  <conditionalFormatting sqref="I85:I92">
    <cfRule type="colorScale" priority="7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H85:H92">
    <cfRule type="colorScale" priority="8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85:B92">
    <cfRule type="colorScale" priority="9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C85:C92">
    <cfRule type="colorScale" priority="10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D85:D92">
    <cfRule type="colorScale" priority="11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E85:E92">
    <cfRule type="colorScale" priority="12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F85:F92">
    <cfRule type="colorScale" priority="13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85:G92">
    <cfRule type="colorScale" priority="14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95:B102">
    <cfRule type="colorScale" priority="15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I95:I102">
    <cfRule type="colorScale" priority="16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C95:C102">
    <cfRule type="colorScale" priority="17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D95:D102">
    <cfRule type="colorScale" priority="18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E95:E102">
    <cfRule type="colorScale" priority="19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F95:F102">
    <cfRule type="colorScale" priority="20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95:G102">
    <cfRule type="colorScale" priority="21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A933"/>
    <pageSetUpPr fitToPage="false"/>
  </sheetPr>
  <dimension ref="A1:AQ159"/>
  <sheetViews>
    <sheetView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pane xSplit="1" ySplit="1" topLeftCell="B26" activePane="bottomRight" state="frozen"/>
      <selection pane="topLeft" activeCell="A1" activeCellId="0" sqref="A1"/>
      <selection pane="topRight" activeCell="B1" activeCellId="0" sqref="B1"/>
      <selection pane="bottomLeft" activeCell="A26" activeCellId="0" sqref="A26"/>
      <selection pane="bottomRight" activeCell="A134" activeCellId="0" sqref="A13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44"/>
    <col collapsed="false" customWidth="false" hidden="false" outlineLevel="0" max="2" min="2" style="21" width="11.53"/>
    <col collapsed="false" customWidth="true" hidden="false" outlineLevel="0" max="3" min="3" style="40" width="13.69"/>
    <col collapsed="false" customWidth="false" hidden="false" outlineLevel="0" max="9" min="9" style="42" width="11.53"/>
    <col collapsed="false" customWidth="false" hidden="false" outlineLevel="0" max="10" min="10" style="21" width="11.53"/>
    <col collapsed="false" customWidth="false" hidden="false" outlineLevel="0" max="11" min="11" style="40" width="11.53"/>
    <col collapsed="false" customWidth="false" hidden="false" outlineLevel="0" max="14" min="14" style="40" width="11.53"/>
    <col collapsed="false" customWidth="false" hidden="false" outlineLevel="0" max="16" min="16" style="42" width="11.53"/>
    <col collapsed="false" customWidth="false" hidden="false" outlineLevel="0" max="17" min="17" style="21" width="11.53"/>
    <col collapsed="false" customWidth="false" hidden="false" outlineLevel="0" max="19" min="19" style="40" width="11.53"/>
    <col collapsed="false" customWidth="false" hidden="false" outlineLevel="0" max="23" min="22" style="40" width="11.53"/>
    <col collapsed="false" customWidth="false" hidden="false" outlineLevel="0" max="24" min="24" style="41" width="11.53"/>
    <col collapsed="false" customWidth="false" hidden="false" outlineLevel="0" max="25" min="25" style="21" width="11.53"/>
    <col collapsed="false" customWidth="false" hidden="false" outlineLevel="0" max="27" min="27" style="40" width="11.53"/>
    <col collapsed="false" customWidth="false" hidden="false" outlineLevel="0" max="29" min="29" style="42" width="11.53"/>
    <col collapsed="false" customWidth="false" hidden="false" outlineLevel="0" max="30" min="30" style="21" width="11.53"/>
    <col collapsed="false" customWidth="false" hidden="false" outlineLevel="0" max="32" min="32" style="40" width="11.53"/>
    <col collapsed="false" customWidth="false" hidden="false" outlineLevel="0" max="35" min="35" style="121" width="11.53"/>
    <col collapsed="false" customWidth="false" hidden="false" outlineLevel="0" max="36" min="36" style="21" width="11.53"/>
    <col collapsed="false" customWidth="false" hidden="false" outlineLevel="0" max="38" min="38" style="40" width="11.53"/>
    <col collapsed="false" customWidth="false" hidden="false" outlineLevel="0" max="40" min="40" style="42" width="11.53"/>
    <col collapsed="false" customWidth="false" hidden="false" outlineLevel="0" max="41" min="41" style="21" width="11.53"/>
    <col collapsed="false" customWidth="false" hidden="false" outlineLevel="0" max="43" min="43" style="40" width="11.53"/>
  </cols>
  <sheetData>
    <row r="1" customFormat="false" ht="12.8" hidden="false" customHeight="false" outlineLevel="0" collapsed="false">
      <c r="A1" s="1" t="s">
        <v>115</v>
      </c>
      <c r="B1" s="43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19" t="s">
        <v>79</v>
      </c>
    </row>
    <row r="2" customFormat="false" ht="12.8" hidden="false" customHeight="false" outlineLevel="0" collapsed="false">
      <c r="A2" s="53" t="s">
        <v>87</v>
      </c>
      <c r="B2" s="54" t="n">
        <v>2529.4925034898</v>
      </c>
      <c r="C2" s="48" t="n">
        <v>2442.93365573876</v>
      </c>
      <c r="D2" s="55" t="n">
        <v>2476.62560670043</v>
      </c>
      <c r="E2" s="56" t="n">
        <v>2398.72556406348</v>
      </c>
      <c r="F2" s="55" t="n">
        <v>2249.99269915252</v>
      </c>
      <c r="G2" s="56" t="n">
        <v>2098.88851897928</v>
      </c>
      <c r="H2" s="55" t="n">
        <v>2063.84153072489</v>
      </c>
      <c r="I2" s="50" t="n">
        <v>1955.97004900329</v>
      </c>
      <c r="J2" s="51" t="n">
        <v>1786.14649588524</v>
      </c>
      <c r="K2" s="48" t="n">
        <v>1740.93088725739</v>
      </c>
      <c r="L2" s="55" t="n">
        <v>1694.69023964302</v>
      </c>
      <c r="M2" s="56" t="n">
        <v>1692.09113793929</v>
      </c>
      <c r="N2" s="56" t="n">
        <v>1683.80905655528</v>
      </c>
      <c r="O2" s="55" t="n">
        <v>1668.48895819827</v>
      </c>
      <c r="P2" s="52" t="n">
        <v>1706.45628544561</v>
      </c>
      <c r="Q2" s="51" t="n">
        <v>1650.67197000228</v>
      </c>
      <c r="R2" s="55" t="n">
        <v>1631.4006529878</v>
      </c>
      <c r="S2" s="56" t="n">
        <v>1681.26252095343</v>
      </c>
      <c r="T2" s="55" t="n">
        <v>1690.06734301718</v>
      </c>
      <c r="U2" s="55" t="n">
        <v>1780.62997552756</v>
      </c>
      <c r="V2" s="56" t="n">
        <v>1713.98199903045</v>
      </c>
      <c r="W2" s="56" t="n">
        <v>1643.32147675702</v>
      </c>
      <c r="X2" s="50" t="n">
        <v>1798.98138575926</v>
      </c>
      <c r="Y2" s="51" t="n">
        <v>1797.02475863398</v>
      </c>
      <c r="Z2" s="55" t="n">
        <v>1663.79013275861</v>
      </c>
      <c r="AA2" s="56" t="n">
        <v>1718.73339057198</v>
      </c>
      <c r="AB2" s="55" t="n">
        <v>1542.27190692296</v>
      </c>
      <c r="AC2" s="52" t="n">
        <v>1414.91884377939</v>
      </c>
      <c r="AD2" s="51" t="n">
        <v>1373.97569109822</v>
      </c>
      <c r="AE2" s="55" t="n">
        <v>1309.82460444008</v>
      </c>
      <c r="AF2" s="56" t="n">
        <v>1312.76830614498</v>
      </c>
      <c r="AG2" s="55" t="n">
        <v>1202.20427187188</v>
      </c>
      <c r="AH2" s="55" t="n">
        <v>1058.10598494273</v>
      </c>
      <c r="AI2" s="122" t="n">
        <v>1459.53286257469</v>
      </c>
      <c r="AJ2" s="51" t="n">
        <v>1357.63347409367</v>
      </c>
      <c r="AK2" s="55" t="n">
        <v>1263.94899919983</v>
      </c>
      <c r="AL2" s="56" t="n">
        <v>1192.85626675545</v>
      </c>
      <c r="AM2" s="55" t="n">
        <v>1116.03966988488</v>
      </c>
      <c r="AN2" s="52" t="n">
        <v>1070.20494939053</v>
      </c>
      <c r="AO2" s="51" t="n">
        <v>1013.07435767144</v>
      </c>
      <c r="AP2" s="61" t="n">
        <v>1030.9030272234</v>
      </c>
      <c r="AQ2" s="123" t="n">
        <v>1000</v>
      </c>
    </row>
    <row r="3" customFormat="false" ht="12.8" hidden="false" customHeight="false" outlineLevel="0" collapsed="false">
      <c r="A3" s="53" t="s">
        <v>88</v>
      </c>
      <c r="B3" s="54" t="n">
        <v>2214.42983885283</v>
      </c>
      <c r="C3" s="48" t="n">
        <v>2156.37161809879</v>
      </c>
      <c r="D3" s="55" t="n">
        <v>2210.97030487505</v>
      </c>
      <c r="E3" s="56" t="n">
        <v>2128.96623925787</v>
      </c>
      <c r="F3" s="55" t="n">
        <v>2026.11739337336</v>
      </c>
      <c r="G3" s="56" t="n">
        <v>1876.60777095871</v>
      </c>
      <c r="H3" s="55" t="n">
        <v>1891.95422409844</v>
      </c>
      <c r="I3" s="50" t="n">
        <v>1785.10839455523</v>
      </c>
      <c r="J3" s="51" t="n">
        <v>1584.1713452613</v>
      </c>
      <c r="K3" s="48" t="n">
        <v>1590.61257940341</v>
      </c>
      <c r="L3" s="55" t="n">
        <v>1548.88334963042</v>
      </c>
      <c r="M3" s="56" t="n">
        <v>1547.62460160966</v>
      </c>
      <c r="N3" s="56" t="n">
        <v>1538.34889527357</v>
      </c>
      <c r="O3" s="55" t="n">
        <v>1512.66186009343</v>
      </c>
      <c r="P3" s="52" t="n">
        <v>1511.7682319447</v>
      </c>
      <c r="Q3" s="51" t="n">
        <v>1446.98670559127</v>
      </c>
      <c r="R3" s="55" t="n">
        <v>1380.45750697927</v>
      </c>
      <c r="S3" s="56" t="n">
        <v>1454.99671254743</v>
      </c>
      <c r="T3" s="55" t="n">
        <v>1457.22441107701</v>
      </c>
      <c r="U3" s="55" t="n">
        <v>1523.59519925498</v>
      </c>
      <c r="V3" s="56" t="n">
        <v>1487.84295257145</v>
      </c>
      <c r="W3" s="56" t="n">
        <v>1416.3439540968</v>
      </c>
      <c r="X3" s="50" t="n">
        <v>1529.679945864</v>
      </c>
      <c r="Y3" s="51" t="n">
        <v>1465.62780445024</v>
      </c>
      <c r="Z3" s="55" t="n">
        <v>1363.34540926402</v>
      </c>
      <c r="AA3" s="56" t="n">
        <v>1427.65315560343</v>
      </c>
      <c r="AB3" s="55" t="n">
        <v>1282.0268233471</v>
      </c>
      <c r="AC3" s="52" t="n">
        <v>1201.518748361</v>
      </c>
      <c r="AD3" s="51" t="n">
        <v>1141.3176727959</v>
      </c>
      <c r="AE3" s="55" t="n">
        <v>1132.56355189635</v>
      </c>
      <c r="AF3" s="56" t="n">
        <v>1149.67316794031</v>
      </c>
      <c r="AG3" s="55" t="n">
        <v>1080.96058493448</v>
      </c>
      <c r="AH3" s="55" t="n">
        <v>932.761442173415</v>
      </c>
      <c r="AI3" s="122" t="n">
        <v>1171.3846495668</v>
      </c>
      <c r="AJ3" s="51" t="n">
        <v>1125.35223713314</v>
      </c>
      <c r="AK3" s="55" t="n">
        <v>1088.23164608957</v>
      </c>
      <c r="AL3" s="56" t="n">
        <v>1054.6551341765</v>
      </c>
      <c r="AM3" s="55" t="n">
        <v>999.647773779699</v>
      </c>
      <c r="AN3" s="52" t="n">
        <v>1030.59024208396</v>
      </c>
      <c r="AO3" s="51" t="n">
        <v>1024.21623283919</v>
      </c>
      <c r="AP3" s="61" t="n">
        <v>1009.53421052523</v>
      </c>
      <c r="AQ3" s="123" t="n">
        <v>1000</v>
      </c>
    </row>
    <row r="4" customFormat="false" ht="12.8" hidden="false" customHeight="false" outlineLevel="0" collapsed="false">
      <c r="A4" s="53" t="s">
        <v>82</v>
      </c>
      <c r="B4" s="54" t="n">
        <v>2216.23792496176</v>
      </c>
      <c r="C4" s="48" t="n">
        <v>2158.74343574608</v>
      </c>
      <c r="D4" s="55" t="n">
        <v>2211.74420443663</v>
      </c>
      <c r="E4" s="56" t="n">
        <v>2132.12556367939</v>
      </c>
      <c r="F4" s="55" t="n">
        <v>2033.66179080457</v>
      </c>
      <c r="G4" s="56" t="n">
        <v>1878.1380748435</v>
      </c>
      <c r="H4" s="55" t="n">
        <v>1891.44356916948</v>
      </c>
      <c r="I4" s="50" t="n">
        <v>1786.21791768807</v>
      </c>
      <c r="J4" s="51" t="n">
        <v>1588.47620755325</v>
      </c>
      <c r="K4" s="48" t="n">
        <v>1584.8539228282</v>
      </c>
      <c r="L4" s="55" t="n">
        <v>1544.32390293204</v>
      </c>
      <c r="M4" s="56" t="n">
        <v>1542.97401297869</v>
      </c>
      <c r="N4" s="56" t="n">
        <v>1537.04718235714</v>
      </c>
      <c r="O4" s="55" t="n">
        <v>1524.39204149411</v>
      </c>
      <c r="P4" s="52" t="n">
        <v>1526.01162900482</v>
      </c>
      <c r="Q4" s="51" t="n">
        <v>1448.60245707112</v>
      </c>
      <c r="R4" s="55" t="n">
        <v>1386.70086748513</v>
      </c>
      <c r="S4" s="56" t="n">
        <v>1456.55058843393</v>
      </c>
      <c r="T4" s="55" t="n">
        <v>1479.81565977561</v>
      </c>
      <c r="U4" s="55" t="n">
        <v>1562.72607290149</v>
      </c>
      <c r="V4" s="56" t="n">
        <v>1523.05543404351</v>
      </c>
      <c r="W4" s="56" t="n">
        <v>1456.68323299085</v>
      </c>
      <c r="X4" s="50" t="n">
        <v>1562.65497412156</v>
      </c>
      <c r="Y4" s="51" t="n">
        <v>1485.27350460214</v>
      </c>
      <c r="Z4" s="55" t="n">
        <v>1387.5089758925</v>
      </c>
      <c r="AA4" s="56" t="n">
        <v>1442.5659041325</v>
      </c>
      <c r="AB4" s="55" t="n">
        <v>1291.75009395494</v>
      </c>
      <c r="AC4" s="52" t="n">
        <v>1214.98292863787</v>
      </c>
      <c r="AD4" s="51" t="n">
        <v>1147.91445477433</v>
      </c>
      <c r="AE4" s="55" t="n">
        <v>1137.09762565566</v>
      </c>
      <c r="AF4" s="56" t="n">
        <v>1156.02576880072</v>
      </c>
      <c r="AG4" s="55" t="n">
        <v>1086.07970695682</v>
      </c>
      <c r="AH4" s="55" t="n">
        <v>942.308767803262</v>
      </c>
      <c r="AI4" s="122" t="n">
        <v>1174.77816910207</v>
      </c>
      <c r="AJ4" s="51" t="n">
        <v>1130.45830835129</v>
      </c>
      <c r="AK4" s="55" t="n">
        <v>1086.53707918444</v>
      </c>
      <c r="AL4" s="56" t="n">
        <v>1060.30138968193</v>
      </c>
      <c r="AM4" s="55" t="n">
        <v>1001.13234218746</v>
      </c>
      <c r="AN4" s="52" t="n">
        <v>1032.72512704403</v>
      </c>
      <c r="AO4" s="51" t="n">
        <v>1023.37286583693</v>
      </c>
      <c r="AP4" s="61" t="n">
        <v>1007.5505004377</v>
      </c>
      <c r="AQ4" s="123" t="n">
        <v>1000</v>
      </c>
    </row>
    <row r="5" customFormat="false" ht="12.8" hidden="false" customHeight="false" outlineLevel="0" collapsed="false">
      <c r="A5" s="53" t="s">
        <v>83</v>
      </c>
      <c r="B5" s="54" t="n">
        <v>2967.16438808461</v>
      </c>
      <c r="C5" s="48" t="n">
        <v>2849.184743394</v>
      </c>
      <c r="D5" s="55" t="n">
        <v>2934.13606352296</v>
      </c>
      <c r="E5" s="56" t="n">
        <v>2786.422056701</v>
      </c>
      <c r="F5" s="55" t="n">
        <v>2599.17112228757</v>
      </c>
      <c r="G5" s="56" t="n">
        <v>2295.74397368338</v>
      </c>
      <c r="H5" s="55" t="n">
        <v>2307.01336719354</v>
      </c>
      <c r="I5" s="50" t="n">
        <v>2075.13800450789</v>
      </c>
      <c r="J5" s="51" t="n">
        <v>1810.70093415713</v>
      </c>
      <c r="K5" s="48" t="n">
        <v>1774.60490134432</v>
      </c>
      <c r="L5" s="55" t="n">
        <v>1667.04031009066</v>
      </c>
      <c r="M5" s="56" t="n">
        <v>1668.32494628544</v>
      </c>
      <c r="N5" s="56" t="n">
        <v>1649.44676758636</v>
      </c>
      <c r="O5" s="55" t="n">
        <v>1557.88154275155</v>
      </c>
      <c r="P5" s="52" t="n">
        <v>1638.62094795298</v>
      </c>
      <c r="Q5" s="51" t="n">
        <v>1566.58723276744</v>
      </c>
      <c r="R5" s="55" t="n">
        <v>1521.00706485767</v>
      </c>
      <c r="S5" s="56" t="n">
        <v>1602.32224251837</v>
      </c>
      <c r="T5" s="55" t="n">
        <v>1594.19653665369</v>
      </c>
      <c r="U5" s="55" t="n">
        <v>1766.51992600362</v>
      </c>
      <c r="V5" s="56" t="n">
        <v>1691.21528138643</v>
      </c>
      <c r="W5" s="56" t="n">
        <v>1589.66528825362</v>
      </c>
      <c r="X5" s="50" t="n">
        <v>1758.21433547699</v>
      </c>
      <c r="Y5" s="51" t="n">
        <v>1681.37343506626</v>
      </c>
      <c r="Z5" s="55" t="n">
        <v>1507.31959673565</v>
      </c>
      <c r="AA5" s="56" t="n">
        <v>1562.74740298156</v>
      </c>
      <c r="AB5" s="55" t="n">
        <v>1308.00740431248</v>
      </c>
      <c r="AC5" s="52" t="n">
        <v>1208.11163120715</v>
      </c>
      <c r="AD5" s="51" t="n">
        <v>1151.37942220665</v>
      </c>
      <c r="AE5" s="55" t="n">
        <v>1112.65389212724</v>
      </c>
      <c r="AF5" s="56" t="n">
        <v>1141.13414569332</v>
      </c>
      <c r="AG5" s="55" t="n">
        <v>999.074804279807</v>
      </c>
      <c r="AH5" s="55" t="n">
        <v>893.588508237692</v>
      </c>
      <c r="AI5" s="122" t="n">
        <v>1228.45764007316</v>
      </c>
      <c r="AJ5" s="51" t="n">
        <v>1125.95373914014</v>
      </c>
      <c r="AK5" s="55" t="n">
        <v>1090.78682444493</v>
      </c>
      <c r="AL5" s="56" t="n">
        <v>1088.53608504996</v>
      </c>
      <c r="AM5" s="55" t="n">
        <v>967.355085415258</v>
      </c>
      <c r="AN5" s="52" t="n">
        <v>1055.31509503673</v>
      </c>
      <c r="AO5" s="51" t="n">
        <v>1043.44597520819</v>
      </c>
      <c r="AP5" s="61" t="n">
        <v>1018.39909504945</v>
      </c>
      <c r="AQ5" s="123" t="n">
        <v>1000</v>
      </c>
    </row>
    <row r="6" customFormat="false" ht="12.8" hidden="false" customHeight="false" outlineLevel="0" collapsed="false">
      <c r="A6" s="53" t="s">
        <v>116</v>
      </c>
      <c r="B6" s="54" t="n">
        <v>3261.83408666006</v>
      </c>
      <c r="C6" s="48" t="n">
        <v>3227.14660670358</v>
      </c>
      <c r="D6" s="55" t="n">
        <v>3277.23791944296</v>
      </c>
      <c r="E6" s="56" t="n">
        <v>3239.40730755991</v>
      </c>
      <c r="F6" s="55" t="n">
        <v>3014.03999044197</v>
      </c>
      <c r="G6" s="56" t="n">
        <v>2945.52526915718</v>
      </c>
      <c r="H6" s="55" t="n">
        <v>3012.59946858045</v>
      </c>
      <c r="I6" s="50" t="n">
        <v>3005.85816628537</v>
      </c>
      <c r="J6" s="51" t="n">
        <v>2653.99511190498</v>
      </c>
      <c r="K6" s="48" t="n">
        <v>2621.16082050988</v>
      </c>
      <c r="L6" s="55" t="n">
        <v>2574.74613588176</v>
      </c>
      <c r="M6" s="56" t="n">
        <v>2561.95181969685</v>
      </c>
      <c r="N6" s="56" t="n">
        <v>2567.71841734088</v>
      </c>
      <c r="O6" s="55" t="n">
        <v>2629.06342919543</v>
      </c>
      <c r="P6" s="52" t="n">
        <v>2631.11374483153</v>
      </c>
      <c r="Q6" s="51" t="n">
        <v>2490.53645596309</v>
      </c>
      <c r="R6" s="55" t="n">
        <v>2299.1265792002</v>
      </c>
      <c r="S6" s="56" t="n">
        <v>2437.14372586559</v>
      </c>
      <c r="T6" s="55" t="n">
        <v>2426.15524098804</v>
      </c>
      <c r="U6" s="55" t="n">
        <v>2639.45350020853</v>
      </c>
      <c r="V6" s="56" t="n">
        <v>2533.78107191533</v>
      </c>
      <c r="W6" s="56" t="n">
        <v>2350.58875847638</v>
      </c>
      <c r="X6" s="50" t="n">
        <v>2649.93929530379</v>
      </c>
      <c r="Y6" s="51" t="n">
        <v>2675.76581050053</v>
      </c>
      <c r="Z6" s="55" t="n">
        <v>2432.90857851927</v>
      </c>
      <c r="AA6" s="56" t="n">
        <v>2587.82091929685</v>
      </c>
      <c r="AB6" s="55" t="n">
        <v>2159.83665969291</v>
      </c>
      <c r="AC6" s="52" t="n">
        <v>1966.13801286875</v>
      </c>
      <c r="AD6" s="51" t="n">
        <v>1803.54363574996</v>
      </c>
      <c r="AE6" s="55" t="n">
        <v>1708.07720253894</v>
      </c>
      <c r="AF6" s="56" t="n">
        <v>1771.13595226588</v>
      </c>
      <c r="AG6" s="55" t="n">
        <v>1617.30052070201</v>
      </c>
      <c r="AH6" s="55" t="n">
        <v>1238.06632726865</v>
      </c>
      <c r="AI6" s="122" t="n">
        <v>1775.09311725671</v>
      </c>
      <c r="AJ6" s="51" t="n">
        <v>1606.7889235658</v>
      </c>
      <c r="AK6" s="55" t="n">
        <v>1498.83587723517</v>
      </c>
      <c r="AL6" s="56" t="n">
        <v>1307.94718552635</v>
      </c>
      <c r="AM6" s="55" t="n">
        <v>1148.45507637991</v>
      </c>
      <c r="AN6" s="52" t="n">
        <v>1057.13951054373</v>
      </c>
      <c r="AO6" s="51" t="n">
        <v>1021.7719939654</v>
      </c>
      <c r="AP6" s="61" t="n">
        <v>1043.08020190526</v>
      </c>
      <c r="AQ6" s="123" t="n">
        <v>1000</v>
      </c>
    </row>
    <row r="7" customFormat="false" ht="12.8" hidden="false" customHeight="false" outlineLevel="0" collapsed="false">
      <c r="A7" s="124" t="s">
        <v>89</v>
      </c>
      <c r="B7" s="125" t="n">
        <v>1371.98093037707</v>
      </c>
      <c r="C7" s="126" t="n">
        <v>1384.33442273707</v>
      </c>
      <c r="D7" s="127" t="n">
        <v>1384.33442273707</v>
      </c>
      <c r="E7" s="126" t="n">
        <v>1370.66701915795</v>
      </c>
      <c r="F7" s="127" t="n">
        <v>1335.61696621548</v>
      </c>
      <c r="G7" s="126" t="n">
        <v>1211.18941330441</v>
      </c>
      <c r="H7" s="127" t="n">
        <v>1203.41172922645</v>
      </c>
      <c r="I7" s="128" t="n">
        <v>1178.92947081228</v>
      </c>
      <c r="J7" s="129" t="n">
        <v>1159.38749387483</v>
      </c>
      <c r="K7" s="126" t="n">
        <v>1151.25823812532</v>
      </c>
      <c r="L7" s="127" t="n">
        <v>1154.72394934038</v>
      </c>
      <c r="M7" s="126" t="n">
        <v>1155.49251675739</v>
      </c>
      <c r="N7" s="126" t="n">
        <v>1131.52537032191</v>
      </c>
      <c r="O7" s="127" t="n">
        <v>1074.56276120768</v>
      </c>
      <c r="P7" s="130" t="n">
        <v>1093.27520018645</v>
      </c>
      <c r="Q7" s="129" t="n">
        <v>1084.71678336241</v>
      </c>
      <c r="R7" s="127" t="n">
        <v>1062.29082808812</v>
      </c>
      <c r="S7" s="126" t="n">
        <v>1068.15005105525</v>
      </c>
      <c r="T7" s="127" t="n">
        <v>1178.9377476732</v>
      </c>
      <c r="U7" s="127" t="n">
        <v>1297.14889118046</v>
      </c>
      <c r="V7" s="126" t="n">
        <v>1284.01720041364</v>
      </c>
      <c r="W7" s="126" t="n">
        <v>1280.11164585522</v>
      </c>
      <c r="X7" s="128" t="n">
        <v>1282.0009554006</v>
      </c>
      <c r="Y7" s="129" t="n">
        <v>1201.7430381435</v>
      </c>
      <c r="Z7" s="127" t="n">
        <v>1205.53413298421</v>
      </c>
      <c r="AA7" s="126" t="n">
        <v>1178.94185564387</v>
      </c>
      <c r="AB7" s="127" t="n">
        <v>1087.67942286592</v>
      </c>
      <c r="AC7" s="130" t="n">
        <v>1066.07001993893</v>
      </c>
      <c r="AD7" s="129" t="n">
        <v>994.939266319325</v>
      </c>
      <c r="AE7" s="127" t="n">
        <v>978.621277361791</v>
      </c>
      <c r="AF7" s="126" t="n">
        <v>962.880491332894</v>
      </c>
      <c r="AG7" s="127" t="n">
        <v>949.811539391652</v>
      </c>
      <c r="AH7" s="127" t="n">
        <v>933.956092668926</v>
      </c>
      <c r="AI7" s="131" t="n">
        <v>1024.50059378135</v>
      </c>
      <c r="AJ7" s="129" t="n">
        <v>1036.32546784094</v>
      </c>
      <c r="AK7" s="127" t="n">
        <v>1001.86958665258</v>
      </c>
      <c r="AL7" s="126" t="n">
        <v>985.813239720211</v>
      </c>
      <c r="AM7" s="127" t="n">
        <v>992.253811546543</v>
      </c>
      <c r="AN7" s="130" t="n">
        <v>1003.15926106259</v>
      </c>
      <c r="AO7" s="129" t="n">
        <v>973.983459501735</v>
      </c>
      <c r="AP7" s="132" t="n">
        <v>1026.8993497</v>
      </c>
      <c r="AQ7" s="133" t="n">
        <v>1000</v>
      </c>
    </row>
    <row r="8" customFormat="false" ht="12.8" hidden="false" customHeight="false" outlineLevel="0" collapsed="false">
      <c r="A8" s="1" t="s">
        <v>117</v>
      </c>
      <c r="B8" s="67" t="n">
        <f aca="false">'Historical Prices Outview - ALL'!C92/'Historical Prices Outview - ALL'!$AR92*1000</f>
        <v>1937.21463545648</v>
      </c>
      <c r="C8" s="94" t="n">
        <f aca="false">'Historical Prices Outview - ALL'!D92/'Historical Prices Outview - ALL'!$AR92*1000</f>
        <v>1785.81561748927</v>
      </c>
      <c r="D8" s="59" t="n">
        <f aca="false">'Historical Prices Outview - ALL'!E92/'Historical Prices Outview - ALL'!$AR92*1000</f>
        <v>1901.5005956931</v>
      </c>
      <c r="E8" s="59" t="n">
        <f aca="false">'Historical Prices Outview - ALL'!F92/'Historical Prices Outview - ALL'!$AR92*1000</f>
        <v>1924.21612985421</v>
      </c>
      <c r="F8" s="59" t="n">
        <f aca="false">'Historical Prices Outview - ALL'!G92/'Historical Prices Outview - ALL'!$AR92*1000</f>
        <v>1880.21403632006</v>
      </c>
      <c r="G8" s="59" t="n">
        <f aca="false">'Historical Prices Outview - ALL'!H92/'Historical Prices Outview - ALL'!$AR92*1000</f>
        <v>1745.94894255866</v>
      </c>
      <c r="H8" s="59" t="n">
        <f aca="false">'Historical Prices Outview - ALL'!I92/'Historical Prices Outview - ALL'!$AR92*1000</f>
        <v>1805.59400588118</v>
      </c>
      <c r="I8" s="68" t="n">
        <f aca="false">'Historical Prices Outview - ALL'!J92/'Historical Prices Outview - ALL'!$AR92*1000</f>
        <v>1751.62352195801</v>
      </c>
      <c r="J8" s="67" t="n">
        <f aca="false">'Historical Prices Outview - ALL'!K92/'Historical Prices Outview - ALL'!$AR92*1000</f>
        <v>1647.05700059914</v>
      </c>
      <c r="K8" s="94" t="n">
        <f aca="false">'Historical Prices Outview - ALL'!L92/'Historical Prices Outview - ALL'!$AR92*1000</f>
        <v>1492.90333243807</v>
      </c>
      <c r="L8" s="59" t="n">
        <f aca="false">'Historical Prices Outview - ALL'!M92/'Historical Prices Outview - ALL'!$AR92*1000</f>
        <v>1476.50972047187</v>
      </c>
      <c r="M8" s="59" t="n">
        <f aca="false">'Historical Prices Outview - ALL'!N92/'Historical Prices Outview - ALL'!$AR92*1000</f>
        <v>1471.51003037002</v>
      </c>
      <c r="N8" s="94" t="n">
        <f aca="false">'Historical Prices Outview - ALL'!O92/'Historical Prices Outview - ALL'!$AR92*1000</f>
        <v>1538.27930775641</v>
      </c>
      <c r="O8" s="59" t="n">
        <f aca="false">'Historical Prices Outview - ALL'!P92/'Historical Prices Outview - ALL'!$AR92*1000</f>
        <v>1532.405016218</v>
      </c>
      <c r="P8" s="68" t="n">
        <f aca="false">'Historical Prices Outview - ALL'!Q92/'Historical Prices Outview - ALL'!$AR92*1000</f>
        <v>1414.96394851559</v>
      </c>
      <c r="Q8" s="67" t="n">
        <f aca="false">'Historical Prices Outview - ALL'!R92/'Historical Prices Outview - ALL'!$AR92*1000</f>
        <v>1325.42748727696</v>
      </c>
      <c r="R8" s="59" t="n">
        <f aca="false">'Historical Prices Outview - ALL'!S92/'Historical Prices Outview - ALL'!$AR92*1000</f>
        <v>1234.64110351287</v>
      </c>
      <c r="S8" s="94" t="n">
        <f aca="false">'Historical Prices Outview - ALL'!T92/'Historical Prices Outview - ALL'!$AR92*1000</f>
        <v>1354.14815886068</v>
      </c>
      <c r="T8" s="59" t="n">
        <f aca="false">'Historical Prices Outview - ALL'!U92/'Historical Prices Outview - ALL'!$AR92*1000</f>
        <v>1303.42471885351</v>
      </c>
      <c r="U8" s="59" t="n">
        <f aca="false">'Historical Prices Outview - ALL'!V92/'Historical Prices Outview - ALL'!$AR92*1000</f>
        <v>1559.96184809482</v>
      </c>
      <c r="V8" s="94" t="n">
        <f aca="false">'Historical Prices Outview - ALL'!W92/'Historical Prices Outview - ALL'!$AR92*1000</f>
        <v>1509.77212156271</v>
      </c>
      <c r="W8" s="94" t="n">
        <f aca="false">'Historical Prices Outview - ALL'!X92/'Historical Prices Outview - ALL'!$AR92*1000</f>
        <v>1476.73353580012</v>
      </c>
      <c r="X8" s="66" t="n">
        <f aca="false">'Historical Prices Outview - ALL'!Y92/'Historical Prices Outview - ALL'!$AR92*1000</f>
        <v>1454.97179926864</v>
      </c>
      <c r="Y8" s="67" t="n">
        <f aca="false">'Historical Prices Outview - ALL'!Z92/'Historical Prices Outview - ALL'!$AR92*1000</f>
        <v>1645.46619011218</v>
      </c>
      <c r="Z8" s="59" t="n">
        <f aca="false">'Historical Prices Outview - ALL'!AA92/'Historical Prices Outview - ALL'!$AR92*1000</f>
        <v>1483.22073700666</v>
      </c>
      <c r="AA8" s="94" t="n">
        <f aca="false">'Historical Prices Outview - ALL'!AB92/'Historical Prices Outview - ALL'!$AR92*1000</f>
        <v>1538.72349510017</v>
      </c>
      <c r="AB8" s="59" t="n">
        <f aca="false">'Historical Prices Outview - ALL'!AC92/'Historical Prices Outview - ALL'!$AR92*1000</f>
        <v>1479.76365101337</v>
      </c>
      <c r="AC8" s="68" t="n">
        <f aca="false">'Historical Prices Outview - ALL'!AD92/'Historical Prices Outview - ALL'!$AR92*1000</f>
        <v>1367.99027608482</v>
      </c>
      <c r="AD8" s="67" t="n">
        <f aca="false">'Historical Prices Outview - ALL'!AE92/'Historical Prices Outview - ALL'!$AR92*1000</f>
        <v>1285.05808868596</v>
      </c>
      <c r="AE8" s="59" t="n">
        <f aca="false">'Historical Prices Outview - ALL'!AF92/'Historical Prices Outview - ALL'!$AR92*1000</f>
        <v>1157.98607524327</v>
      </c>
      <c r="AF8" s="94" t="n">
        <f aca="false">'Historical Prices Outview - ALL'!AG92/'Historical Prices Outview - ALL'!$AR92*1000</f>
        <v>1142.99733487594</v>
      </c>
      <c r="AG8" s="59" t="n">
        <f aca="false">'Historical Prices Outview - ALL'!AH92/'Historical Prices Outview - ALL'!$AR92*1000</f>
        <v>1067.5268061897</v>
      </c>
      <c r="AH8" s="59" t="n">
        <f aca="false">'Historical Prices Outview - ALL'!AI92/'Historical Prices Outview - ALL'!$AR92*1000</f>
        <v>889.955168068095</v>
      </c>
      <c r="AI8" s="134" t="n">
        <f aca="false">'Historical Prices Outview - ALL'!AJ92/'Historical Prices Outview - ALL'!$AR92*1000</f>
        <v>1041.23711340206</v>
      </c>
      <c r="AJ8" s="67" t="n">
        <f aca="false">'Historical Prices Outview - ALL'!AK92/'Historical Prices Outview - ALL'!$AR92*1000</f>
        <v>1109.19089037181</v>
      </c>
      <c r="AK8" s="59" t="n">
        <f aca="false">'Historical Prices Outview - ALL'!AL92/'Historical Prices Outview - ALL'!$AR92*1000</f>
        <v>1024.9846772583</v>
      </c>
      <c r="AL8" s="94" t="n">
        <f aca="false">'Historical Prices Outview - ALL'!AM92/'Historical Prices Outview - ALL'!$AR92*1000</f>
        <v>1035.53843081352</v>
      </c>
      <c r="AM8" s="59" t="n">
        <f aca="false">'Historical Prices Outview - ALL'!AN92/'Historical Prices Outview - ALL'!$AR92*1000</f>
        <v>1012.93996928565</v>
      </c>
      <c r="AN8" s="68" t="n">
        <f aca="false">'Historical Prices Outview - ALL'!AO92/'Historical Prices Outview - ALL'!$AR92*1000</f>
        <v>975.972563684069</v>
      </c>
      <c r="AO8" s="67" t="n">
        <f aca="false">'Historical Prices Outview - ALL'!AP92/'Historical Prices Outview - ALL'!$AR92*1000</f>
        <v>855.918021610231</v>
      </c>
      <c r="AP8" s="59" t="n">
        <f aca="false">'Historical Prices Outview - ALL'!AQ92/'Historical Prices Outview - ALL'!$AR92*1000</f>
        <v>1003.37444648748</v>
      </c>
      <c r="AQ8" s="94" t="n">
        <v>1000</v>
      </c>
    </row>
    <row r="9" customFormat="false" ht="12.8" hidden="false" customHeight="false" outlineLevel="0" collapsed="false">
      <c r="A9" s="1" t="s">
        <v>118</v>
      </c>
      <c r="B9" s="67" t="n">
        <f aca="false">'Historical Prices Outview - ALL'!C93/'Historical Prices Outview - ALL'!$AR93*1000</f>
        <v>1583.17891194787</v>
      </c>
      <c r="C9" s="94" t="n">
        <f aca="false">'Historical Prices Outview - ALL'!D93/'Historical Prices Outview - ALL'!$AR93*1000</f>
        <v>1480.27556042055</v>
      </c>
      <c r="D9" s="59" t="n">
        <f aca="false">'Historical Prices Outview - ALL'!E93/'Historical Prices Outview - ALL'!$AR93*1000</f>
        <v>1562.10531710599</v>
      </c>
      <c r="E9" s="59" t="n">
        <f aca="false">'Historical Prices Outview - ALL'!F93/'Historical Prices Outview - ALL'!$AR93*1000</f>
        <v>1575.69401655856</v>
      </c>
      <c r="F9" s="59" t="n">
        <f aca="false">'Historical Prices Outview - ALL'!G93/'Historical Prices Outview - ALL'!$AR93*1000</f>
        <v>1496.17054087453</v>
      </c>
      <c r="G9" s="59" t="n">
        <f aca="false">'Historical Prices Outview - ALL'!H93/'Historical Prices Outview - ALL'!$AR93*1000</f>
        <v>1472.64226751406</v>
      </c>
      <c r="H9" s="59" t="n">
        <f aca="false">'Historical Prices Outview - ALL'!I93/'Historical Prices Outview - ALL'!$AR93*1000</f>
        <v>1513.30471709046</v>
      </c>
      <c r="I9" s="68" t="n">
        <f aca="false">'Historical Prices Outview - ALL'!J93/'Historical Prices Outview - ALL'!$AR93*1000</f>
        <v>1494.26776343141</v>
      </c>
      <c r="J9" s="67" t="n">
        <f aca="false">'Historical Prices Outview - ALL'!K93/'Historical Prices Outview - ALL'!$AR93*1000</f>
        <v>1442.29000317066</v>
      </c>
      <c r="K9" s="94" t="n">
        <f aca="false">'Historical Prices Outview - ALL'!L93/'Historical Prices Outview - ALL'!$AR93*1000</f>
        <v>1285.2697488219</v>
      </c>
      <c r="L9" s="59" t="n">
        <f aca="false">'Historical Prices Outview - ALL'!M93/'Historical Prices Outview - ALL'!$AR93*1000</f>
        <v>1281.55407387519</v>
      </c>
      <c r="M9" s="59" t="n">
        <f aca="false">'Historical Prices Outview - ALL'!N93/'Historical Prices Outview - ALL'!$AR93*1000</f>
        <v>1285.81400054081</v>
      </c>
      <c r="N9" s="94" t="n">
        <f aca="false">'Historical Prices Outview - ALL'!O93/'Historical Prices Outview - ALL'!$AR93*1000</f>
        <v>1322.40278528371</v>
      </c>
      <c r="O9" s="59" t="n">
        <f aca="false">'Historical Prices Outview - ALL'!P93/'Historical Prices Outview - ALL'!$AR93*1000</f>
        <v>1315.98000305209</v>
      </c>
      <c r="P9" s="68" t="n">
        <f aca="false">'Historical Prices Outview - ALL'!Q93/'Historical Prices Outview - ALL'!$AR93*1000</f>
        <v>1272.62918711435</v>
      </c>
      <c r="Q9" s="67" t="n">
        <f aca="false">'Historical Prices Outview - ALL'!R93/'Historical Prices Outview - ALL'!$AR93*1000</f>
        <v>1270.58872125324</v>
      </c>
      <c r="R9" s="59" t="n">
        <f aca="false">'Historical Prices Outview - ALL'!S93/'Historical Prices Outview - ALL'!$AR93*1000</f>
        <v>1098.65834110699</v>
      </c>
      <c r="S9" s="94" t="n">
        <f aca="false">'Historical Prices Outview - ALL'!T93/'Historical Prices Outview - ALL'!$AR93*1000</f>
        <v>1189.66503085177</v>
      </c>
      <c r="T9" s="59" t="n">
        <f aca="false">'Historical Prices Outview - ALL'!U93/'Historical Prices Outview - ALL'!$AR93*1000</f>
        <v>1177.06118605568</v>
      </c>
      <c r="U9" s="59" t="n">
        <f aca="false">'Historical Prices Outview - ALL'!V93/'Historical Prices Outview - ALL'!$AR93*1000</f>
        <v>1326.33531948876</v>
      </c>
      <c r="V9" s="94" t="n">
        <f aca="false">'Historical Prices Outview - ALL'!W93/'Historical Prices Outview - ALL'!$AR93*1000</f>
        <v>1302.6376128806</v>
      </c>
      <c r="W9" s="94" t="n">
        <f aca="false">'Historical Prices Outview - ALL'!X93/'Historical Prices Outview - ALL'!$AR93*1000</f>
        <v>1270.70460900505</v>
      </c>
      <c r="X9" s="66" t="n">
        <f aca="false">'Historical Prices Outview - ALL'!Y93/'Historical Prices Outview - ALL'!$AR93*1000</f>
        <v>1267.18322771484</v>
      </c>
      <c r="Y9" s="67" t="n">
        <f aca="false">'Historical Prices Outview - ALL'!Z93/'Historical Prices Outview - ALL'!$AR93*1000</f>
        <v>1392.10945923256</v>
      </c>
      <c r="Z9" s="59" t="n">
        <f aca="false">'Historical Prices Outview - ALL'!AA93/'Historical Prices Outview - ALL'!$AR93*1000</f>
        <v>1294.42105653678</v>
      </c>
      <c r="AA9" s="94" t="n">
        <f aca="false">'Historical Prices Outview - ALL'!AB93/'Historical Prices Outview - ALL'!$AR93*1000</f>
        <v>1333.6511640982</v>
      </c>
      <c r="AB9" s="59" t="n">
        <f aca="false">'Historical Prices Outview - ALL'!AC93/'Historical Prices Outview - ALL'!$AR93*1000</f>
        <v>1319.61000520539</v>
      </c>
      <c r="AC9" s="68" t="n">
        <f aca="false">'Historical Prices Outview - ALL'!AD93/'Historical Prices Outview - ALL'!$AR93*1000</f>
        <v>1261.43817847402</v>
      </c>
      <c r="AD9" s="67" t="n">
        <f aca="false">'Historical Prices Outview - ALL'!AE93/'Historical Prices Outview - ALL'!$AR93*1000</f>
        <v>1163.06783564134</v>
      </c>
      <c r="AE9" s="59" t="n">
        <f aca="false">'Historical Prices Outview - ALL'!AF93/'Historical Prices Outview - ALL'!$AR93*1000</f>
        <v>1062.56064505494</v>
      </c>
      <c r="AF9" s="94" t="n">
        <f aca="false">'Historical Prices Outview - ALL'!AG93/'Historical Prices Outview - ALL'!$AR93*1000</f>
        <v>1057.80733489151</v>
      </c>
      <c r="AG9" s="59" t="n">
        <f aca="false">'Historical Prices Outview - ALL'!AH93/'Historical Prices Outview - ALL'!$AR93*1000</f>
        <v>987.259614189404</v>
      </c>
      <c r="AH9" s="59" t="n">
        <f aca="false">'Historical Prices Outview - ALL'!AI93/'Historical Prices Outview - ALL'!$AR93*1000</f>
        <v>838.260857592311</v>
      </c>
      <c r="AI9" s="134" t="n">
        <f aca="false">'Historical Prices Outview - ALL'!AJ93/'Historical Prices Outview - ALL'!$AR93*1000</f>
        <v>999.054921997599</v>
      </c>
      <c r="AJ9" s="67" t="n">
        <f aca="false">'Historical Prices Outview - ALL'!AK93/'Historical Prices Outview - ALL'!$AR93*1000</f>
        <v>1088.58528592721</v>
      </c>
      <c r="AK9" s="59" t="n">
        <f aca="false">'Historical Prices Outview - ALL'!AL93/'Historical Prices Outview - ALL'!$AR93*1000</f>
        <v>1029.48215003524</v>
      </c>
      <c r="AL9" s="94" t="n">
        <f aca="false">'Historical Prices Outview - ALL'!AM93/'Historical Prices Outview - ALL'!$AR93*1000</f>
        <v>1041.05906871379</v>
      </c>
      <c r="AM9" s="59" t="n">
        <f aca="false">'Historical Prices Outview - ALL'!AN93/'Historical Prices Outview - ALL'!$AR93*1000</f>
        <v>1017.36289197693</v>
      </c>
      <c r="AN9" s="68" t="n">
        <f aca="false">'Historical Prices Outview - ALL'!AO93/'Historical Prices Outview - ALL'!$AR93*1000</f>
        <v>991.688591634893</v>
      </c>
      <c r="AO9" s="67" t="n">
        <f aca="false">'Historical Prices Outview - ALL'!AP93/'Historical Prices Outview - ALL'!$AR93*1000</f>
        <v>882.062603098984</v>
      </c>
      <c r="AP9" s="59" t="n">
        <f aca="false">'Historical Prices Outview - ALL'!AQ93/'Historical Prices Outview - ALL'!$AR93*1000</f>
        <v>1011.94523519668</v>
      </c>
      <c r="AQ9" s="123" t="n">
        <v>1000</v>
      </c>
    </row>
    <row r="10" customFormat="false" ht="12.8" hidden="false" customHeight="false" outlineLevel="0" collapsed="false">
      <c r="A10" s="1" t="s">
        <v>119</v>
      </c>
      <c r="B10" s="67" t="n">
        <f aca="false">'Historical Prices Outview - ALL'!C94/'Historical Prices Outview - ALL'!$AR94*1000</f>
        <v>1273.09370479257</v>
      </c>
      <c r="C10" s="94" t="n">
        <f aca="false">'Historical Prices Outview - ALL'!D94/'Historical Prices Outview - ALL'!$AR94*1000</f>
        <v>1189.48621027579</v>
      </c>
      <c r="D10" s="59" t="n">
        <f aca="false">'Historical Prices Outview - ALL'!E94/'Historical Prices Outview - ALL'!$AR94*1000</f>
        <v>1315.0870315927</v>
      </c>
      <c r="E10" s="59" t="n">
        <f aca="false">'Historical Prices Outview - ALL'!F94/'Historical Prices Outview - ALL'!$AR94*1000</f>
        <v>1306.44803770591</v>
      </c>
      <c r="F10" s="59" t="n">
        <f aca="false">'Historical Prices Outview - ALL'!G94/'Historical Prices Outview - ALL'!$AR94*1000</f>
        <v>1194.46194409445</v>
      </c>
      <c r="G10" s="59" t="n">
        <f aca="false">'Historical Prices Outview - ALL'!H94/'Historical Prices Outview - ALL'!$AR94*1000</f>
        <v>1168.18330300061</v>
      </c>
      <c r="H10" s="59" t="n">
        <f aca="false">'Historical Prices Outview - ALL'!I94/'Historical Prices Outview - ALL'!$AR94*1000</f>
        <v>1226.63213402399</v>
      </c>
      <c r="I10" s="68" t="n">
        <f aca="false">'Historical Prices Outview - ALL'!J94/'Historical Prices Outview - ALL'!$AR94*1000</f>
        <v>1174.71650566989</v>
      </c>
      <c r="J10" s="67" t="n">
        <f aca="false">'Historical Prices Outview - ALL'!K94/'Historical Prices Outview - ALL'!$AR94*1000</f>
        <v>1200.67431984694</v>
      </c>
      <c r="K10" s="94" t="n">
        <f aca="false">'Historical Prices Outview - ALL'!L94/'Historical Prices Outview - ALL'!$AR94*1000</f>
        <v>1024.30701385972</v>
      </c>
      <c r="L10" s="59" t="n">
        <f aca="false">'Historical Prices Outview - ALL'!M94/'Historical Prices Outview - ALL'!$AR94*1000</f>
        <v>1041.28750758318</v>
      </c>
      <c r="M10" s="59" t="n">
        <f aca="false">'Historical Prices Outview - ALL'!N94/'Historical Prices Outview - ALL'!$AR94*1000</f>
        <v>1027.5852816277</v>
      </c>
      <c r="N10" s="94" t="n">
        <f aca="false">'Historical Prices Outview - ALL'!O94/'Historical Prices Outview - ALL'!$AR94*1000</f>
        <v>1073.80185729619</v>
      </c>
      <c r="O10" s="59" t="n">
        <f aca="false">'Historical Prices Outview - ALL'!P94/'Historical Prices Outview - ALL'!$AR94*1000</f>
        <v>1101.73713192403</v>
      </c>
      <c r="P10" s="68" t="n">
        <f aca="false">'Historical Prices Outview - ALL'!Q94/'Historical Prices Outview - ALL'!$AR94*1000</f>
        <v>1051.4256381539</v>
      </c>
      <c r="Q10" s="67" t="n">
        <f aca="false">'Historical Prices Outview - ALL'!R94/'Historical Prices Outview - ALL'!$AR94*1000</f>
        <v>1030.29189416212</v>
      </c>
      <c r="R10" s="59" t="n">
        <f aca="false">'Historical Prices Outview - ALL'!S94/'Historical Prices Outview - ALL'!$AR94*1000</f>
        <v>971.06724532176</v>
      </c>
      <c r="S10" s="94" t="n">
        <f aca="false">'Historical Prices Outview - ALL'!T94/'Historical Prices Outview - ALL'!$AR94*1000</f>
        <v>1068.39446544402</v>
      </c>
      <c r="T10" s="59" t="n">
        <f aca="false">'Historical Prices Outview - ALL'!U94/'Historical Prices Outview - ALL'!$AR94*1000</f>
        <v>996.307573848523</v>
      </c>
      <c r="U10" s="59" t="n">
        <f aca="false">'Historical Prices Outview - ALL'!V94/'Historical Prices Outview - ALL'!$AR94*1000</f>
        <v>1207.55168229969</v>
      </c>
      <c r="V10" s="94" t="n">
        <f aca="false">'Historical Prices Outview - ALL'!W94/'Historical Prices Outview - ALL'!$AR94*1000</f>
        <v>1190.51868962621</v>
      </c>
      <c r="W10" s="94" t="n">
        <f aca="false">'Historical Prices Outview - ALL'!X94/'Historical Prices Outview - ALL'!$AR94*1000</f>
        <v>1164.31004713239</v>
      </c>
      <c r="X10" s="66" t="n">
        <f aca="false">'Historical Prices Outview - ALL'!Y94/'Historical Prices Outview - ALL'!$AR94*1000</f>
        <v>1134.02981940361</v>
      </c>
      <c r="Y10" s="67" t="n">
        <f aca="false">'Historical Prices Outview - ALL'!Z94/'Historical Prices Outview - ALL'!$AR94*1000</f>
        <v>1311.76793130804</v>
      </c>
      <c r="Z10" s="59" t="n">
        <f aca="false">'Historical Prices Outview - ALL'!AA94/'Historical Prices Outview - ALL'!$AR94*1000</f>
        <v>1285.85678286434</v>
      </c>
      <c r="AA10" s="94" t="n">
        <f aca="false">'Historical Prices Outview - ALL'!AB94/'Historical Prices Outview - ALL'!$AR94*1000</f>
        <v>1307.09552475617</v>
      </c>
      <c r="AB10" s="59" t="n">
        <f aca="false">'Historical Prices Outview - ALL'!AC94/'Historical Prices Outview - ALL'!$AR94*1000</f>
        <v>1347.79387745578</v>
      </c>
      <c r="AC10" s="68" t="n">
        <f aca="false">'Historical Prices Outview - ALL'!AD94/'Historical Prices Outview - ALL'!$AR94*1000</f>
        <v>1295.27742778478</v>
      </c>
      <c r="AD10" s="67" t="n">
        <f aca="false">'Historical Prices Outview - ALL'!AE94/'Historical Prices Outview - ALL'!$AR94*1000</f>
        <v>1154.97106724532</v>
      </c>
      <c r="AE10" s="59" t="n">
        <f aca="false">'Historical Prices Outview - ALL'!AF94/'Historical Prices Outview - ALL'!$AR94*1000</f>
        <v>879.468243968454</v>
      </c>
      <c r="AF10" s="94" t="n">
        <f aca="false">'Historical Prices Outview - ALL'!AG94/'Historical Prices Outview - ALL'!$AR94*1000</f>
        <v>896.437071258575</v>
      </c>
      <c r="AG10" s="59" t="n">
        <f aca="false">'Historical Prices Outview - ALL'!AH94/'Historical Prices Outview - ALL'!$AR94*1000</f>
        <v>840.782351019646</v>
      </c>
      <c r="AH10" s="59" t="n">
        <f aca="false">'Historical Prices Outview - ALL'!AI94/'Historical Prices Outview - ALL'!$AR94*1000</f>
        <v>672.628214102385</v>
      </c>
      <c r="AI10" s="134" t="n">
        <f aca="false">'Historical Prices Outview - ALL'!AJ94/'Historical Prices Outview - ALL'!$AR94*1000</f>
        <v>862.627747445051</v>
      </c>
      <c r="AJ10" s="67" t="n">
        <f aca="false">'Historical Prices Outview - ALL'!AK94/'Historical Prices Outview - ALL'!$AR94*1000</f>
        <v>970.734751971627</v>
      </c>
      <c r="AK10" s="59" t="n">
        <f aca="false">'Historical Prices Outview - ALL'!AL94/'Historical Prices Outview - ALL'!$AR94*1000</f>
        <v>888.614727705446</v>
      </c>
      <c r="AL10" s="94" t="n">
        <f aca="false">'Historical Prices Outview - ALL'!AM94/'Historical Prices Outview - ALL'!$AR94*1000</f>
        <v>920.563255401559</v>
      </c>
      <c r="AM10" s="59" t="n">
        <f aca="false">'Historical Prices Outview - ALL'!AN94/'Historical Prices Outview - ALL'!$AR94*1000</f>
        <v>913.814223715526</v>
      </c>
      <c r="AN10" s="68" t="n">
        <f aca="false">'Historical Prices Outview - ALL'!AO94/'Historical Prices Outview - ALL'!$AR94*1000</f>
        <v>898.163703392599</v>
      </c>
      <c r="AO10" s="67" t="n">
        <f aca="false">'Historical Prices Outview - ALL'!AP94/'Historical Prices Outview - ALL'!$AR94*1000</f>
        <v>780.437724578842</v>
      </c>
      <c r="AP10" s="59" t="n">
        <f aca="false">'Historical Prices Outview - ALL'!AQ94/'Historical Prices Outview - ALL'!$AR94*1000</f>
        <v>989.646040412525</v>
      </c>
      <c r="AQ10" s="94" t="n">
        <v>1000</v>
      </c>
    </row>
    <row r="11" customFormat="false" ht="12.8" hidden="false" customHeight="false" outlineLevel="0" collapsed="false">
      <c r="A11" s="1" t="s">
        <v>120</v>
      </c>
      <c r="B11" s="67" t="n">
        <f aca="false">'Historical Prices Outview - ALL'!C95/'Historical Prices Outview - ALL'!$AR95*1000</f>
        <v>1136.16843620263</v>
      </c>
      <c r="C11" s="94" t="n">
        <f aca="false">'Historical Prices Outview - ALL'!D95/'Historical Prices Outview - ALL'!$AR95*1000</f>
        <v>1099.79441246874</v>
      </c>
      <c r="D11" s="59" t="n">
        <f aca="false">'Historical Prices Outview - ALL'!E95/'Historical Prices Outview - ALL'!$AR95*1000</f>
        <v>1149.19996649074</v>
      </c>
      <c r="E11" s="59" t="n">
        <f aca="false">'Historical Prices Outview - ALL'!F95/'Historical Prices Outview - ALL'!$AR95*1000</f>
        <v>1124.4086096817</v>
      </c>
      <c r="F11" s="59" t="n">
        <f aca="false">'Historical Prices Outview - ALL'!G95/'Historical Prices Outview - ALL'!$AR95*1000</f>
        <v>1121.20325698991</v>
      </c>
      <c r="G11" s="59" t="n">
        <f aca="false">'Historical Prices Outview - ALL'!H95/'Historical Prices Outview - ALL'!$AR95*1000</f>
        <v>1104.81805434817</v>
      </c>
      <c r="H11" s="59" t="n">
        <f aca="false">'Historical Prices Outview - ALL'!I95/'Historical Prices Outview - ALL'!$AR95*1000</f>
        <v>1089.74987537028</v>
      </c>
      <c r="I11" s="68" t="n">
        <f aca="false">'Historical Prices Outview - ALL'!J95/'Historical Prices Outview - ALL'!$AR95*1000</f>
        <v>1055.33422050464</v>
      </c>
      <c r="J11" s="67" t="n">
        <f aca="false">'Historical Prices Outview - ALL'!K95/'Historical Prices Outview - ALL'!$AR95*1000</f>
        <v>1060.58720852783</v>
      </c>
      <c r="K11" s="94" t="n">
        <f aca="false">'Historical Prices Outview - ALL'!L95/'Historical Prices Outview - ALL'!$AR95*1000</f>
        <v>1028.92782737789</v>
      </c>
      <c r="L11" s="59" t="n">
        <f aca="false">'Historical Prices Outview - ALL'!M95/'Historical Prices Outview - ALL'!$AR95*1000</f>
        <v>1044.84060443009</v>
      </c>
      <c r="M11" s="59" t="n">
        <f aca="false">'Historical Prices Outview - ALL'!N95/'Historical Prices Outview - ALL'!$AR95*1000</f>
        <v>1047.26315890666</v>
      </c>
      <c r="N11" s="94" t="n">
        <f aca="false">'Historical Prices Outview - ALL'!O95/'Historical Prices Outview - ALL'!$AR95*1000</f>
        <v>1033.56693680072</v>
      </c>
      <c r="O11" s="59" t="n">
        <f aca="false">'Historical Prices Outview - ALL'!P95/'Historical Prices Outview - ALL'!$AR95*1000</f>
        <v>1034.3277617327</v>
      </c>
      <c r="P11" s="68" t="n">
        <f aca="false">'Historical Prices Outview - ALL'!Q95/'Historical Prices Outview - ALL'!$AR95*1000</f>
        <v>1048.08990368835</v>
      </c>
      <c r="Q11" s="67" t="n">
        <f aca="false">'Historical Prices Outview - ALL'!R95/'Historical Prices Outview - ALL'!$AR95*1000</f>
        <v>1031.74452762248</v>
      </c>
      <c r="R11" s="59" t="n">
        <f aca="false">'Historical Prices Outview - ALL'!S95/'Historical Prices Outview - ALL'!$AR95*1000</f>
        <v>946.747748081801</v>
      </c>
      <c r="S11" s="94" t="n">
        <f aca="false">'Historical Prices Outview - ALL'!T95/'Historical Prices Outview - ALL'!$AR95*1000</f>
        <v>1014.32246067812</v>
      </c>
      <c r="T11" s="59" t="n">
        <f aca="false">'Historical Prices Outview - ALL'!U95/'Historical Prices Outview - ALL'!$AR95*1000</f>
        <v>984.578875160165</v>
      </c>
      <c r="U11" s="59" t="n">
        <f aca="false">'Historical Prices Outview - ALL'!V95/'Historical Prices Outview - ALL'!$AR95*1000</f>
        <v>1032.15103336231</v>
      </c>
      <c r="V11" s="94" t="n">
        <f aca="false">'Historical Prices Outview - ALL'!W95/'Historical Prices Outview - ALL'!$AR95*1000</f>
        <v>1028.5501615723</v>
      </c>
      <c r="W11" s="94" t="n">
        <f aca="false">'Historical Prices Outview - ALL'!X95/'Historical Prices Outview - ALL'!$AR95*1000</f>
        <v>989.760450012841</v>
      </c>
      <c r="X11" s="66" t="n">
        <f aca="false">'Historical Prices Outview - ALL'!Y95/'Historical Prices Outview - ALL'!$AR95*1000</f>
        <v>1029.74770550856</v>
      </c>
      <c r="Y11" s="67" t="n">
        <f aca="false">'Historical Prices Outview - ALL'!Z95/'Historical Prices Outview - ALL'!$AR95*1000</f>
        <v>1016.67772197479</v>
      </c>
      <c r="Z11" s="59" t="n">
        <f aca="false">'Historical Prices Outview - ALL'!AA95/'Historical Prices Outview - ALL'!$AR95*1000</f>
        <v>973.199461105229</v>
      </c>
      <c r="AA11" s="94" t="n">
        <f aca="false">'Historical Prices Outview - ALL'!AB95/'Historical Prices Outview - ALL'!$AR95*1000</f>
        <v>970.728840071578</v>
      </c>
      <c r="AB11" s="59" t="n">
        <f aca="false">'Historical Prices Outview - ALL'!AC95/'Historical Prices Outview - ALL'!$AR95*1000</f>
        <v>966.477009765751</v>
      </c>
      <c r="AC11" s="68" t="n">
        <f aca="false">'Historical Prices Outview - ALL'!AD95/'Historical Prices Outview - ALL'!$AR95*1000</f>
        <v>922.003084499634</v>
      </c>
      <c r="AD11" s="67" t="n">
        <f aca="false">'Historical Prices Outview - ALL'!AE95/'Historical Prices Outview - ALL'!$AR95*1000</f>
        <v>900.330560579655</v>
      </c>
      <c r="AE11" s="59" t="n">
        <f aca="false">'Historical Prices Outview - ALL'!AF95/'Historical Prices Outview - ALL'!$AR95*1000</f>
        <v>805.609229877623</v>
      </c>
      <c r="AF11" s="94" t="n">
        <f aca="false">'Historical Prices Outview - ALL'!AG95/'Historical Prices Outview - ALL'!$AR95*1000</f>
        <v>824.966319076793</v>
      </c>
      <c r="AG11" s="59" t="n">
        <f aca="false">'Historical Prices Outview - ALL'!AH95/'Historical Prices Outview - ALL'!$AR95*1000</f>
        <v>847.309028135416</v>
      </c>
      <c r="AH11" s="59" t="n">
        <f aca="false">'Historical Prices Outview - ALL'!AI95/'Historical Prices Outview - ALL'!$AR95*1000</f>
        <v>778.947397333267</v>
      </c>
      <c r="AI11" s="134" t="n">
        <f aca="false">'Historical Prices Outview - ALL'!AJ95/'Historical Prices Outview - ALL'!$AR95*1000</f>
        <v>920.876953733879</v>
      </c>
      <c r="AJ11" s="67" t="n">
        <f aca="false">'Historical Prices Outview - ALL'!AK95/'Historical Prices Outview - ALL'!$AR95*1000</f>
        <v>1041.95249101499</v>
      </c>
      <c r="AK11" s="59" t="n">
        <f aca="false">'Historical Prices Outview - ALL'!AL95/'Historical Prices Outview - ALL'!$AR95*1000</f>
        <v>1017.39185367991</v>
      </c>
      <c r="AL11" s="94" t="n">
        <f aca="false">'Historical Prices Outview - ALL'!AM95/'Historical Prices Outview - ALL'!$AR95*1000</f>
        <v>1011.79553310618</v>
      </c>
      <c r="AM11" s="59" t="n">
        <f aca="false">'Historical Prices Outview - ALL'!AN95/'Historical Prices Outview - ALL'!$AR95*1000</f>
        <v>1019.78419489204</v>
      </c>
      <c r="AN11" s="68" t="n">
        <f aca="false">'Historical Prices Outview - ALL'!AO95/'Historical Prices Outview - ALL'!$AR95*1000</f>
        <v>999.673147411891</v>
      </c>
      <c r="AO11" s="67" t="n">
        <f aca="false">'Historical Prices Outview - ALL'!AP95/'Historical Prices Outview - ALL'!$AR95*1000</f>
        <v>924.796438130788</v>
      </c>
      <c r="AP11" s="59" t="n">
        <f aca="false">'Historical Prices Outview - ALL'!AQ95/'Historical Prices Outview - ALL'!$AR95*1000</f>
        <v>1031.39844841154</v>
      </c>
      <c r="AQ11" s="94" t="n">
        <v>1000</v>
      </c>
    </row>
    <row r="12" customFormat="false" ht="12.8" hidden="false" customHeight="false" outlineLevel="0" collapsed="false">
      <c r="A12" s="1" t="s">
        <v>121</v>
      </c>
      <c r="B12" s="67" t="n">
        <f aca="false">'Historical Prices Outview - ALL'!C96/'Historical Prices Outview - ALL'!$AR96*1000</f>
        <v>1548.61453853205</v>
      </c>
      <c r="C12" s="94" t="n">
        <f aca="false">'Historical Prices Outview - ALL'!D96/'Historical Prices Outview - ALL'!$AR96*1000</f>
        <v>1443.23568812705</v>
      </c>
      <c r="D12" s="59" t="n">
        <f aca="false">'Historical Prices Outview - ALL'!E96/'Historical Prices Outview - ALL'!$AR96*1000</f>
        <v>1535.28043100481</v>
      </c>
      <c r="E12" s="59" t="n">
        <f aca="false">'Historical Prices Outview - ALL'!F96/'Historical Prices Outview - ALL'!$AR96*1000</f>
        <v>1529.36199509769</v>
      </c>
      <c r="F12" s="59" t="n">
        <f aca="false">'Historical Prices Outview - ALL'!G96/'Historical Prices Outview - ALL'!$AR96*1000</f>
        <v>1512.61866940953</v>
      </c>
      <c r="G12" s="59" t="n">
        <f aca="false">'Historical Prices Outview - ALL'!H96/'Historical Prices Outview - ALL'!$AR96*1000</f>
        <v>1504.50622327476</v>
      </c>
      <c r="H12" s="59" t="n">
        <f aca="false">'Historical Prices Outview - ALL'!I96/'Historical Prices Outview - ALL'!$AR96*1000</f>
        <v>1533.93996955759</v>
      </c>
      <c r="I12" s="68" t="n">
        <f aca="false">'Historical Prices Outview - ALL'!J96/'Historical Prices Outview - ALL'!$AR96*1000</f>
        <v>1440.86748427073</v>
      </c>
      <c r="J12" s="67" t="n">
        <f aca="false">'Historical Prices Outview - ALL'!K96/'Historical Prices Outview - ALL'!$AR96*1000</f>
        <v>1385.38266607496</v>
      </c>
      <c r="K12" s="94" t="n">
        <f aca="false">'Historical Prices Outview - ALL'!L96/'Historical Prices Outview - ALL'!$AR96*1000</f>
        <v>1254.86684556076</v>
      </c>
      <c r="L12" s="59" t="n">
        <f aca="false">'Historical Prices Outview - ALL'!M96/'Historical Prices Outview - ALL'!$AR96*1000</f>
        <v>1276.30676327501</v>
      </c>
      <c r="M12" s="59" t="n">
        <f aca="false">'Historical Prices Outview - ALL'!N96/'Historical Prices Outview - ALL'!$AR96*1000</f>
        <v>1262.97597372165</v>
      </c>
      <c r="N12" s="94" t="n">
        <f aca="false">'Historical Prices Outview - ALL'!O96/'Historical Prices Outview - ALL'!$AR96*1000</f>
        <v>1298.49156612515</v>
      </c>
      <c r="O12" s="59" t="n">
        <f aca="false">'Historical Prices Outview - ALL'!P96/'Historical Prices Outview - ALL'!$AR96*1000</f>
        <v>1339.45776011878</v>
      </c>
      <c r="P12" s="68" t="n">
        <f aca="false">'Historical Prices Outview - ALL'!Q96/'Historical Prices Outview - ALL'!$AR96*1000</f>
        <v>1287.572943582</v>
      </c>
      <c r="Q12" s="67" t="n">
        <f aca="false">'Historical Prices Outview - ALL'!R96/'Historical Prices Outview - ALL'!$AR96*1000</f>
        <v>1167.23998490322</v>
      </c>
      <c r="R12" s="59" t="n">
        <f aca="false">'Historical Prices Outview - ALL'!S96/'Historical Prices Outview - ALL'!$AR96*1000</f>
        <v>1004.87825109597</v>
      </c>
      <c r="S12" s="94" t="n">
        <f aca="false">'Historical Prices Outview - ALL'!T96/'Historical Prices Outview - ALL'!$AR96*1000</f>
        <v>1094.01478986857</v>
      </c>
      <c r="T12" s="59" t="n">
        <f aca="false">'Historical Prices Outview - ALL'!U96/'Historical Prices Outview - ALL'!$AR96*1000</f>
        <v>1060.4053734587</v>
      </c>
      <c r="U12" s="59" t="n">
        <f aca="false">'Historical Prices Outview - ALL'!V96/'Historical Prices Outview - ALL'!$AR96*1000</f>
        <v>1195.6940993982</v>
      </c>
      <c r="V12" s="94" t="n">
        <f aca="false">'Historical Prices Outview - ALL'!W96/'Historical Prices Outview - ALL'!$AR96*1000</f>
        <v>1208.34221582591</v>
      </c>
      <c r="W12" s="94" t="n">
        <f aca="false">'Historical Prices Outview - ALL'!X96/'Historical Prices Outview - ALL'!$AR96*1000</f>
        <v>1165.61251871545</v>
      </c>
      <c r="X12" s="66" t="n">
        <f aca="false">'Historical Prices Outview - ALL'!Y96/'Historical Prices Outview - ALL'!$AR96*1000</f>
        <v>1213.66175744781</v>
      </c>
      <c r="Y12" s="67" t="n">
        <f aca="false">'Historical Prices Outview - ALL'!Z96/'Historical Prices Outview - ALL'!$AR96*1000</f>
        <v>1317.63876388883</v>
      </c>
      <c r="Z12" s="59" t="n">
        <f aca="false">'Historical Prices Outview - ALL'!AA96/'Historical Prices Outview - ALL'!$AR96*1000</f>
        <v>1265.86426998353</v>
      </c>
      <c r="AA12" s="94" t="n">
        <f aca="false">'Historical Prices Outview - ALL'!AB96/'Historical Prices Outview - ALL'!$AR96*1000</f>
        <v>1302.42253567859</v>
      </c>
      <c r="AB12" s="59" t="n">
        <f aca="false">'Historical Prices Outview - ALL'!AC96/'Historical Prices Outview - ALL'!$AR96*1000</f>
        <v>1288.28962593992</v>
      </c>
      <c r="AC12" s="68" t="n">
        <f aca="false">'Historical Prices Outview - ALL'!AD96/'Historical Prices Outview - ALL'!$AR96*1000</f>
        <v>1279.17266321321</v>
      </c>
      <c r="AD12" s="67" t="n">
        <f aca="false">'Historical Prices Outview - ALL'!AE96/'Historical Prices Outview - ALL'!$AR96*1000</f>
        <v>1137.96384237965</v>
      </c>
      <c r="AE12" s="59" t="n">
        <f aca="false">'Historical Prices Outview - ALL'!AF96/'Historical Prices Outview - ALL'!$AR96*1000</f>
        <v>1058.49422050425</v>
      </c>
      <c r="AF12" s="94" t="n">
        <f aca="false">'Historical Prices Outview - ALL'!AG96/'Historical Prices Outview - ALL'!$AR96*1000</f>
        <v>1087.98437234303</v>
      </c>
      <c r="AG12" s="59" t="n">
        <f aca="false">'Historical Prices Outview - ALL'!AH96/'Historical Prices Outview - ALL'!$AR96*1000</f>
        <v>1021.18360423208</v>
      </c>
      <c r="AH12" s="59" t="n">
        <f aca="false">'Historical Prices Outview - ALL'!AI96/'Historical Prices Outview - ALL'!$AR96*1000</f>
        <v>824.171439710341</v>
      </c>
      <c r="AI12" s="134" t="n">
        <f aca="false">'Historical Prices Outview - ALL'!AJ96/'Historical Prices Outview - ALL'!$AR96*1000</f>
        <v>990.806723874066</v>
      </c>
      <c r="AJ12" s="67" t="n">
        <f aca="false">'Historical Prices Outview - ALL'!AK96/'Historical Prices Outview - ALL'!$AR96*1000</f>
        <v>1098.99672764826</v>
      </c>
      <c r="AK12" s="59" t="n">
        <f aca="false">'Historical Prices Outview - ALL'!AL96/'Historical Prices Outview - ALL'!$AR96*1000</f>
        <v>1030.90112023093</v>
      </c>
      <c r="AL12" s="94" t="n">
        <f aca="false">'Historical Prices Outview - ALL'!AM96/'Historical Prices Outview - ALL'!$AR96*1000</f>
        <v>1034.25642131632</v>
      </c>
      <c r="AM12" s="59" t="n">
        <f aca="false">'Historical Prices Outview - ALL'!AN96/'Historical Prices Outview - ALL'!$AR96*1000</f>
        <v>1028.47236335132</v>
      </c>
      <c r="AN12" s="68" t="n">
        <f aca="false">'Historical Prices Outview - ALL'!AO96/'Historical Prices Outview - ALL'!$AR96*1000</f>
        <v>956.07749127995</v>
      </c>
      <c r="AO12" s="67" t="n">
        <f aca="false">'Historical Prices Outview - ALL'!AP96/'Historical Prices Outview - ALL'!$AR96*1000</f>
        <v>875.858836801307</v>
      </c>
      <c r="AP12" s="59" t="n">
        <f aca="false">'Historical Prices Outview - ALL'!AQ96/'Historical Prices Outview - ALL'!$AR96*1000</f>
        <v>1015.85825615588</v>
      </c>
      <c r="AQ12" s="123" t="n">
        <v>1000</v>
      </c>
    </row>
    <row r="13" customFormat="false" ht="12.8" hidden="false" customHeight="false" outlineLevel="0" collapsed="false">
      <c r="A13" s="1" t="s">
        <v>122</v>
      </c>
      <c r="B13" s="67" t="n">
        <f aca="false">'Historical Prices Outview - ALL'!C97/'Historical Prices Outview - ALL'!$AR97*1000</f>
        <v>1401.10395411515</v>
      </c>
      <c r="C13" s="94" t="n">
        <f aca="false">'Historical Prices Outview - ALL'!D97/'Historical Prices Outview - ALL'!$AR97*1000</f>
        <v>1341.74718287126</v>
      </c>
      <c r="D13" s="59" t="n">
        <f aca="false">'Historical Prices Outview - ALL'!E97/'Historical Prices Outview - ALL'!$AR97*1000</f>
        <v>1413.53610654415</v>
      </c>
      <c r="E13" s="59" t="n">
        <f aca="false">'Historical Prices Outview - ALL'!F97/'Historical Prices Outview - ALL'!$AR97*1000</f>
        <v>1420.91582021426</v>
      </c>
      <c r="F13" s="59" t="n">
        <f aca="false">'Historical Prices Outview - ALL'!G97/'Historical Prices Outview - ALL'!$AR97*1000</f>
        <v>1403.75967508239</v>
      </c>
      <c r="G13" s="59" t="n">
        <f aca="false">'Historical Prices Outview - ALL'!H97/'Historical Prices Outview - ALL'!$AR97*1000</f>
        <v>1521.3208411222</v>
      </c>
      <c r="H13" s="59" t="n">
        <f aca="false">'Historical Prices Outview - ALL'!I97/'Historical Prices Outview - ALL'!$AR97*1000</f>
        <v>1525.87591871054</v>
      </c>
      <c r="I13" s="68" t="n">
        <f aca="false">'Historical Prices Outview - ALL'!J97/'Historical Prices Outview - ALL'!$AR97*1000</f>
        <v>1484.87646674624</v>
      </c>
      <c r="J13" s="67" t="n">
        <f aca="false">'Historical Prices Outview - ALL'!K97/'Historical Prices Outview - ALL'!$AR97*1000</f>
        <v>1414.22490484449</v>
      </c>
      <c r="K13" s="94" t="n">
        <f aca="false">'Historical Prices Outview - ALL'!L97/'Historical Prices Outview - ALL'!$AR97*1000</f>
        <v>1317.80065013551</v>
      </c>
      <c r="L13" s="59" t="n">
        <f aca="false">'Historical Prices Outview - ALL'!M97/'Historical Prices Outview - ALL'!$AR97*1000</f>
        <v>1339.13275226534</v>
      </c>
      <c r="M13" s="59" t="n">
        <f aca="false">'Historical Prices Outview - ALL'!N97/'Historical Prices Outview - ALL'!$AR97*1000</f>
        <v>1327.67655383137</v>
      </c>
      <c r="N13" s="94" t="n">
        <f aca="false">'Historical Prices Outview - ALL'!O97/'Historical Prices Outview - ALL'!$AR97*1000</f>
        <v>1355.55693190093</v>
      </c>
      <c r="O13" s="59" t="n">
        <f aca="false">'Historical Prices Outview - ALL'!P97/'Historical Prices Outview - ALL'!$AR97*1000</f>
        <v>1388.86886931976</v>
      </c>
      <c r="P13" s="68" t="n">
        <f aca="false">'Historical Prices Outview - ALL'!Q97/'Historical Prices Outview - ALL'!$AR97*1000</f>
        <v>1374.2914949363</v>
      </c>
      <c r="Q13" s="67" t="n">
        <f aca="false">'Historical Prices Outview - ALL'!R97/'Historical Prices Outview - ALL'!$AR97*1000</f>
        <v>1233.73159763669</v>
      </c>
      <c r="R13" s="59" t="n">
        <f aca="false">'Historical Prices Outview - ALL'!S97/'Historical Prices Outview - ALL'!$AR97*1000</f>
        <v>1081.49591225423</v>
      </c>
      <c r="S13" s="94" t="n">
        <f aca="false">'Historical Prices Outview - ALL'!T97/'Historical Prices Outview - ALL'!$AR97*1000</f>
        <v>1172.21271292689</v>
      </c>
      <c r="T13" s="59" t="n">
        <f aca="false">'Historical Prices Outview - ALL'!U97/'Historical Prices Outview - ALL'!$AR97*1000</f>
        <v>1111.62286134697</v>
      </c>
      <c r="U13" s="59" t="n">
        <f aca="false">'Historical Prices Outview - ALL'!V97/'Historical Prices Outview - ALL'!$AR97*1000</f>
        <v>1249.94744863104</v>
      </c>
      <c r="V13" s="94" t="n">
        <f aca="false">'Historical Prices Outview - ALL'!W97/'Historical Prices Outview - ALL'!$AR97*1000</f>
        <v>1267.31942974257</v>
      </c>
      <c r="W13" s="94" t="n">
        <f aca="false">'Historical Prices Outview - ALL'!X97/'Historical Prices Outview - ALL'!$AR97*1000</f>
        <v>1223.89323063294</v>
      </c>
      <c r="X13" s="66" t="n">
        <f aca="false">'Historical Prices Outview - ALL'!Y97/'Historical Prices Outview - ALL'!$AR97*1000</f>
        <v>1272.61961066943</v>
      </c>
      <c r="Y13" s="67" t="n">
        <f aca="false">'Historical Prices Outview - ALL'!Z97/'Historical Prices Outview - ALL'!$AR97*1000</f>
        <v>1346.29662995578</v>
      </c>
      <c r="Z13" s="59" t="n">
        <f aca="false">'Historical Prices Outview - ALL'!AA97/'Historical Prices Outview - ALL'!$AR97*1000</f>
        <v>1223.69803983394</v>
      </c>
      <c r="AA13" s="94" t="n">
        <f aca="false">'Historical Prices Outview - ALL'!AB97/'Historical Prices Outview - ALL'!$AR97*1000</f>
        <v>1253.14932846858</v>
      </c>
      <c r="AB13" s="59" t="n">
        <f aca="false">'Historical Prices Outview - ALL'!AC97/'Historical Prices Outview - ALL'!$AR97*1000</f>
        <v>1221.41205528404</v>
      </c>
      <c r="AC13" s="68" t="n">
        <f aca="false">'Historical Prices Outview - ALL'!AD97/'Historical Prices Outview - ALL'!$AR97*1000</f>
        <v>1138.71872255129</v>
      </c>
      <c r="AD13" s="67" t="n">
        <f aca="false">'Historical Prices Outview - ALL'!AE97/'Historical Prices Outview - ALL'!$AR97*1000</f>
        <v>1050.91664602149</v>
      </c>
      <c r="AE13" s="59" t="n">
        <f aca="false">'Historical Prices Outview - ALL'!AF97/'Historical Prices Outview - ALL'!$AR97*1000</f>
        <v>901.526241901459</v>
      </c>
      <c r="AF13" s="94" t="n">
        <f aca="false">'Historical Prices Outview - ALL'!AG97/'Historical Prices Outview - ALL'!$AR97*1000</f>
        <v>934.322049803683</v>
      </c>
      <c r="AG13" s="59" t="n">
        <f aca="false">'Historical Prices Outview - ALL'!AH97/'Historical Prices Outview - ALL'!$AR97*1000</f>
        <v>926.403684601698</v>
      </c>
      <c r="AH13" s="59" t="n">
        <f aca="false">'Historical Prices Outview - ALL'!AI97/'Historical Prices Outview - ALL'!$AR97*1000</f>
        <v>825.079014736905</v>
      </c>
      <c r="AI13" s="134" t="n">
        <f aca="false">'Historical Prices Outview - ALL'!AJ97/'Historical Prices Outview - ALL'!$AR97*1000</f>
        <v>1006.18980053002</v>
      </c>
      <c r="AJ13" s="67" t="n">
        <f aca="false">'Historical Prices Outview - ALL'!AK97/'Historical Prices Outview - ALL'!$AR97*1000</f>
        <v>1122.76375156716</v>
      </c>
      <c r="AK13" s="59" t="n">
        <f aca="false">'Historical Prices Outview - ALL'!AL97/'Historical Prices Outview - ALL'!$AR97*1000</f>
        <v>1065.62727566196</v>
      </c>
      <c r="AL13" s="94" t="n">
        <f aca="false">'Historical Prices Outview - ALL'!AM97/'Historical Prices Outview - ALL'!$AR97*1000</f>
        <v>1061.43630398715</v>
      </c>
      <c r="AM13" s="59" t="n">
        <f aca="false">'Historical Prices Outview - ALL'!AN97/'Historical Prices Outview - ALL'!$AR97*1000</f>
        <v>1039.57305766387</v>
      </c>
      <c r="AN13" s="68" t="n">
        <f aca="false">'Historical Prices Outview - ALL'!AO97/'Historical Prices Outview - ALL'!$AR97*1000</f>
        <v>1004.20598635166</v>
      </c>
      <c r="AO13" s="67" t="n">
        <f aca="false">'Historical Prices Outview - ALL'!AP97/'Historical Prices Outview - ALL'!$AR97*1000</f>
        <v>878.122114366794</v>
      </c>
      <c r="AP13" s="59" t="n">
        <f aca="false">'Historical Prices Outview - ALL'!AQ97/'Historical Prices Outview - ALL'!$AR97*1000</f>
        <v>1031.03721387656</v>
      </c>
      <c r="AQ13" s="94" t="n">
        <v>1000</v>
      </c>
    </row>
    <row r="14" customFormat="false" ht="12.8" hidden="false" customHeight="false" outlineLevel="0" collapsed="false">
      <c r="A14" s="1" t="s">
        <v>123</v>
      </c>
      <c r="B14" s="67" t="n">
        <f aca="false">'Historical Prices Outview - ALL'!C98/'Historical Prices Outview - ALL'!$AR98*1000</f>
        <v>1453.04588322814</v>
      </c>
      <c r="C14" s="94" t="n">
        <f aca="false">'Historical Prices Outview - ALL'!D98/'Historical Prices Outview - ALL'!$AR98*1000</f>
        <v>1371.33738091239</v>
      </c>
      <c r="D14" s="59" t="n">
        <f aca="false">'Historical Prices Outview - ALL'!E98/'Historical Prices Outview - ALL'!$AR98*1000</f>
        <v>1461.72998008207</v>
      </c>
      <c r="E14" s="59" t="n">
        <f aca="false">'Historical Prices Outview - ALL'!F98/'Historical Prices Outview - ALL'!$AR98*1000</f>
        <v>1467.28540231816</v>
      </c>
      <c r="F14" s="59" t="n">
        <f aca="false">'Historical Prices Outview - ALL'!G98/'Historical Prices Outview - ALL'!$AR98*1000</f>
        <v>1468.05332245447</v>
      </c>
      <c r="G14" s="59" t="n">
        <f aca="false">'Historical Prices Outview - ALL'!H98/'Historical Prices Outview - ALL'!$AR98*1000</f>
        <v>1502.29476134482</v>
      </c>
      <c r="H14" s="59" t="n">
        <f aca="false">'Historical Prices Outview - ALL'!I98/'Historical Prices Outview - ALL'!$AR98*1000</f>
        <v>1512.44270595858</v>
      </c>
      <c r="I14" s="68" t="n">
        <f aca="false">'Historical Prices Outview - ALL'!J98/'Historical Prices Outview - ALL'!$AR98*1000</f>
        <v>1456.45652852103</v>
      </c>
      <c r="J14" s="67" t="n">
        <f aca="false">'Historical Prices Outview - ALL'!K98/'Historical Prices Outview - ALL'!$AR98*1000</f>
        <v>1354.17316599074</v>
      </c>
      <c r="K14" s="94" t="n">
        <f aca="false">'Historical Prices Outview - ALL'!L98/'Historical Prices Outview - ALL'!$AR98*1000</f>
        <v>1233.64270115908</v>
      </c>
      <c r="L14" s="59" t="n">
        <f aca="false">'Historical Prices Outview - ALL'!M98/'Historical Prices Outview - ALL'!$AR98*1000</f>
        <v>1252.26776415253</v>
      </c>
      <c r="M14" s="59" t="n">
        <f aca="false">'Historical Prices Outview - ALL'!N98/'Historical Prices Outview - ALL'!$AR98*1000</f>
        <v>1238.62518298097</v>
      </c>
      <c r="N14" s="94" t="n">
        <f aca="false">'Historical Prices Outview - ALL'!O98/'Historical Prices Outview - ALL'!$AR98*1000</f>
        <v>1266.91224112692</v>
      </c>
      <c r="O14" s="59" t="n">
        <f aca="false">'Historical Prices Outview - ALL'!P98/'Historical Prices Outview - ALL'!$AR98*1000</f>
        <v>1319.58976266468</v>
      </c>
      <c r="P14" s="68" t="n">
        <f aca="false">'Historical Prices Outview - ALL'!Q98/'Historical Prices Outview - ALL'!$AR98*1000</f>
        <v>1294.38038444002</v>
      </c>
      <c r="Q14" s="67" t="n">
        <f aca="false">'Historical Prices Outview - ALL'!R98/'Historical Prices Outview - ALL'!$AR98*1000</f>
        <v>1154.90089030741</v>
      </c>
      <c r="R14" s="59" t="n">
        <f aca="false">'Historical Prices Outview - ALL'!S98/'Historical Prices Outview - ALL'!$AR98*1000</f>
        <v>995.356482925776</v>
      </c>
      <c r="S14" s="94" t="n">
        <f aca="false">'Historical Prices Outview - ALL'!T98/'Historical Prices Outview - ALL'!$AR98*1000</f>
        <v>1075.74212281923</v>
      </c>
      <c r="T14" s="59" t="n">
        <f aca="false">'Historical Prices Outview - ALL'!U98/'Historical Prices Outview - ALL'!$AR98*1000</f>
        <v>1036.35021957716</v>
      </c>
      <c r="U14" s="59" t="n">
        <f aca="false">'Historical Prices Outview - ALL'!V98/'Historical Prices Outview - ALL'!$AR98*1000</f>
        <v>1170.63425403758</v>
      </c>
      <c r="V14" s="94" t="n">
        <f aca="false">'Historical Prices Outview - ALL'!W98/'Historical Prices Outview - ALL'!$AR98*1000</f>
        <v>1191.08312735476</v>
      </c>
      <c r="W14" s="94" t="n">
        <f aca="false">'Historical Prices Outview - ALL'!X98/'Historical Prices Outview - ALL'!$AR98*1000</f>
        <v>1148.66753857599</v>
      </c>
      <c r="X14" s="66" t="n">
        <f aca="false">'Historical Prices Outview - ALL'!Y98/'Historical Prices Outview - ALL'!$AR98*1000</f>
        <v>1191.89904249958</v>
      </c>
      <c r="Y14" s="67" t="n">
        <f aca="false">'Historical Prices Outview - ALL'!Z98/'Historical Prices Outview - ALL'!$AR98*1000</f>
        <v>1291.68666458688</v>
      </c>
      <c r="Z14" s="59" t="n">
        <f aca="false">'Historical Prices Outview - ALL'!AA98/'Historical Prices Outview - ALL'!$AR98*1000</f>
        <v>1214.29771303784</v>
      </c>
      <c r="AA14" s="94" t="n">
        <f aca="false">'Historical Prices Outview - ALL'!AB98/'Historical Prices Outview - ALL'!$AR98*1000</f>
        <v>1256.72830025677</v>
      </c>
      <c r="AB14" s="59" t="n">
        <f aca="false">'Historical Prices Outview - ALL'!AC98/'Historical Prices Outview - ALL'!$AR98*1000</f>
        <v>1219.16320702647</v>
      </c>
      <c r="AC14" s="68" t="n">
        <f aca="false">'Historical Prices Outview - ALL'!AD98/'Historical Prices Outview - ALL'!$AR98*1000</f>
        <v>1175.64073336373</v>
      </c>
      <c r="AD14" s="67" t="n">
        <f aca="false">'Historical Prices Outview - ALL'!AE98/'Historical Prices Outview - ALL'!$AR98*1000</f>
        <v>1071.36557797989</v>
      </c>
      <c r="AE14" s="59" t="n">
        <f aca="false">'Historical Prices Outview - ALL'!AF98/'Historical Prices Outview - ALL'!$AR98*1000</f>
        <v>957.983369729548</v>
      </c>
      <c r="AF14" s="94" t="n">
        <f aca="false">'Historical Prices Outview - ALL'!AG98/'Historical Prices Outview - ALL'!$AR98*1000</f>
        <v>985.004559525809</v>
      </c>
      <c r="AG14" s="59" t="n">
        <f aca="false">'Historical Prices Outview - ALL'!AH98/'Historical Prices Outview - ALL'!$AR98*1000</f>
        <v>970.120107508819</v>
      </c>
      <c r="AH14" s="59" t="n">
        <f aca="false">'Historical Prices Outview - ALL'!AI98/'Historical Prices Outview - ALL'!$AR98*1000</f>
        <v>835.983057761993</v>
      </c>
      <c r="AI14" s="134" t="n">
        <f aca="false">'Historical Prices Outview - ALL'!AJ98/'Historical Prices Outview - ALL'!$AR98*1000</f>
        <v>1008.96906721701</v>
      </c>
      <c r="AJ14" s="67" t="n">
        <f aca="false">'Historical Prices Outview - ALL'!AK98/'Historical Prices Outview - ALL'!$AR98*1000</f>
        <v>1124.42405989777</v>
      </c>
      <c r="AK14" s="59" t="n">
        <f aca="false">'Historical Prices Outview - ALL'!AL98/'Historical Prices Outview - ALL'!$AR98*1000</f>
        <v>1070.72364474095</v>
      </c>
      <c r="AL14" s="94" t="n">
        <f aca="false">'Historical Prices Outview - ALL'!AM98/'Historical Prices Outview - ALL'!$AR98*1000</f>
        <v>1064.9222480862</v>
      </c>
      <c r="AM14" s="59" t="n">
        <f aca="false">'Historical Prices Outview - ALL'!AN98/'Historical Prices Outview - ALL'!$AR98*1000</f>
        <v>1041.99863214226</v>
      </c>
      <c r="AN14" s="68" t="n">
        <f aca="false">'Historical Prices Outview - ALL'!AO98/'Historical Prices Outview - ALL'!$AR98*1000</f>
        <v>1005.4084375225</v>
      </c>
      <c r="AO14" s="67" t="n">
        <f aca="false">'Historical Prices Outview - ALL'!AP98/'Historical Prices Outview - ALL'!$AR98*1000</f>
        <v>895.865829953685</v>
      </c>
      <c r="AP14" s="59" t="n">
        <f aca="false">'Historical Prices Outview - ALL'!AQ98/'Historical Prices Outview - ALL'!$AR98*1000</f>
        <v>1019.65395598858</v>
      </c>
      <c r="AQ14" s="94" t="n">
        <v>1000</v>
      </c>
    </row>
    <row r="15" customFormat="false" ht="12.8" hidden="false" customHeight="false" outlineLevel="0" collapsed="false">
      <c r="A15" s="1" t="s">
        <v>124</v>
      </c>
      <c r="B15" s="67" t="n">
        <f aca="false">'Historical Prices Outview - ALL'!C99/'Historical Prices Outview - ALL'!$AR99*1000</f>
        <v>1602.9642457141</v>
      </c>
      <c r="C15" s="94" t="n">
        <f aca="false">'Historical Prices Outview - ALL'!D99/'Historical Prices Outview - ALL'!$AR99*1000</f>
        <v>1378.46627627149</v>
      </c>
      <c r="D15" s="59" t="n">
        <f aca="false">'Historical Prices Outview - ALL'!E99/'Historical Prices Outview - ALL'!$AR99*1000</f>
        <v>1713.38993537622</v>
      </c>
      <c r="E15" s="59" t="n">
        <f aca="false">'Historical Prices Outview - ALL'!F99/'Historical Prices Outview - ALL'!$AR99*1000</f>
        <v>1800.84631388544</v>
      </c>
      <c r="F15" s="59" t="n">
        <f aca="false">'Historical Prices Outview - ALL'!G99/'Historical Prices Outview - ALL'!$AR99*1000</f>
        <v>1734.47811081918</v>
      </c>
      <c r="G15" s="59" t="n">
        <f aca="false">'Historical Prices Outview - ALL'!H99/'Historical Prices Outview - ALL'!$AR99*1000</f>
        <v>1645.48588775759</v>
      </c>
      <c r="H15" s="59" t="n">
        <f aca="false">'Historical Prices Outview - ALL'!I99/'Historical Prices Outview - ALL'!$AR99*1000</f>
        <v>1768.93536394915</v>
      </c>
      <c r="I15" s="68" t="n">
        <f aca="false">'Historical Prices Outview - ALL'!J99/'Historical Prices Outview - ALL'!$AR99*1000</f>
        <v>1713.25234473729</v>
      </c>
      <c r="J15" s="67" t="n">
        <f aca="false">'Historical Prices Outview - ALL'!K99/'Historical Prices Outview - ALL'!$AR99*1000</f>
        <v>1469.66170230293</v>
      </c>
      <c r="K15" s="94" t="n">
        <f aca="false">'Historical Prices Outview - ALL'!L99/'Historical Prices Outview - ALL'!$AR99*1000</f>
        <v>1391.09087467333</v>
      </c>
      <c r="L15" s="59" t="n">
        <f aca="false">'Historical Prices Outview - ALL'!M99/'Historical Prices Outview - ALL'!$AR99*1000</f>
        <v>1395.95869125888</v>
      </c>
      <c r="M15" s="59" t="n">
        <f aca="false">'Historical Prices Outview - ALL'!N99/'Historical Prices Outview - ALL'!$AR99*1000</f>
        <v>1416.00266768092</v>
      </c>
      <c r="N15" s="94" t="n">
        <f aca="false">'Historical Prices Outview - ALL'!O99/'Historical Prices Outview - ALL'!$AR99*1000</f>
        <v>1456.64624132171</v>
      </c>
      <c r="O15" s="59" t="n">
        <f aca="false">'Historical Prices Outview - ALL'!P99/'Historical Prices Outview - ALL'!$AR99*1000</f>
        <v>1454.2997512852</v>
      </c>
      <c r="P15" s="68" t="n">
        <f aca="false">'Historical Prices Outview - ALL'!Q99/'Historical Prices Outview - ALL'!$AR99*1000</f>
        <v>1228.7404935385</v>
      </c>
      <c r="Q15" s="67" t="n">
        <f aca="false">'Historical Prices Outview - ALL'!R99/'Historical Prices Outview - ALL'!$AR99*1000</f>
        <v>1143.39004054104</v>
      </c>
      <c r="R15" s="59" t="n">
        <f aca="false">'Historical Prices Outview - ALL'!S99/'Historical Prices Outview - ALL'!$AR99*1000</f>
        <v>1136.534170679</v>
      </c>
      <c r="S15" s="94" t="n">
        <f aca="false">'Historical Prices Outview - ALL'!T99/'Historical Prices Outview - ALL'!$AR99*1000</f>
        <v>1253.8551670105</v>
      </c>
      <c r="T15" s="59" t="n">
        <f aca="false">'Historical Prices Outview - ALL'!U99/'Historical Prices Outview - ALL'!$AR99*1000</f>
        <v>1156.50803722134</v>
      </c>
      <c r="U15" s="59" t="n">
        <f aca="false">'Historical Prices Outview - ALL'!V99/'Historical Prices Outview - ALL'!$AR99*1000</f>
        <v>1219.09819414477</v>
      </c>
      <c r="V15" s="94" t="n">
        <f aca="false">'Historical Prices Outview - ALL'!W99/'Historical Prices Outview - ALL'!$AR99*1000</f>
        <v>1160.16514382165</v>
      </c>
      <c r="W15" s="94" t="n">
        <f aca="false">'Historical Prices Outview - ALL'!X99/'Historical Prices Outview - ALL'!$AR99*1000</f>
        <v>1137.99289436369</v>
      </c>
      <c r="X15" s="66" t="n">
        <f aca="false">'Historical Prices Outview - ALL'!Y99/'Historical Prices Outview - ALL'!$AR99*1000</f>
        <v>1158.9868596558</v>
      </c>
      <c r="Y15" s="67" t="n">
        <f aca="false">'Historical Prices Outview - ALL'!Z99/'Historical Prices Outview - ALL'!$AR99*1000</f>
        <v>1261.61457794729</v>
      </c>
      <c r="Z15" s="59" t="n">
        <f aca="false">'Historical Prices Outview - ALL'!AA99/'Historical Prices Outview - ALL'!$AR99*1000</f>
        <v>1290.57653106832</v>
      </c>
      <c r="AA15" s="94" t="n">
        <f aca="false">'Historical Prices Outview - ALL'!AB99/'Historical Prices Outview - ALL'!$AR99*1000</f>
        <v>1334.16340509664</v>
      </c>
      <c r="AB15" s="59" t="n">
        <f aca="false">'Historical Prices Outview - ALL'!AC99/'Historical Prices Outview - ALL'!$AR99*1000</f>
        <v>1261.60669058582</v>
      </c>
      <c r="AC15" s="68" t="n">
        <f aca="false">'Historical Prices Outview - ALL'!AD99/'Historical Prices Outview - ALL'!$AR99*1000</f>
        <v>1278.57634878263</v>
      </c>
      <c r="AD15" s="67" t="n">
        <f aca="false">'Historical Prices Outview - ALL'!AE99/'Historical Prices Outview - ALL'!$AR99*1000</f>
        <v>1202.56716088289</v>
      </c>
      <c r="AE15" s="59" t="n">
        <f aca="false">'Historical Prices Outview - ALL'!AF99/'Historical Prices Outview - ALL'!$AR99*1000</f>
        <v>1015.94123389883</v>
      </c>
      <c r="AF15" s="94" t="n">
        <f aca="false">'Historical Prices Outview - ALL'!AG99/'Historical Prices Outview - ALL'!$AR99*1000</f>
        <v>1023.61738935346</v>
      </c>
      <c r="AG15" s="59" t="n">
        <f aca="false">'Historical Prices Outview - ALL'!AH99/'Historical Prices Outview - ALL'!$AR99*1000</f>
        <v>976.636758960481</v>
      </c>
      <c r="AH15" s="59" t="n">
        <f aca="false">'Historical Prices Outview - ALL'!AI99/'Historical Prices Outview - ALL'!$AR99*1000</f>
        <v>828.91830972091</v>
      </c>
      <c r="AI15" s="134" t="n">
        <f aca="false">'Historical Prices Outview - ALL'!AJ99/'Historical Prices Outview - ALL'!$AR99*1000</f>
        <v>930.670092702789</v>
      </c>
      <c r="AJ15" s="67" t="n">
        <f aca="false">'Historical Prices Outview - ALL'!AK99/'Historical Prices Outview - ALL'!$AR99*1000</f>
        <v>1036.60173907557</v>
      </c>
      <c r="AK15" s="59" t="n">
        <f aca="false">'Historical Prices Outview - ALL'!AL99/'Historical Prices Outview - ALL'!$AR99*1000</f>
        <v>953.312078354802</v>
      </c>
      <c r="AL15" s="94" t="n">
        <f aca="false">'Historical Prices Outview - ALL'!AM99/'Historical Prices Outview - ALL'!$AR99*1000</f>
        <v>963.497729316271</v>
      </c>
      <c r="AM15" s="59" t="n">
        <f aca="false">'Historical Prices Outview - ALL'!AN99/'Historical Prices Outview - ALL'!$AR99*1000</f>
        <v>932.282619936095</v>
      </c>
      <c r="AN15" s="68" t="n">
        <f aca="false">'Historical Prices Outview - ALL'!AO99/'Historical Prices Outview - ALL'!$AR99*1000</f>
        <v>920.356929397598</v>
      </c>
      <c r="AO15" s="67" t="n">
        <f aca="false">'Historical Prices Outview - ALL'!AP99/'Historical Prices Outview - ALL'!$AR99*1000</f>
        <v>877.020698189237</v>
      </c>
      <c r="AP15" s="59" t="n">
        <f aca="false">'Historical Prices Outview - ALL'!AQ99/'Historical Prices Outview - ALL'!$AR99*1000</f>
        <v>1056.90818935977</v>
      </c>
      <c r="AQ15" s="123" t="n">
        <v>1000</v>
      </c>
    </row>
    <row r="16" customFormat="false" ht="12.8" hidden="false" customHeight="false" outlineLevel="0" collapsed="false">
      <c r="A16" s="1" t="s">
        <v>125</v>
      </c>
      <c r="B16" s="67" t="n">
        <f aca="false">'Historical Prices Outview - ALL'!C100/'Historical Prices Outview - ALL'!$AR100*1000</f>
        <v>1136.45580574551</v>
      </c>
      <c r="C16" s="94" t="n">
        <f aca="false">'Historical Prices Outview - ALL'!D100/'Historical Prices Outview - ALL'!$AR100*1000</f>
        <v>1200.8891453006</v>
      </c>
      <c r="D16" s="59" t="n">
        <f aca="false">'Historical Prices Outview - ALL'!E100/'Historical Prices Outview - ALL'!$AR100*1000</f>
        <v>1249.45701050345</v>
      </c>
      <c r="E16" s="59" t="n">
        <f aca="false">'Historical Prices Outview - ALL'!F100/'Historical Prices Outview - ALL'!$AR100*1000</f>
        <v>1251.93440008145</v>
      </c>
      <c r="F16" s="59" t="n">
        <f aca="false">'Historical Prices Outview - ALL'!G100/'Historical Prices Outview - ALL'!$AR100*1000</f>
        <v>1336.54319311761</v>
      </c>
      <c r="G16" s="59" t="n">
        <f aca="false">'Historical Prices Outview - ALL'!H100/'Historical Prices Outview - ALL'!$AR100*1000</f>
        <v>1459.03822985424</v>
      </c>
      <c r="H16" s="59" t="n">
        <f aca="false">'Historical Prices Outview - ALL'!I100/'Historical Prices Outview - ALL'!$AR100*1000</f>
        <v>1413.69436478713</v>
      </c>
      <c r="I16" s="68" t="n">
        <f aca="false">'Historical Prices Outview - ALL'!J100/'Historical Prices Outview - ALL'!$AR100*1000</f>
        <v>1332.99679296829</v>
      </c>
      <c r="J16" s="67" t="n">
        <f aca="false">'Historical Prices Outview - ALL'!K100/'Historical Prices Outview - ALL'!$AR100*1000</f>
        <v>1315.8968659325</v>
      </c>
      <c r="K16" s="94" t="n">
        <f aca="false">'Historical Prices Outview - ALL'!L100/'Historical Prices Outview - ALL'!$AR100*1000</f>
        <v>1346.45275142959</v>
      </c>
      <c r="L16" s="59" t="n">
        <f aca="false">'Historical Prices Outview - ALL'!M100/'Historical Prices Outview - ALL'!$AR100*1000</f>
        <v>1329.16192964892</v>
      </c>
      <c r="M16" s="59" t="n">
        <f aca="false">'Historical Prices Outview - ALL'!N100/'Historical Prices Outview - ALL'!$AR100*1000</f>
        <v>1294.6524018801</v>
      </c>
      <c r="N16" s="94" t="n">
        <f aca="false">'Historical Prices Outview - ALL'!O100/'Historical Prices Outview - ALL'!$AR100*1000</f>
        <v>1335.55054044423</v>
      </c>
      <c r="O16" s="59" t="n">
        <f aca="false">'Historical Prices Outview - ALL'!P100/'Historical Prices Outview - ALL'!$AR100*1000</f>
        <v>1186.67384996521</v>
      </c>
      <c r="P16" s="68" t="n">
        <f aca="false">'Historical Prices Outview - ALL'!Q100/'Historical Prices Outview - ALL'!$AR100*1000</f>
        <v>1039.60005429895</v>
      </c>
      <c r="Q16" s="67" t="n">
        <f aca="false">'Historical Prices Outview - ALL'!R100/'Historical Prices Outview - ALL'!$AR100*1000</f>
        <v>910.805490981284</v>
      </c>
      <c r="R16" s="59" t="n">
        <f aca="false">'Historical Prices Outview - ALL'!S100/'Historical Prices Outview - ALL'!$AR100*1000</f>
        <v>830.311540223644</v>
      </c>
      <c r="S16" s="94" t="n">
        <f aca="false">'Historical Prices Outview - ALL'!T100/'Historical Prices Outview - ALL'!$AR100*1000</f>
        <v>1037.99653844196</v>
      </c>
      <c r="T16" s="59" t="n">
        <f aca="false">'Historical Prices Outview - ALL'!U100/'Historical Prices Outview - ALL'!$AR100*1000</f>
        <v>935.320618329289</v>
      </c>
      <c r="U16" s="59" t="n">
        <f aca="false">'Historical Prices Outview - ALL'!V100/'Historical Prices Outview - ALL'!$AR100*1000</f>
        <v>1146.85744828873</v>
      </c>
      <c r="V16" s="94" t="n">
        <f aca="false">'Historical Prices Outview - ALL'!W100/'Historical Prices Outview - ALL'!$AR100*1000</f>
        <v>1048.0036651791</v>
      </c>
      <c r="W16" s="94" t="n">
        <f aca="false">'Historical Prices Outview - ALL'!X100/'Historical Prices Outview - ALL'!$AR100*1000</f>
        <v>873.076205182156</v>
      </c>
      <c r="X16" s="66" t="n">
        <f aca="false">'Historical Prices Outview - ALL'!Y100/'Historical Prices Outview - ALL'!$AR100*1000</f>
        <v>1308.57923404544</v>
      </c>
      <c r="Y16" s="67" t="n">
        <f aca="false">'Historical Prices Outview - ALL'!Z100/'Historical Prices Outview - ALL'!$AR100*1000</f>
        <v>1606.59562554087</v>
      </c>
      <c r="Z16" s="59" t="n">
        <f aca="false">'Historical Prices Outview - ALL'!AA100/'Historical Prices Outview - ALL'!$AR100*1000</f>
        <v>1740.75645224238</v>
      </c>
      <c r="AA16" s="94" t="n">
        <f aca="false">'Historical Prices Outview - ALL'!AB100/'Historical Prices Outview - ALL'!$AR100*1000</f>
        <v>1714.30268270748</v>
      </c>
      <c r="AB16" s="59" t="n">
        <f aca="false">'Historical Prices Outview - ALL'!AC100/'Historical Prices Outview - ALL'!$AR100*1000</f>
        <v>1629.75327914751</v>
      </c>
      <c r="AC16" s="68" t="n">
        <f aca="false">'Historical Prices Outview - ALL'!AD100/'Historical Prices Outview - ALL'!$AR100*1000</f>
        <v>1502.43496852358</v>
      </c>
      <c r="AD16" s="67" t="n">
        <f aca="false">'Historical Prices Outview - ALL'!AE100/'Historical Prices Outview - ALL'!$AR100*1000</f>
        <v>1395.23696400998</v>
      </c>
      <c r="AE16" s="59" t="n">
        <f aca="false">'Historical Prices Outview - ALL'!AF100/'Historical Prices Outview - ALL'!$AR100*1000</f>
        <v>1232.6752413758</v>
      </c>
      <c r="AF16" s="94" t="n">
        <f aca="false">'Historical Prices Outview - ALL'!AG100/'Historical Prices Outview - ALL'!$AR100*1000</f>
        <v>1252.18044219707</v>
      </c>
      <c r="AG16" s="59" t="n">
        <f aca="false">'Historical Prices Outview - ALL'!AH100/'Historical Prices Outview - ALL'!$AR100*1000</f>
        <v>1163.69436478713</v>
      </c>
      <c r="AH16" s="59" t="n">
        <f aca="false">'Historical Prices Outview - ALL'!AI100/'Historical Prices Outview - ALL'!$AR100*1000</f>
        <v>1064.26365533742</v>
      </c>
      <c r="AI16" s="134" t="n">
        <f aca="false">'Historical Prices Outview - ALL'!AJ100/'Historical Prices Outview - ALL'!$AR100*1000</f>
        <v>1194.87383978416</v>
      </c>
      <c r="AJ16" s="67" t="n">
        <f aca="false">'Historical Prices Outview - ALL'!AK100/'Historical Prices Outview - ALL'!$AR100*1000</f>
        <v>1292.09017019327</v>
      </c>
      <c r="AK16" s="59" t="n">
        <f aca="false">'Historical Prices Outview - ALL'!AL100/'Historical Prices Outview - ALL'!$AR100*1000</f>
        <v>1165.38272275296</v>
      </c>
      <c r="AL16" s="94" t="n">
        <f aca="false">'Historical Prices Outview - ALL'!AM100/'Historical Prices Outview - ALL'!$AR100*1000</f>
        <v>1184.2855446015</v>
      </c>
      <c r="AM16" s="59" t="n">
        <f aca="false">'Historical Prices Outview - ALL'!AN100/'Historical Prices Outview - ALL'!$AR100*1000</f>
        <v>1173.30273361275</v>
      </c>
      <c r="AN16" s="68" t="n">
        <f aca="false">'Historical Prices Outview - ALL'!AO100/'Historical Prices Outview - ALL'!$AR100*1000</f>
        <v>1057.30236030747</v>
      </c>
      <c r="AO16" s="67" t="n">
        <f aca="false">'Historical Prices Outview - ALL'!AP100/'Historical Prices Outview - ALL'!$AR100*1000</f>
        <v>1000.50056844213</v>
      </c>
      <c r="AP16" s="59" t="n">
        <f aca="false">'Historical Prices Outview - ALL'!AQ100/'Historical Prices Outview - ALL'!$AR100*1000</f>
        <v>1050.07381263469</v>
      </c>
      <c r="AQ16" s="94" t="n">
        <v>1000</v>
      </c>
    </row>
    <row r="17" customFormat="false" ht="12.8" hidden="false" customHeight="false" outlineLevel="0" collapsed="false">
      <c r="A17" s="1" t="s">
        <v>126</v>
      </c>
      <c r="B17" s="67" t="n">
        <f aca="false">'Historical Prices Outview - ALL'!C101/'Historical Prices Outview - ALL'!$AR101*1000</f>
        <v>976.110512054428</v>
      </c>
      <c r="C17" s="94" t="n">
        <f aca="false">'Historical Prices Outview - ALL'!D101/'Historical Prices Outview - ALL'!$AR101*1000</f>
        <v>1032.98244746754</v>
      </c>
      <c r="D17" s="59" t="n">
        <f aca="false">'Historical Prices Outview - ALL'!E101/'Historical Prices Outview - ALL'!$AR101*1000</f>
        <v>1063.49623212228</v>
      </c>
      <c r="E17" s="59" t="n">
        <f aca="false">'Historical Prices Outview - ALL'!F101/'Historical Prices Outview - ALL'!$AR101*1000</f>
        <v>1081.87989136648</v>
      </c>
      <c r="F17" s="59" t="n">
        <f aca="false">'Historical Prices Outview - ALL'!G101/'Historical Prices Outview - ALL'!$AR101*1000</f>
        <v>1069.5458463744</v>
      </c>
      <c r="G17" s="59" t="n">
        <f aca="false">'Historical Prices Outview - ALL'!H101/'Historical Prices Outview - ALL'!$AR101*1000</f>
        <v>1083.31350781846</v>
      </c>
      <c r="H17" s="59" t="n">
        <f aca="false">'Historical Prices Outview - ALL'!I101/'Historical Prices Outview - ALL'!$AR101*1000</f>
        <v>1092.97188072558</v>
      </c>
      <c r="I17" s="68" t="n">
        <f aca="false">'Historical Prices Outview - ALL'!J101/'Historical Prices Outview - ALL'!$AR101*1000</f>
        <v>1077.27316263823</v>
      </c>
      <c r="J17" s="67" t="n">
        <f aca="false">'Historical Prices Outview - ALL'!K101/'Historical Prices Outview - ALL'!$AR101*1000</f>
        <v>1054.98722412925</v>
      </c>
      <c r="K17" s="94" t="n">
        <f aca="false">'Historical Prices Outview - ALL'!L101/'Historical Prices Outview - ALL'!$AR101*1000</f>
        <v>1138.46757524169</v>
      </c>
      <c r="L17" s="59" t="n">
        <f aca="false">'Historical Prices Outview - ALL'!M101/'Historical Prices Outview - ALL'!$AR101*1000</f>
        <v>1139.94753705312</v>
      </c>
      <c r="M17" s="59" t="n">
        <f aca="false">'Historical Prices Outview - ALL'!N101/'Historical Prices Outview - ALL'!$AR101*1000</f>
        <v>1140.98876279518</v>
      </c>
      <c r="N17" s="94" t="n">
        <f aca="false">'Historical Prices Outview - ALL'!O101/'Historical Prices Outview - ALL'!$AR101*1000</f>
        <v>1154.5092489889</v>
      </c>
      <c r="O17" s="59" t="n">
        <f aca="false">'Historical Prices Outview - ALL'!P101/'Historical Prices Outview - ALL'!$AR101*1000</f>
        <v>1187.19817584665</v>
      </c>
      <c r="P17" s="68" t="n">
        <f aca="false">'Historical Prices Outview - ALL'!Q101/'Historical Prices Outview - ALL'!$AR101*1000</f>
        <v>1251.61204608583</v>
      </c>
      <c r="Q17" s="67" t="n">
        <f aca="false">'Historical Prices Outview - ALL'!R101/'Historical Prices Outview - ALL'!$AR101*1000</f>
        <v>1191.60098499337</v>
      </c>
      <c r="R17" s="59" t="n">
        <f aca="false">'Historical Prices Outview - ALL'!S101/'Historical Prices Outview - ALL'!$AR101*1000</f>
        <v>1175.59329784309</v>
      </c>
      <c r="S17" s="94" t="n">
        <f aca="false">'Historical Prices Outview - ALL'!T101/'Historical Prices Outview - ALL'!$AR101*1000</f>
        <v>1270.20580429282</v>
      </c>
      <c r="T17" s="59" t="n">
        <f aca="false">'Historical Prices Outview - ALL'!U101/'Historical Prices Outview - ALL'!$AR101*1000</f>
        <v>1385.72933692149</v>
      </c>
      <c r="U17" s="59" t="n">
        <f aca="false">'Historical Prices Outview - ALL'!V101/'Historical Prices Outview - ALL'!$AR101*1000</f>
        <v>1304.65276511863</v>
      </c>
      <c r="V17" s="94" t="n">
        <f aca="false">'Historical Prices Outview - ALL'!W101/'Historical Prices Outview - ALL'!$AR101*1000</f>
        <v>1413.04529177493</v>
      </c>
      <c r="W17" s="94" t="n">
        <f aca="false">'Historical Prices Outview - ALL'!X101/'Historical Prices Outview - ALL'!$AR101*1000</f>
        <v>1399.41975609982</v>
      </c>
      <c r="X17" s="66" t="n">
        <f aca="false">'Historical Prices Outview - ALL'!Y101/'Historical Prices Outview - ALL'!$AR101*1000</f>
        <v>1428.37942636804</v>
      </c>
      <c r="Y17" s="67" t="n">
        <f aca="false">'Historical Prices Outview - ALL'!Z101/'Historical Prices Outview - ALL'!$AR101*1000</f>
        <v>1520.59433288945</v>
      </c>
      <c r="Z17" s="59" t="n">
        <f aca="false">'Historical Prices Outview - ALL'!AA101/'Historical Prices Outview - ALL'!$AR101*1000</f>
        <v>1503.56086845024</v>
      </c>
      <c r="AA17" s="94" t="n">
        <f aca="false">'Historical Prices Outview - ALL'!AB101/'Historical Prices Outview - ALL'!$AR101*1000</f>
        <v>1542.26851265383</v>
      </c>
      <c r="AB17" s="59" t="n">
        <f aca="false">'Historical Prices Outview - ALL'!AC101/'Historical Prices Outview - ALL'!$AR101*1000</f>
        <v>1614.06674349697</v>
      </c>
      <c r="AC17" s="68" t="n">
        <f aca="false">'Historical Prices Outview - ALL'!AD101/'Historical Prices Outview - ALL'!$AR101*1000</f>
        <v>1559.78705852183</v>
      </c>
      <c r="AD17" s="67" t="n">
        <f aca="false">'Historical Prices Outview - ALL'!AE101/'Historical Prices Outview - ALL'!$AR101*1000</f>
        <v>1579.97818678416</v>
      </c>
      <c r="AE17" s="59" t="n">
        <f aca="false">'Historical Prices Outview - ALL'!AF101/'Historical Prices Outview - ALL'!$AR101*1000</f>
        <v>1417.36467927466</v>
      </c>
      <c r="AF17" s="94" t="n">
        <f aca="false">'Historical Prices Outview - ALL'!AG101/'Historical Prices Outview - ALL'!$AR101*1000</f>
        <v>1463.61425830432</v>
      </c>
      <c r="AG17" s="59" t="n">
        <f aca="false">'Historical Prices Outview - ALL'!AH101/'Historical Prices Outview - ALL'!$AR101*1000</f>
        <v>1286.53481926855</v>
      </c>
      <c r="AH17" s="59" t="n">
        <f aca="false">'Historical Prices Outview - ALL'!AI101/'Historical Prices Outview - ALL'!$AR101*1000</f>
        <v>1138.90940100168</v>
      </c>
      <c r="AI17" s="134" t="n">
        <f aca="false">'Historical Prices Outview - ALL'!AJ101/'Historical Prices Outview - ALL'!$AR101*1000</f>
        <v>1299.74942608997</v>
      </c>
      <c r="AJ17" s="67" t="n">
        <f aca="false">'Historical Prices Outview - ALL'!AK101/'Historical Prices Outview - ALL'!$AR101*1000</f>
        <v>1261.09739631771</v>
      </c>
      <c r="AK17" s="59" t="n">
        <f aca="false">'Historical Prices Outview - ALL'!AL101/'Historical Prices Outview - ALL'!$AR101*1000</f>
        <v>1178.57175960971</v>
      </c>
      <c r="AL17" s="94" t="n">
        <f aca="false">'Historical Prices Outview - ALL'!AM101/'Historical Prices Outview - ALL'!$AR101*1000</f>
        <v>1227.34252619285</v>
      </c>
      <c r="AM17" s="59" t="n">
        <f aca="false">'Historical Prices Outview - ALL'!AN101/'Historical Prices Outview - ALL'!$AR101*1000</f>
        <v>1181.98895744569</v>
      </c>
      <c r="AN17" s="68" t="n">
        <f aca="false">'Historical Prices Outview - ALL'!AO101/'Historical Prices Outview - ALL'!$AR101*1000</f>
        <v>1151.96025421975</v>
      </c>
      <c r="AO17" s="67" t="n">
        <f aca="false">'Historical Prices Outview - ALL'!AP101/'Historical Prices Outview - ALL'!$AR101*1000</f>
        <v>930.197709303367</v>
      </c>
      <c r="AP17" s="59" t="n">
        <f aca="false">'Historical Prices Outview - ALL'!AQ101/'Historical Prices Outview - ALL'!$AR101*1000</f>
        <v>1062.50135173965</v>
      </c>
      <c r="AQ17" s="94" t="n">
        <v>1000</v>
      </c>
    </row>
    <row r="18" customFormat="false" ht="12.8" hidden="false" customHeight="false" outlineLevel="0" collapsed="false">
      <c r="A18" s="1" t="s">
        <v>127</v>
      </c>
      <c r="B18" s="67" t="n">
        <f aca="false">'Historical Prices Outview - ALL'!C102/'Historical Prices Outview - ALL'!$AR102*1000</f>
        <v>2157.02256275334</v>
      </c>
      <c r="C18" s="94" t="n">
        <f aca="false">'Historical Prices Outview - ALL'!D102/'Historical Prices Outview - ALL'!$AR102*1000</f>
        <v>1931.43636642164</v>
      </c>
      <c r="D18" s="59" t="n">
        <f aca="false">'Historical Prices Outview - ALL'!E102/'Historical Prices Outview - ALL'!$AR102*1000</f>
        <v>2184.76704121307</v>
      </c>
      <c r="E18" s="59" t="n">
        <f aca="false">'Historical Prices Outview - ALL'!F102/'Historical Prices Outview - ALL'!$AR102*1000</f>
        <v>2360.13111150557</v>
      </c>
      <c r="F18" s="59" t="n">
        <f aca="false">'Historical Prices Outview - ALL'!G102/'Historical Prices Outview - ALL'!$AR102*1000</f>
        <v>2265.56037281187</v>
      </c>
      <c r="G18" s="59" t="n">
        <f aca="false">'Historical Prices Outview - ALL'!H102/'Historical Prices Outview - ALL'!$AR102*1000</f>
        <v>1847.09047715153</v>
      </c>
      <c r="H18" s="59" t="n">
        <f aca="false">'Historical Prices Outview - ALL'!I102/'Historical Prices Outview - ALL'!$AR102*1000</f>
        <v>1937.44726482238</v>
      </c>
      <c r="I18" s="68" t="n">
        <f aca="false">'Historical Prices Outview - ALL'!J102/'Historical Prices Outview - ALL'!$AR102*1000</f>
        <v>1748.10761258884</v>
      </c>
      <c r="J18" s="67" t="n">
        <f aca="false">'Historical Prices Outview - ALL'!K102/'Historical Prices Outview - ALL'!$AR102*1000</f>
        <v>1625.63434187714</v>
      </c>
      <c r="K18" s="94" t="n">
        <f aca="false">'Historical Prices Outview - ALL'!L102/'Historical Prices Outview - ALL'!$AR102*1000</f>
        <v>1516.19805812967</v>
      </c>
      <c r="L18" s="59" t="n">
        <f aca="false">'Historical Prices Outview - ALL'!M102/'Historical Prices Outview - ALL'!$AR102*1000</f>
        <v>1466.13520144534</v>
      </c>
      <c r="M18" s="59" t="n">
        <f aca="false">'Historical Prices Outview - ALL'!N102/'Historical Prices Outview - ALL'!$AR102*1000</f>
        <v>1458.27386061621</v>
      </c>
      <c r="N18" s="94" t="n">
        <f aca="false">'Historical Prices Outview - ALL'!O102/'Historical Prices Outview - ALL'!$AR102*1000</f>
        <v>1497.00184557924</v>
      </c>
      <c r="O18" s="59" t="n">
        <f aca="false">'Historical Prices Outview - ALL'!P102/'Historical Prices Outview - ALL'!$AR102*1000</f>
        <v>1546.70239487615</v>
      </c>
      <c r="P18" s="68" t="n">
        <f aca="false">'Historical Prices Outview - ALL'!Q102/'Historical Prices Outview - ALL'!$AR102*1000</f>
        <v>1474.98133752216</v>
      </c>
      <c r="Q18" s="67" t="n">
        <f aca="false">'Historical Prices Outview - ALL'!R102/'Historical Prices Outview - ALL'!$AR102*1000</f>
        <v>1297.26713239782</v>
      </c>
      <c r="R18" s="59" t="n">
        <f aca="false">'Historical Prices Outview - ALL'!S102/'Historical Prices Outview - ALL'!$AR102*1000</f>
        <v>1227.74909848682</v>
      </c>
      <c r="S18" s="94" t="n">
        <f aca="false">'Historical Prices Outview - ALL'!T102/'Historical Prices Outview - ALL'!$AR102*1000</f>
        <v>1384.05798863473</v>
      </c>
      <c r="T18" s="59" t="n">
        <f aca="false">'Historical Prices Outview - ALL'!U102/'Historical Prices Outview - ALL'!$AR102*1000</f>
        <v>1380.81910648676</v>
      </c>
      <c r="U18" s="59" t="n">
        <f aca="false">'Historical Prices Outview - ALL'!V102/'Historical Prices Outview - ALL'!$AR102*1000</f>
        <v>1681.27527337187</v>
      </c>
      <c r="V18" s="94" t="n">
        <f aca="false">'Historical Prices Outview - ALL'!W102/'Historical Prices Outview - ALL'!$AR102*1000</f>
        <v>1684.40351802905</v>
      </c>
      <c r="W18" s="94" t="n">
        <f aca="false">'Historical Prices Outview - ALL'!X102/'Historical Prices Outview - ALL'!$AR102*1000</f>
        <v>1681.10749344078</v>
      </c>
      <c r="X18" s="66" t="n">
        <f aca="false">'Historical Prices Outview - ALL'!Y102/'Historical Prices Outview - ALL'!$AR102*1000</f>
        <v>1728.66094593839</v>
      </c>
      <c r="Y18" s="67" t="n">
        <f aca="false">'Historical Prices Outview - ALL'!Z102/'Historical Prices Outview - ALL'!$AR102*1000</f>
        <v>1734.45056935755</v>
      </c>
      <c r="Z18" s="59" t="n">
        <f aca="false">'Historical Prices Outview - ALL'!AA102/'Historical Prices Outview - ALL'!$AR102*1000</f>
        <v>1625.4349512344</v>
      </c>
      <c r="AA18" s="94" t="n">
        <f aca="false">'Historical Prices Outview - ALL'!AB102/'Historical Prices Outview - ALL'!$AR102*1000</f>
        <v>1693.89402630498</v>
      </c>
      <c r="AB18" s="59" t="n">
        <f aca="false">'Historical Prices Outview - ALL'!AC102/'Historical Prices Outview - ALL'!$AR102*1000</f>
        <v>1683.06249437694</v>
      </c>
      <c r="AC18" s="68" t="n">
        <f aca="false">'Historical Prices Outview - ALL'!AD102/'Historical Prices Outview - ALL'!$AR102*1000</f>
        <v>1628.14860925027</v>
      </c>
      <c r="AD18" s="67" t="n">
        <f aca="false">'Historical Prices Outview - ALL'!AE102/'Historical Prices Outview - ALL'!$AR102*1000</f>
        <v>1447.44232868818</v>
      </c>
      <c r="AE18" s="59" t="n">
        <f aca="false">'Historical Prices Outview - ALL'!AF102/'Historical Prices Outview - ALL'!$AR102*1000</f>
        <v>1222.22451872692</v>
      </c>
      <c r="AF18" s="94" t="n">
        <f aca="false">'Historical Prices Outview - ALL'!AG102/'Historical Prices Outview - ALL'!$AR102*1000</f>
        <v>1248.55259414521</v>
      </c>
      <c r="AG18" s="59" t="n">
        <f aca="false">'Historical Prices Outview - ALL'!AH102/'Historical Prices Outview - ALL'!$AR102*1000</f>
        <v>1081.09363335951</v>
      </c>
      <c r="AH18" s="59" t="n">
        <f aca="false">'Historical Prices Outview - ALL'!AI102/'Historical Prices Outview - ALL'!$AR102*1000</f>
        <v>924.792037991212</v>
      </c>
      <c r="AI18" s="134" t="n">
        <f aca="false">'Historical Prices Outview - ALL'!AJ102/'Historical Prices Outview - ALL'!$AR102*1000</f>
        <v>1094.84794031898</v>
      </c>
      <c r="AJ18" s="67" t="n">
        <f aca="false">'Historical Prices Outview - ALL'!AK102/'Historical Prices Outview - ALL'!$AR102*1000</f>
        <v>1145.96610845392</v>
      </c>
      <c r="AK18" s="59" t="n">
        <f aca="false">'Historical Prices Outview - ALL'!AL102/'Historical Prices Outview - ALL'!$AR102*1000</f>
        <v>997.501537982702</v>
      </c>
      <c r="AL18" s="94" t="n">
        <f aca="false">'Historical Prices Outview - ALL'!AM102/'Historical Prices Outview - ALL'!$AR102*1000</f>
        <v>990.528944469706</v>
      </c>
      <c r="AM18" s="59" t="n">
        <f aca="false">'Historical Prices Outview - ALL'!AN102/'Historical Prices Outview - ALL'!$AR102*1000</f>
        <v>973.630587497234</v>
      </c>
      <c r="AN18" s="68" t="n">
        <f aca="false">'Historical Prices Outview - ALL'!AO102/'Historical Prices Outview - ALL'!$AR102*1000</f>
        <v>955.745003683864</v>
      </c>
      <c r="AO18" s="67" t="n">
        <f aca="false">'Historical Prices Outview - ALL'!AP102/'Historical Prices Outview - ALL'!$AR102*1000</f>
        <v>890.831191504986</v>
      </c>
      <c r="AP18" s="59" t="n">
        <f aca="false">'Historical Prices Outview - ALL'!AQ102/'Historical Prices Outview - ALL'!$AR102*1000</f>
        <v>1027.97669561073</v>
      </c>
      <c r="AQ18" s="123" t="n">
        <v>1000</v>
      </c>
    </row>
    <row r="19" customFormat="false" ht="12.8" hidden="false" customHeight="false" outlineLevel="0" collapsed="false">
      <c r="A19" s="1" t="s">
        <v>128</v>
      </c>
      <c r="B19" s="67" t="n">
        <f aca="false">'Historical Prices Outview - ALL'!C103/'Historical Prices Outview - ALL'!$AR103*1000</f>
        <v>1374.48017523253</v>
      </c>
      <c r="C19" s="94" t="n">
        <f aca="false">'Historical Prices Outview - ALL'!D103/'Historical Prices Outview - ALL'!$AR103*1000</f>
        <v>1318.8470207295</v>
      </c>
      <c r="D19" s="59" t="n">
        <f aca="false">'Historical Prices Outview - ALL'!E103/'Historical Prices Outview - ALL'!$AR103*1000</f>
        <v>1376.57534681439</v>
      </c>
      <c r="E19" s="59" t="n">
        <f aca="false">'Historical Prices Outview - ALL'!F103/'Historical Prices Outview - ALL'!$AR103*1000</f>
        <v>1375.16269324783</v>
      </c>
      <c r="F19" s="59" t="n">
        <f aca="false">'Historical Prices Outview - ALL'!G103/'Historical Prices Outview - ALL'!$AR103*1000</f>
        <v>1345.48109583823</v>
      </c>
      <c r="G19" s="59" t="n">
        <f aca="false">'Historical Prices Outview - ALL'!H103/'Historical Prices Outview - ALL'!$AR103*1000</f>
        <v>1277.80070473953</v>
      </c>
      <c r="H19" s="59" t="n">
        <f aca="false">'Historical Prices Outview - ALL'!I103/'Historical Prices Outview - ALL'!$AR103*1000</f>
        <v>1281.65772515158</v>
      </c>
      <c r="I19" s="68" t="n">
        <f aca="false">'Historical Prices Outview - ALL'!J103/'Historical Prices Outview - ALL'!$AR103*1000</f>
        <v>1245.73823053236</v>
      </c>
      <c r="J19" s="67" t="n">
        <f aca="false">'Historical Prices Outview - ALL'!K103/'Historical Prices Outview - ALL'!$AR103*1000</f>
        <v>1177.88324180185</v>
      </c>
      <c r="K19" s="94" t="n">
        <f aca="false">'Historical Prices Outview - ALL'!L103/'Historical Prices Outview - ALL'!$AR103*1000</f>
        <v>1199.50160312371</v>
      </c>
      <c r="L19" s="59" t="n">
        <f aca="false">'Historical Prices Outview - ALL'!M103/'Historical Prices Outview - ALL'!$AR103*1000</f>
        <v>1199.53334814768</v>
      </c>
      <c r="M19" s="59" t="n">
        <f aca="false">'Historical Prices Outview - ALL'!N103/'Historical Prices Outview - ALL'!$AR103*1000</f>
        <v>1180.21650106346</v>
      </c>
      <c r="N19" s="94" t="n">
        <f aca="false">'Historical Prices Outview - ALL'!O103/'Historical Prices Outview - ALL'!$AR103*1000</f>
        <v>1195.78743531951</v>
      </c>
      <c r="O19" s="59" t="n">
        <f aca="false">'Historical Prices Outview - ALL'!P103/'Historical Prices Outview - ALL'!$AR103*1000</f>
        <v>1063.29957779118</v>
      </c>
      <c r="P19" s="68" t="n">
        <f aca="false">'Historical Prices Outview - ALL'!Q103/'Historical Prices Outview - ALL'!$AR103*1000</f>
        <v>969.477159455255</v>
      </c>
      <c r="Q19" s="67" t="n">
        <f aca="false">'Historical Prices Outview - ALL'!R103/'Historical Prices Outview - ALL'!$AR103*1000</f>
        <v>956.890257452144</v>
      </c>
      <c r="R19" s="59" t="n">
        <f aca="false">'Historical Prices Outview - ALL'!S103/'Historical Prices Outview - ALL'!$AR103*1000</f>
        <v>931.954541125679</v>
      </c>
      <c r="S19" s="94" t="n">
        <f aca="false">'Historical Prices Outview - ALL'!T103/'Historical Prices Outview - ALL'!$AR103*1000</f>
        <v>974.143677978477</v>
      </c>
      <c r="T19" s="59" t="n">
        <f aca="false">'Historical Prices Outview - ALL'!U103/'Historical Prices Outview - ALL'!$AR103*1000</f>
        <v>973.318307355322</v>
      </c>
      <c r="U19" s="59" t="n">
        <f aca="false">'Historical Prices Outview - ALL'!V103/'Historical Prices Outview - ALL'!$AR103*1000</f>
        <v>994.825561093299</v>
      </c>
      <c r="V19" s="94" t="n">
        <f aca="false">'Historical Prices Outview - ALL'!W103/'Historical Prices Outview - ALL'!$AR103*1000</f>
        <v>963.842417701025</v>
      </c>
      <c r="W19" s="94" t="n">
        <f aca="false">'Historical Prices Outview - ALL'!X103/'Historical Prices Outview - ALL'!$AR103*1000</f>
        <v>945.827116599473</v>
      </c>
      <c r="X19" s="66" t="n">
        <f aca="false">'Historical Prices Outview - ALL'!Y103/'Historical Prices Outview - ALL'!$AR103*1000</f>
        <v>964.159867940701</v>
      </c>
      <c r="Y19" s="67" t="n">
        <f aca="false">'Historical Prices Outview - ALL'!Z103/'Historical Prices Outview - ALL'!$AR103*1000</f>
        <v>1008.9838417828</v>
      </c>
      <c r="Z19" s="59" t="n">
        <f aca="false">'Historical Prices Outview - ALL'!AA103/'Historical Prices Outview - ALL'!$AR103*1000</f>
        <v>929.113361480588</v>
      </c>
      <c r="AA19" s="94" t="n">
        <f aca="false">'Historical Prices Outview - ALL'!AB103/'Historical Prices Outview - ALL'!$AR103*1000</f>
        <v>898.114345576331</v>
      </c>
      <c r="AB19" s="59" t="n">
        <f aca="false">'Historical Prices Outview - ALL'!AC103/'Historical Prices Outview - ALL'!$AR103*1000</f>
        <v>885.194120821561</v>
      </c>
      <c r="AC19" s="68" t="n">
        <f aca="false">'Historical Prices Outview - ALL'!AD103/'Historical Prices Outview - ALL'!$AR103*1000</f>
        <v>797.244531919622</v>
      </c>
      <c r="AD19" s="67" t="n">
        <f aca="false">'Historical Prices Outview - ALL'!AE103/'Historical Prices Outview - ALL'!$AR103*1000</f>
        <v>710.342528808609</v>
      </c>
      <c r="AE19" s="59" t="n">
        <f aca="false">'Historical Prices Outview - ALL'!AF103/'Historical Prices Outview - ALL'!$AR103*1000</f>
        <v>678.629249865084</v>
      </c>
      <c r="AF19" s="94" t="n">
        <f aca="false">'Historical Prices Outview - ALL'!AG103/'Historical Prices Outview - ALL'!$AR103*1000</f>
        <v>674.534141773277</v>
      </c>
      <c r="AG19" s="59" t="n">
        <f aca="false">'Historical Prices Outview - ALL'!AH103/'Historical Prices Outview - ALL'!$AR103*1000</f>
        <v>719.437478175296</v>
      </c>
      <c r="AH19" s="59" t="n">
        <f aca="false">'Historical Prices Outview - ALL'!AI103/'Historical Prices Outview - ALL'!$AR103*1000</f>
        <v>665.613790038412</v>
      </c>
      <c r="AI19" s="134" t="n">
        <f aca="false">'Historical Prices Outview - ALL'!AJ103/'Historical Prices Outview - ALL'!$AR103*1000</f>
        <v>851.401542808165</v>
      </c>
      <c r="AJ19" s="67" t="n">
        <f aca="false">'Historical Prices Outview - ALL'!AK103/'Historical Prices Outview - ALL'!$AR103*1000</f>
        <v>901.780895844576</v>
      </c>
      <c r="AK19" s="59" t="n">
        <f aca="false">'Historical Prices Outview - ALL'!AL103/'Historical Prices Outview - ALL'!$AR103*1000</f>
        <v>905.653788768611</v>
      </c>
      <c r="AL19" s="94" t="n">
        <f aca="false">'Historical Prices Outview - ALL'!AM103/'Historical Prices Outview - ALL'!$AR103*1000</f>
        <v>918.462905939494</v>
      </c>
      <c r="AM19" s="59" t="n">
        <f aca="false">'Historical Prices Outview - ALL'!AN103/'Historical Prices Outview - ALL'!$AR103*1000</f>
        <v>933.002126916606</v>
      </c>
      <c r="AN19" s="68" t="n">
        <f aca="false">'Historical Prices Outview - ALL'!AO103/'Historical Prices Outview - ALL'!$AR103*1000</f>
        <v>911.701215834418</v>
      </c>
      <c r="AO19" s="67" t="n">
        <f aca="false">'Historical Prices Outview - ALL'!AP103/'Historical Prices Outview - ALL'!$AR103*1000</f>
        <v>943.557347385797</v>
      </c>
      <c r="AP19" s="59" t="n">
        <f aca="false">'Historical Prices Outview - ALL'!AQ103/'Historical Prices Outview - ALL'!$AR103*1000</f>
        <v>991.063775753151</v>
      </c>
      <c r="AQ19" s="94" t="n">
        <v>1000</v>
      </c>
    </row>
    <row r="20" customFormat="false" ht="12.8" hidden="false" customHeight="false" outlineLevel="0" collapsed="false">
      <c r="A20" s="1" t="s">
        <v>129</v>
      </c>
      <c r="B20" s="67" t="n">
        <f aca="false">'Historical Prices Outview - ALL'!C104/'Historical Prices Outview - ALL'!$AR104*1000</f>
        <v>1534.64005307973</v>
      </c>
      <c r="C20" s="94" t="n">
        <f aca="false">'Historical Prices Outview - ALL'!D104/'Historical Prices Outview - ALL'!$AR104*1000</f>
        <v>1401.63662501382</v>
      </c>
      <c r="D20" s="59" t="n">
        <f aca="false">'Historical Prices Outview - ALL'!E104/'Historical Prices Outview - ALL'!$AR104*1000</f>
        <v>1413.38604445427</v>
      </c>
      <c r="E20" s="59" t="n">
        <f aca="false">'Historical Prices Outview - ALL'!F104/'Historical Prices Outview - ALL'!$AR104*1000</f>
        <v>1396.12130930001</v>
      </c>
      <c r="F20" s="59" t="n">
        <f aca="false">'Historical Prices Outview - ALL'!G104/'Historical Prices Outview - ALL'!$AR104*1000</f>
        <v>1362.54561539312</v>
      </c>
      <c r="G20" s="59" t="n">
        <f aca="false">'Historical Prices Outview - ALL'!H104/'Historical Prices Outview - ALL'!$AR104*1000</f>
        <v>1379.83799624019</v>
      </c>
      <c r="H20" s="59" t="n">
        <f aca="false">'Historical Prices Outview - ALL'!I104/'Historical Prices Outview - ALL'!$AR104*1000</f>
        <v>1368.39267942055</v>
      </c>
      <c r="I20" s="68" t="n">
        <f aca="false">'Historical Prices Outview - ALL'!J104/'Historical Prices Outview - ALL'!$AR104*1000</f>
        <v>1277.89450403627</v>
      </c>
      <c r="J20" s="67" t="n">
        <f aca="false">'Historical Prices Outview - ALL'!K104/'Historical Prices Outview - ALL'!$AR104*1000</f>
        <v>1210.41136790888</v>
      </c>
      <c r="K20" s="94" t="n">
        <f aca="false">'Historical Prices Outview - ALL'!L104/'Historical Prices Outview - ALL'!$AR104*1000</f>
        <v>1231.6847285193</v>
      </c>
      <c r="L20" s="59" t="n">
        <f aca="false">'Historical Prices Outview - ALL'!M104/'Historical Prices Outview - ALL'!$AR104*1000</f>
        <v>1225.93442441668</v>
      </c>
      <c r="M20" s="59" t="n">
        <f aca="false">'Historical Prices Outview - ALL'!N104/'Historical Prices Outview - ALL'!$AR104*1000</f>
        <v>1218.17980758598</v>
      </c>
      <c r="N20" s="94" t="n">
        <f aca="false">'Historical Prices Outview - ALL'!O104/'Historical Prices Outview - ALL'!$AR104*1000</f>
        <v>1251.36846179365</v>
      </c>
      <c r="O20" s="59" t="n">
        <f aca="false">'Historical Prices Outview - ALL'!P104/'Historical Prices Outview - ALL'!$AR104*1000</f>
        <v>1201.75826606215</v>
      </c>
      <c r="P20" s="68" t="n">
        <f aca="false">'Historical Prices Outview - ALL'!Q104/'Historical Prices Outview - ALL'!$AR104*1000</f>
        <v>1232.01647683291</v>
      </c>
      <c r="Q20" s="67" t="n">
        <f aca="false">'Historical Prices Outview - ALL'!R104/'Historical Prices Outview - ALL'!$AR104*1000</f>
        <v>1139.84573703417</v>
      </c>
      <c r="R20" s="59" t="n">
        <f aca="false">'Historical Prices Outview - ALL'!S104/'Historical Prices Outview - ALL'!$AR104*1000</f>
        <v>1143.66084264072</v>
      </c>
      <c r="S20" s="94" t="n">
        <f aca="false">'Historical Prices Outview - ALL'!T104/'Historical Prices Outview - ALL'!$AR104*1000</f>
        <v>1171.7765122194</v>
      </c>
      <c r="T20" s="59" t="n">
        <f aca="false">'Historical Prices Outview - ALL'!U104/'Historical Prices Outview - ALL'!$AR104*1000</f>
        <v>1160.59382948137</v>
      </c>
      <c r="U20" s="59" t="n">
        <f aca="false">'Historical Prices Outview - ALL'!V104/'Historical Prices Outview - ALL'!$AR104*1000</f>
        <v>1161.85170850382</v>
      </c>
      <c r="V20" s="94" t="n">
        <f aca="false">'Historical Prices Outview - ALL'!W104/'Historical Prices Outview - ALL'!$AR104*1000</f>
        <v>1162.57049651664</v>
      </c>
      <c r="W20" s="94" t="n">
        <f aca="false">'Historical Prices Outview - ALL'!X104/'Historical Prices Outview - ALL'!$AR104*1000</f>
        <v>1168.80460024328</v>
      </c>
      <c r="X20" s="66" t="n">
        <f aca="false">'Historical Prices Outview - ALL'!Y104/'Historical Prices Outview - ALL'!$AR104*1000</f>
        <v>1171.47240959858</v>
      </c>
      <c r="Y20" s="67" t="n">
        <f aca="false">'Historical Prices Outview - ALL'!Z104/'Historical Prices Outview - ALL'!$AR104*1000</f>
        <v>1134.55158686277</v>
      </c>
      <c r="Z20" s="59" t="n">
        <f aca="false">'Historical Prices Outview - ALL'!AA104/'Historical Prices Outview - ALL'!$AR104*1000</f>
        <v>1109.71193188101</v>
      </c>
      <c r="AA20" s="94" t="n">
        <f aca="false">'Historical Prices Outview - ALL'!AB104/'Historical Prices Outview - ALL'!$AR104*1000</f>
        <v>1117.2315603229</v>
      </c>
      <c r="AB20" s="59" t="n">
        <f aca="false">'Historical Prices Outview - ALL'!AC104/'Historical Prices Outview - ALL'!$AR104*1000</f>
        <v>1077.42176268937</v>
      </c>
      <c r="AC20" s="68" t="n">
        <f aca="false">'Historical Prices Outview - ALL'!AD104/'Historical Prices Outview - ALL'!$AR104*1000</f>
        <v>1042.79553245604</v>
      </c>
      <c r="AD20" s="67" t="n">
        <f aca="false">'Historical Prices Outview - ALL'!AE104/'Historical Prices Outview - ALL'!$AR104*1000</f>
        <v>1031.97224372443</v>
      </c>
      <c r="AE20" s="59" t="n">
        <f aca="false">'Historical Prices Outview - ALL'!AF104/'Historical Prices Outview - ALL'!$AR104*1000</f>
        <v>957.82649563198</v>
      </c>
      <c r="AF20" s="94" t="n">
        <f aca="false">'Historical Prices Outview - ALL'!AG104/'Historical Prices Outview - ALL'!$AR104*1000</f>
        <v>951.633860444543</v>
      </c>
      <c r="AG20" s="59" t="n">
        <f aca="false">'Historical Prices Outview - ALL'!AH104/'Historical Prices Outview - ALL'!$AR104*1000</f>
        <v>920.394227579343</v>
      </c>
      <c r="AH20" s="59" t="n">
        <f aca="false">'Historical Prices Outview - ALL'!AI104/'Historical Prices Outview - ALL'!$AR104*1000</f>
        <v>879.865641932987</v>
      </c>
      <c r="AI20" s="134" t="n">
        <f aca="false">'Historical Prices Outview - ALL'!AJ104/'Historical Prices Outview - ALL'!$AR104*1000</f>
        <v>1089.55822182904</v>
      </c>
      <c r="AJ20" s="67" t="n">
        <f aca="false">'Historical Prices Outview - ALL'!AK104/'Historical Prices Outview - ALL'!$AR104*1000</f>
        <v>1092.46101957315</v>
      </c>
      <c r="AK20" s="59" t="n">
        <f aca="false">'Historical Prices Outview - ALL'!AL104/'Historical Prices Outview - ALL'!$AR104*1000</f>
        <v>1038.20634745107</v>
      </c>
      <c r="AL20" s="94" t="n">
        <f aca="false">'Historical Prices Outview - ALL'!AM104/'Historical Prices Outview - ALL'!$AR104*1000</f>
        <v>1048.42143094106</v>
      </c>
      <c r="AM20" s="59" t="n">
        <f aca="false">'Historical Prices Outview - ALL'!AN104/'Historical Prices Outview - ALL'!$AR104*1000</f>
        <v>1011.30708835563</v>
      </c>
      <c r="AN20" s="68" t="n">
        <f aca="false">'Historical Prices Outview - ALL'!AO104/'Historical Prices Outview - ALL'!$AR104*1000</f>
        <v>1011.27944266283</v>
      </c>
      <c r="AO20" s="67" t="n">
        <f aca="false">'Historical Prices Outview - ALL'!AP104/'Historical Prices Outview - ALL'!$AR104*1000</f>
        <v>1052.87238748203</v>
      </c>
      <c r="AP20" s="59" t="n">
        <f aca="false">'Historical Prices Outview - ALL'!AQ104/'Historical Prices Outview - ALL'!$AR104*1000</f>
        <v>1005.03151608979</v>
      </c>
      <c r="AQ20" s="123" t="n">
        <v>1000</v>
      </c>
    </row>
    <row r="21" customFormat="false" ht="12.8" hidden="false" customHeight="false" outlineLevel="0" collapsed="false">
      <c r="A21" s="1" t="s">
        <v>130</v>
      </c>
      <c r="B21" s="67" t="n">
        <f aca="false">'Historical Prices Outview - ALL'!C105/'Historical Prices Outview - ALL'!$AR105*1000</f>
        <v>1925.80280492036</v>
      </c>
      <c r="C21" s="94" t="n">
        <f aca="false">'Historical Prices Outview - ALL'!D105/'Historical Prices Outview - ALL'!$AR105*1000</f>
        <v>1824.88275522425</v>
      </c>
      <c r="D21" s="59" t="n">
        <f aca="false">'Historical Prices Outview - ALL'!E105/'Historical Prices Outview - ALL'!$AR105*1000</f>
        <v>2018.50172929049</v>
      </c>
      <c r="E21" s="59" t="n">
        <f aca="false">'Historical Prices Outview - ALL'!F105/'Historical Prices Outview - ALL'!$AR105*1000</f>
        <v>1971.97877841577</v>
      </c>
      <c r="F21" s="59" t="n">
        <f aca="false">'Historical Prices Outview - ALL'!G105/'Historical Prices Outview - ALL'!$AR105*1000</f>
        <v>1903.80331979002</v>
      </c>
      <c r="G21" s="59" t="n">
        <f aca="false">'Historical Prices Outview - ALL'!H105/'Historical Prices Outview - ALL'!$AR105*1000</f>
        <v>1976.15369978622</v>
      </c>
      <c r="H21" s="59" t="n">
        <f aca="false">'Historical Prices Outview - ALL'!I105/'Historical Prices Outview - ALL'!$AR105*1000</f>
        <v>1914.20144835074</v>
      </c>
      <c r="I21" s="68" t="n">
        <f aca="false">'Historical Prices Outview - ALL'!J105/'Historical Prices Outview - ALL'!$AR105*1000</f>
        <v>1929.19982539203</v>
      </c>
      <c r="J21" s="67" t="n">
        <f aca="false">'Historical Prices Outview - ALL'!K105/'Historical Prices Outview - ALL'!$AR105*1000</f>
        <v>1735.93342511445</v>
      </c>
      <c r="K21" s="94" t="n">
        <f aca="false">'Historical Prices Outview - ALL'!L105/'Historical Prices Outview - ALL'!$AR105*1000</f>
        <v>1514.96479858523</v>
      </c>
      <c r="L21" s="59" t="n">
        <f aca="false">'Historical Prices Outview - ALL'!M105/'Historical Prices Outview - ALL'!$AR105*1000</f>
        <v>1641.58915639726</v>
      </c>
      <c r="M21" s="59" t="n">
        <f aca="false">'Historical Prices Outview - ALL'!N105/'Historical Prices Outview - ALL'!$AR105*1000</f>
        <v>1667.65163471117</v>
      </c>
      <c r="N21" s="94" t="n">
        <f aca="false">'Historical Prices Outview - ALL'!O105/'Historical Prices Outview - ALL'!$AR105*1000</f>
        <v>1659.57601602812</v>
      </c>
      <c r="O21" s="59" t="n">
        <f aca="false">'Historical Prices Outview - ALL'!P105/'Historical Prices Outview - ALL'!$AR105*1000</f>
        <v>1734.1369777151</v>
      </c>
      <c r="P21" s="68" t="n">
        <f aca="false">'Historical Prices Outview - ALL'!Q105/'Historical Prices Outview - ALL'!$AR105*1000</f>
        <v>1426.46318122293</v>
      </c>
      <c r="Q21" s="67" t="n">
        <f aca="false">'Historical Prices Outview - ALL'!R105/'Historical Prices Outview - ALL'!$AR105*1000</f>
        <v>1247.19899712345</v>
      </c>
      <c r="R21" s="59" t="n">
        <f aca="false">'Historical Prices Outview - ALL'!S105/'Historical Prices Outview - ALL'!$AR105*1000</f>
        <v>1065.80817747333</v>
      </c>
      <c r="S21" s="94" t="n">
        <f aca="false">'Historical Prices Outview - ALL'!T105/'Historical Prices Outview - ALL'!$AR105*1000</f>
        <v>1132.48379839495</v>
      </c>
      <c r="T21" s="59" t="n">
        <f aca="false">'Historical Prices Outview - ALL'!U105/'Historical Prices Outview - ALL'!$AR105*1000</f>
        <v>1087.18086475717</v>
      </c>
      <c r="U21" s="59" t="n">
        <f aca="false">'Historical Prices Outview - ALL'!V105/'Historical Prices Outview - ALL'!$AR105*1000</f>
        <v>1190.88232989714</v>
      </c>
      <c r="V21" s="94" t="n">
        <f aca="false">'Historical Prices Outview - ALL'!W105/'Historical Prices Outview - ALL'!$AR105*1000</f>
        <v>1263.64684418477</v>
      </c>
      <c r="W21" s="94" t="n">
        <f aca="false">'Historical Prices Outview - ALL'!X105/'Historical Prices Outview - ALL'!$AR105*1000</f>
        <v>1211.68977983726</v>
      </c>
      <c r="X21" s="66" t="n">
        <f aca="false">'Historical Prices Outview - ALL'!Y105/'Historical Prices Outview - ALL'!$AR105*1000</f>
        <v>1297.71218786027</v>
      </c>
      <c r="Y21" s="67" t="n">
        <f aca="false">'Historical Prices Outview - ALL'!Z105/'Historical Prices Outview - ALL'!$AR105*1000</f>
        <v>1198.81244193725</v>
      </c>
      <c r="Z21" s="59" t="n">
        <f aca="false">'Historical Prices Outview - ALL'!AA105/'Historical Prices Outview - ALL'!$AR105*1000</f>
        <v>1172.49252879353</v>
      </c>
      <c r="AA21" s="94" t="n">
        <f aca="false">'Historical Prices Outview - ALL'!AB105/'Historical Prices Outview - ALL'!$AR105*1000</f>
        <v>1219.49117446247</v>
      </c>
      <c r="AB21" s="59" t="n">
        <f aca="false">'Historical Prices Outview - ALL'!AC105/'Historical Prices Outview - ALL'!$AR105*1000</f>
        <v>1197.70994929653</v>
      </c>
      <c r="AC21" s="68" t="n">
        <f aca="false">'Historical Prices Outview - ALL'!AD105/'Historical Prices Outview - ALL'!$AR105*1000</f>
        <v>1162.43578120278</v>
      </c>
      <c r="AD21" s="67" t="n">
        <f aca="false">'Historical Prices Outview - ALL'!AE105/'Historical Prices Outview - ALL'!$AR105*1000</f>
        <v>1083.67751250798</v>
      </c>
      <c r="AE21" s="59" t="n">
        <f aca="false">'Historical Prices Outview - ALL'!AF105/'Historical Prices Outview - ALL'!$AR105*1000</f>
        <v>835.667036029683</v>
      </c>
      <c r="AF21" s="94" t="n">
        <f aca="false">'Historical Prices Outview - ALL'!AG105/'Historical Prices Outview - ALL'!$AR105*1000</f>
        <v>882.732838610747</v>
      </c>
      <c r="AG21" s="59" t="n">
        <f aca="false">'Historical Prices Outview - ALL'!AH105/'Historical Prices Outview - ALL'!$AR105*1000</f>
        <v>863.033477720694</v>
      </c>
      <c r="AH21" s="59" t="n">
        <f aca="false">'Historical Prices Outview - ALL'!AI105/'Historical Prices Outview - ALL'!$AR105*1000</f>
        <v>758.82833573979</v>
      </c>
      <c r="AI21" s="134" t="n">
        <f aca="false">'Historical Prices Outview - ALL'!AJ105/'Historical Prices Outview - ALL'!$AR105*1000</f>
        <v>1037.35043596029</v>
      </c>
      <c r="AJ21" s="67" t="n">
        <f aca="false">'Historical Prices Outview - ALL'!AK105/'Historical Prices Outview - ALL'!$AR105*1000</f>
        <v>1287.49314439855</v>
      </c>
      <c r="AK21" s="59" t="n">
        <f aca="false">'Historical Prices Outview - ALL'!AL105/'Historical Prices Outview - ALL'!$AR105*1000</f>
        <v>1207.16228467815</v>
      </c>
      <c r="AL21" s="94" t="n">
        <f aca="false">'Historical Prices Outview - ALL'!AM105/'Historical Prices Outview - ALL'!$AR105*1000</f>
        <v>1184.82141857784</v>
      </c>
      <c r="AM21" s="59" t="n">
        <f aca="false">'Historical Prices Outview - ALL'!AN105/'Historical Prices Outview - ALL'!$AR105*1000</f>
        <v>1244.92125852053</v>
      </c>
      <c r="AN21" s="68" t="n">
        <f aca="false">'Historical Prices Outview - ALL'!AO105/'Historical Prices Outview - ALL'!$AR105*1000</f>
        <v>1045.38128336859</v>
      </c>
      <c r="AO21" s="67" t="n">
        <f aca="false">'Historical Prices Outview - ALL'!AP105/'Historical Prices Outview - ALL'!$AR105*1000</f>
        <v>888.956045801014</v>
      </c>
      <c r="AP21" s="59" t="n">
        <f aca="false">'Historical Prices Outview - ALL'!AQ105/'Historical Prices Outview - ALL'!$AR105*1000</f>
        <v>1019.85046394233</v>
      </c>
      <c r="AQ21" s="94" t="n">
        <v>1000</v>
      </c>
    </row>
    <row r="22" customFormat="false" ht="12.8" hidden="false" customHeight="false" outlineLevel="0" collapsed="false">
      <c r="A22" s="1" t="s">
        <v>131</v>
      </c>
      <c r="B22" s="67" t="n">
        <f aca="false">'Historical Prices Outview - ALL'!C106/'Historical Prices Outview - ALL'!$AR106*1000</f>
        <v>1735.41662704224</v>
      </c>
      <c r="C22" s="94" t="n">
        <f aca="false">'Historical Prices Outview - ALL'!D106/'Historical Prices Outview - ALL'!$AR106*1000</f>
        <v>1728.23668143865</v>
      </c>
      <c r="D22" s="59" t="n">
        <f aca="false">'Historical Prices Outview - ALL'!E106/'Historical Prices Outview - ALL'!$AR106*1000</f>
        <v>1763.14738383704</v>
      </c>
      <c r="E22" s="59" t="n">
        <f aca="false">'Historical Prices Outview - ALL'!F106/'Historical Prices Outview - ALL'!$AR106*1000</f>
        <v>1667.29748749453</v>
      </c>
      <c r="F22" s="59" t="n">
        <f aca="false">'Historical Prices Outview - ALL'!G106/'Historical Prices Outview - ALL'!$AR106*1000</f>
        <v>1613.29098274911</v>
      </c>
      <c r="G22" s="59" t="n">
        <f aca="false">'Historical Prices Outview - ALL'!H106/'Historical Prices Outview - ALL'!$AR106*1000</f>
        <v>1607.96546018221</v>
      </c>
      <c r="H22" s="59" t="n">
        <f aca="false">'Historical Prices Outview - ALL'!I106/'Historical Prices Outview - ALL'!$AR106*1000</f>
        <v>1629.20098141773</v>
      </c>
      <c r="I22" s="68" t="n">
        <f aca="false">'Historical Prices Outview - ALL'!J106/'Historical Prices Outview - ALL'!$AR106*1000</f>
        <v>1567.48197881203</v>
      </c>
      <c r="J22" s="67" t="n">
        <f aca="false">'Historical Prices Outview - ALL'!K106/'Historical Prices Outview - ALL'!$AR106*1000</f>
        <v>1452.65039846321</v>
      </c>
      <c r="K22" s="94" t="n">
        <f aca="false">'Historical Prices Outview - ALL'!L106/'Historical Prices Outview - ALL'!$AR106*1000</f>
        <v>1358.25551096487</v>
      </c>
      <c r="L22" s="59" t="n">
        <f aca="false">'Historical Prices Outview - ALL'!M106/'Historical Prices Outview - ALL'!$AR106*1000</f>
        <v>1404.11206421059</v>
      </c>
      <c r="M22" s="59" t="n">
        <f aca="false">'Historical Prices Outview - ALL'!N106/'Historical Prices Outview - ALL'!$AR106*1000</f>
        <v>1417.3402818723</v>
      </c>
      <c r="N22" s="94" t="n">
        <f aca="false">'Historical Prices Outview - ALL'!O106/'Historical Prices Outview - ALL'!$AR106*1000</f>
        <v>1416.41782528482</v>
      </c>
      <c r="O22" s="59" t="n">
        <f aca="false">'Historical Prices Outview - ALL'!P106/'Historical Prices Outview - ALL'!$AR106*1000</f>
        <v>1304.36312456017</v>
      </c>
      <c r="P22" s="68" t="n">
        <f aca="false">'Historical Prices Outview - ALL'!Q106/'Historical Prices Outview - ALL'!$AR106*1000</f>
        <v>1212.38374194039</v>
      </c>
      <c r="Q22" s="67" t="n">
        <f aca="false">'Historical Prices Outview - ALL'!R106/'Historical Prices Outview - ALL'!$AR106*1000</f>
        <v>1099.48266352207</v>
      </c>
      <c r="R22" s="59" t="n">
        <f aca="false">'Historical Prices Outview - ALL'!S106/'Historical Prices Outview - ALL'!$AR106*1000</f>
        <v>1072.39857732469</v>
      </c>
      <c r="S22" s="94" t="n">
        <f aca="false">'Historical Prices Outview - ALL'!T106/'Historical Prices Outview - ALL'!$AR106*1000</f>
        <v>1129.0107841832</v>
      </c>
      <c r="T22" s="59" t="n">
        <f aca="false">'Historical Prices Outview - ALL'!U106/'Historical Prices Outview - ALL'!$AR106*1000</f>
        <v>1133.81326435514</v>
      </c>
      <c r="U22" s="59" t="n">
        <f aca="false">'Historical Prices Outview - ALL'!V106/'Historical Prices Outview - ALL'!$AR106*1000</f>
        <v>1198.06189018012</v>
      </c>
      <c r="V22" s="94" t="n">
        <f aca="false">'Historical Prices Outview - ALL'!W106/'Historical Prices Outview - ALL'!$AR106*1000</f>
        <v>1171.37721817525</v>
      </c>
      <c r="W22" s="94" t="n">
        <f aca="false">'Historical Prices Outview - ALL'!X106/'Historical Prices Outview - ALL'!$AR106*1000</f>
        <v>1142.53380755844</v>
      </c>
      <c r="X22" s="66" t="n">
        <f aca="false">'Historical Prices Outview - ALL'!Y106/'Historical Prices Outview - ALL'!$AR106*1000</f>
        <v>1221.6083078152</v>
      </c>
      <c r="Y22" s="67" t="n">
        <f aca="false">'Historical Prices Outview - ALL'!Z106/'Historical Prices Outview - ALL'!$AR106*1000</f>
        <v>1200.43935561177</v>
      </c>
      <c r="Z22" s="59" t="n">
        <f aca="false">'Historical Prices Outview - ALL'!AA106/'Historical Prices Outview - ALL'!$AR106*1000</f>
        <v>1168.32455256101</v>
      </c>
      <c r="AA22" s="94" t="n">
        <f aca="false">'Historical Prices Outview - ALL'!AB106/'Historical Prices Outview - ALL'!$AR106*1000</f>
        <v>1143.64646138045</v>
      </c>
      <c r="AB22" s="59" t="n">
        <f aca="false">'Historical Prices Outview - ALL'!AC106/'Historical Prices Outview - ALL'!$AR106*1000</f>
        <v>1158.60547387641</v>
      </c>
      <c r="AC22" s="68" t="n">
        <f aca="false">'Historical Prices Outview - ALL'!AD106/'Historical Prices Outview - ALL'!$AR106*1000</f>
        <v>1119.34876466896</v>
      </c>
      <c r="AD22" s="67" t="n">
        <f aca="false">'Historical Prices Outview - ALL'!AE106/'Historical Prices Outview - ALL'!$AR106*1000</f>
        <v>1034.49226848242</v>
      </c>
      <c r="AE22" s="59" t="n">
        <f aca="false">'Historical Prices Outview - ALL'!AF106/'Historical Prices Outview - ALL'!$AR106*1000</f>
        <v>952.650398463206</v>
      </c>
      <c r="AF22" s="94" t="n">
        <f aca="false">'Historical Prices Outview - ALL'!AG106/'Historical Prices Outview - ALL'!$AR106*1000</f>
        <v>948.941552389828</v>
      </c>
      <c r="AG22" s="59" t="n">
        <f aca="false">'Historical Prices Outview - ALL'!AH106/'Historical Prices Outview - ALL'!$AR106*1000</f>
        <v>963.082716777298</v>
      </c>
      <c r="AH22" s="59" t="n">
        <f aca="false">'Historical Prices Outview - ALL'!AI106/'Historical Prices Outview - ALL'!$AR106*1000</f>
        <v>872.311086596801</v>
      </c>
      <c r="AI22" s="134" t="n">
        <f aca="false">'Historical Prices Outview - ALL'!AJ106/'Historical Prices Outview - ALL'!$AR106*1000</f>
        <v>1055.01455008844</v>
      </c>
      <c r="AJ22" s="67" t="n">
        <f aca="false">'Historical Prices Outview - ALL'!AK106/'Historical Prices Outview - ALL'!$AR106*1000</f>
        <v>1141.07879871427</v>
      </c>
      <c r="AK22" s="59" t="n">
        <f aca="false">'Historical Prices Outview - ALL'!AL106/'Historical Prices Outview - ALL'!$AR106*1000</f>
        <v>1109.02105483386</v>
      </c>
      <c r="AL22" s="94" t="n">
        <f aca="false">'Historical Prices Outview - ALL'!AM106/'Historical Prices Outview - ALL'!$AR106*1000</f>
        <v>1043.73585408068</v>
      </c>
      <c r="AM22" s="59" t="n">
        <f aca="false">'Historical Prices Outview - ALL'!AN106/'Historical Prices Outview - ALL'!$AR106*1000</f>
        <v>1048.62392300816</v>
      </c>
      <c r="AN22" s="68" t="n">
        <f aca="false">'Historical Prices Outview - ALL'!AO106/'Historical Prices Outview - ALL'!$AR106*1000</f>
        <v>991.831028776842</v>
      </c>
      <c r="AO22" s="67" t="n">
        <f aca="false">'Historical Prices Outview - ALL'!AP106/'Historical Prices Outview - ALL'!$AR106*1000</f>
        <v>967.219506628374</v>
      </c>
      <c r="AP22" s="59" t="n">
        <f aca="false">'Historical Prices Outview - ALL'!AQ106/'Historical Prices Outview - ALL'!$AR106*1000</f>
        <v>989.862487399433</v>
      </c>
      <c r="AQ22" s="94" t="n">
        <v>1000</v>
      </c>
    </row>
    <row r="23" customFormat="false" ht="12.8" hidden="false" customHeight="false" outlineLevel="0" collapsed="false">
      <c r="A23" s="135"/>
      <c r="B23" s="135"/>
      <c r="C23" s="135"/>
      <c r="D23" s="135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AP23" s="59"/>
    </row>
    <row r="24" customFormat="false" ht="35.05" hidden="false" customHeight="false" outlineLevel="0" collapsed="false">
      <c r="A24" s="136" t="s">
        <v>132</v>
      </c>
      <c r="B24" s="16" t="s">
        <v>105</v>
      </c>
      <c r="C24" s="105" t="s">
        <v>106</v>
      </c>
      <c r="D24" s="104" t="s">
        <v>107</v>
      </c>
      <c r="E24" s="104" t="s">
        <v>108</v>
      </c>
      <c r="F24" s="104" t="s">
        <v>109</v>
      </c>
      <c r="G24" s="137" t="s">
        <v>110</v>
      </c>
      <c r="H24" s="107"/>
      <c r="I24" s="108" t="s">
        <v>111</v>
      </c>
      <c r="J24" s="138" t="s">
        <v>133</v>
      </c>
      <c r="K24" s="16" t="s">
        <v>105</v>
      </c>
      <c r="L24" s="105" t="s">
        <v>106</v>
      </c>
      <c r="M24" s="104" t="s">
        <v>107</v>
      </c>
      <c r="N24" s="104" t="s">
        <v>108</v>
      </c>
      <c r="O24" s="104" t="s">
        <v>109</v>
      </c>
      <c r="P24" s="106" t="s">
        <v>110</v>
      </c>
      <c r="Q24" s="107"/>
      <c r="R24" s="108" t="s">
        <v>111</v>
      </c>
    </row>
    <row r="25" customFormat="false" ht="12.8" hidden="false" customHeight="false" outlineLevel="0" collapsed="false">
      <c r="A25" s="139" t="str">
        <f aca="false">A8</f>
        <v>S&amp;P 500</v>
      </c>
      <c r="B25" s="140" t="n">
        <f aca="false">SLOPE(B$2:AQ$2,B8:AQ8)</f>
        <v>1.26452322141705</v>
      </c>
      <c r="C25" s="110" t="n">
        <f aca="false">SLOPE(B$2:AI$2,B8:AI8)</f>
        <v>1.25207215052172</v>
      </c>
      <c r="D25" s="140" t="n">
        <f aca="false">SLOPE(B$2:AC$2,B8:AC8)</f>
        <v>1.35959989383087</v>
      </c>
      <c r="E25" s="110" t="n">
        <f aca="false">SLOPE(B$2:X$2,B8:X8)</f>
        <v>1.30140508477037</v>
      </c>
      <c r="F25" s="140" t="n">
        <f aca="false">SLOPE(B$2:P$2,B8:P8)</f>
        <v>1.65275957117241</v>
      </c>
      <c r="G25" s="140" t="n">
        <f aca="false">SLOPE(B$2:K$2,B8:K8)</f>
        <v>1.83156779344699</v>
      </c>
      <c r="H25" s="107"/>
      <c r="I25" s="111" t="n">
        <f aca="false">AVERAGE(B25/2,C25:F25,G25/2)</f>
        <v>1.18564703462123</v>
      </c>
      <c r="J25" s="141" t="str">
        <f aca="false">A59</f>
        <v>S&amp;P 500</v>
      </c>
      <c r="K25" s="140" t="n">
        <f aca="false">SLOPE(B$3:AQ$3,B8:AQ8)</f>
        <v>1.10046817971625</v>
      </c>
      <c r="L25" s="110" t="n">
        <f aca="false">SLOPE(B$3:AI$3,B8:AI8)</f>
        <v>1.17114224529279</v>
      </c>
      <c r="M25" s="140" t="n">
        <f aca="false">SLOPE(B$3:AC$3,B8:AC8)</f>
        <v>1.29539031762049</v>
      </c>
      <c r="N25" s="110" t="n">
        <f aca="false">SLOPE(B$3:X$3,B8:X8)</f>
        <v>1.22715185981253</v>
      </c>
      <c r="O25" s="140" t="n">
        <f aca="false">SLOPE(B$3:P$3,B8:P8)</f>
        <v>1.40881376132608</v>
      </c>
      <c r="P25" s="110" t="n">
        <f aca="false">SLOPE(B$3:K$3,B8:K8)</f>
        <v>1.53967402552233</v>
      </c>
      <c r="Q25" s="107"/>
      <c r="R25" s="111" t="n">
        <f aca="false">AVERAGE(K25/2,L25:O25,P25/2)</f>
        <v>1.0704282144452</v>
      </c>
    </row>
    <row r="26" customFormat="false" ht="12.8" hidden="false" customHeight="false" outlineLevel="0" collapsed="false">
      <c r="A26" s="139" t="str">
        <f aca="false">A9</f>
        <v>DOW</v>
      </c>
      <c r="B26" s="140" t="n">
        <f aca="false">SLOPE(B$2:AQ$2,B9:AQ9)</f>
        <v>1.91989646002721</v>
      </c>
      <c r="C26" s="110" t="n">
        <f aca="false">SLOPE(B$2:AI$2,B9:AI9)</f>
        <v>1.79628172678241</v>
      </c>
      <c r="D26" s="140" t="n">
        <f aca="false">SLOPE(B$2:AC$2,B9:AC9)</f>
        <v>2.03889186509828</v>
      </c>
      <c r="E26" s="110" t="n">
        <f aca="false">SLOPE(B$2:X$2,B9:X9)</f>
        <v>1.94897295726541</v>
      </c>
      <c r="F26" s="140" t="n">
        <f aca="false">SLOPE(B$2:P$2,B9:P9)</f>
        <v>2.5197186963886</v>
      </c>
      <c r="G26" s="140" t="n">
        <f aca="false">SLOPE(B$2:K$2,B9:K9)</f>
        <v>2.66574955472855</v>
      </c>
      <c r="H26" s="107"/>
      <c r="I26" s="111" t="n">
        <f aca="false">AVERAGE(B26/2,C26:F26,G26/2)</f>
        <v>1.76611470881876</v>
      </c>
      <c r="J26" s="141" t="str">
        <f aca="false">A60</f>
        <v>DOW</v>
      </c>
      <c r="K26" s="140" t="n">
        <f aca="false">SLOPE(B$3:AQ$3,B9:AQ9)</f>
        <v>1.67271103532158</v>
      </c>
      <c r="L26" s="110" t="n">
        <f aca="false">SLOPE(B$3:AI$3,B9:AI9)</f>
        <v>1.67665783872207</v>
      </c>
      <c r="M26" s="140" t="n">
        <f aca="false">SLOPE(B$3:AC$3,B9:AC9)</f>
        <v>1.94945972436286</v>
      </c>
      <c r="N26" s="110" t="n">
        <f aca="false">SLOPE(B$3:X$3,B9:X9)</f>
        <v>1.84838567248723</v>
      </c>
      <c r="O26" s="140" t="n">
        <f aca="false">SLOPE(B$3:P$3,B9:P9)</f>
        <v>2.13788832720488</v>
      </c>
      <c r="P26" s="110" t="n">
        <f aca="false">SLOPE(B$3:K$3,B9:K9)</f>
        <v>2.22144876982859</v>
      </c>
      <c r="Q26" s="107"/>
      <c r="R26" s="111" t="n">
        <f aca="false">AVERAGE(K26/2,L26:O26,P26/2)</f>
        <v>1.59324524422535</v>
      </c>
    </row>
    <row r="27" customFormat="false" ht="12.8" hidden="false" customHeight="false" outlineLevel="0" collapsed="false">
      <c r="A27" s="139" t="str">
        <f aca="false">A10</f>
        <v>Russel 2000</v>
      </c>
      <c r="B27" s="140" t="n">
        <f aca="false">SLOPE(B$2:AQ$2,B10:AQ10)</f>
        <v>1.74449847520264</v>
      </c>
      <c r="C27" s="110" t="n">
        <f aca="false">SLOPE(B$2:AI$2,B10:AI10)</f>
        <v>1.39073175496473</v>
      </c>
      <c r="D27" s="140" t="n">
        <f aca="false">SLOPE(B$2:AC$2,B10:AC10)</f>
        <v>0.957591566502268</v>
      </c>
      <c r="E27" s="110" t="n">
        <f aca="false">SLOPE(B$2:X$2,B10:X10)</f>
        <v>2.41706142520213</v>
      </c>
      <c r="F27" s="140" t="n">
        <f aca="false">SLOPE(B$2:P$2,B10:P10)</f>
        <v>2.87548272648553</v>
      </c>
      <c r="G27" s="140" t="n">
        <f aca="false">SLOPE(B$2:K$2,B10:K10)</f>
        <v>2.58550881963553</v>
      </c>
      <c r="H27" s="107"/>
      <c r="I27" s="111" t="n">
        <f aca="false">AVERAGE(B27/2,C27:F27,G27/2)</f>
        <v>1.63431185342896</v>
      </c>
      <c r="J27" s="141" t="str">
        <f aca="false">A61</f>
        <v>Russel 2000</v>
      </c>
      <c r="K27" s="140" t="n">
        <f aca="false">SLOPE(B$3:AQ$3,B10:AQ10)</f>
        <v>1.43031996905046</v>
      </c>
      <c r="L27" s="110" t="n">
        <f aca="false">SLOPE(B$3:AI$3,B10:AI10)</f>
        <v>1.17448734002282</v>
      </c>
      <c r="M27" s="140" t="n">
        <f aca="false">SLOPE(B$3:AC$3,B10:AC10)</f>
        <v>0.66422216996166</v>
      </c>
      <c r="N27" s="110" t="n">
        <f aca="false">SLOPE(B$3:X$3,B10:X10)</f>
        <v>2.16188002061032</v>
      </c>
      <c r="O27" s="140" t="n">
        <f aca="false">SLOPE(B$3:P$3,B10:P10)</f>
        <v>2.42138872035632</v>
      </c>
      <c r="P27" s="110" t="n">
        <f aca="false">SLOPE(B$3:K$3,B10:K10)</f>
        <v>2.13414566109066</v>
      </c>
      <c r="Q27" s="107"/>
      <c r="R27" s="111" t="n">
        <f aca="false">AVERAGE(K27/2,L27:O27,P27/2)</f>
        <v>1.36736851100361</v>
      </c>
    </row>
    <row r="28" customFormat="false" ht="12.8" hidden="false" customHeight="false" outlineLevel="0" collapsed="false">
      <c r="A28" s="139" t="str">
        <f aca="false">A11</f>
        <v>FTSE</v>
      </c>
      <c r="B28" s="140" t="n">
        <f aca="false">SLOPE(B$2:AQ$2,B11:AQ11)</f>
        <v>3.37978894472164</v>
      </c>
      <c r="C28" s="110" t="n">
        <f aca="false">SLOPE(B$2:AI$2,B11:AI11)</f>
        <v>3.43712997415642</v>
      </c>
      <c r="D28" s="140" t="n">
        <f aca="false">SLOPE(B$2:AC$2,B11:AC11)</f>
        <v>4.64360514077987</v>
      </c>
      <c r="E28" s="110" t="n">
        <f aca="false">SLOPE(B$2:X$2,B11:X11)</f>
        <v>5.36957497908438</v>
      </c>
      <c r="F28" s="140" t="n">
        <f aca="false">SLOPE(B$2:P$2,B11:P11)</f>
        <v>7.60370217749677</v>
      </c>
      <c r="G28" s="140" t="n">
        <f aca="false">SLOPE(B$2:K$2,B11:K11)</f>
        <v>6.81189970939473</v>
      </c>
      <c r="H28" s="107"/>
      <c r="I28" s="111" t="n">
        <f aca="false">AVERAGE(B28/2,C28:F28,G28/2)</f>
        <v>4.35830943309594</v>
      </c>
      <c r="J28" s="141" t="str">
        <f aca="false">A62</f>
        <v>FTSE</v>
      </c>
      <c r="K28" s="140" t="n">
        <f aca="false">SLOPE(B$3:AQ$3,B11:AQ11)</f>
        <v>3.14964711382492</v>
      </c>
      <c r="L28" s="110" t="n">
        <f aca="false">SLOPE(B$3:AI$3,B11:AI11)</f>
        <v>3.24547643642713</v>
      </c>
      <c r="M28" s="140" t="n">
        <f aca="false">SLOPE(B$3:AC$3,B11:AC11)</f>
        <v>4.64270621798438</v>
      </c>
      <c r="N28" s="110" t="n">
        <f aca="false">SLOPE(B$3:X$3,B11:X11)</f>
        <v>5.08386412246307</v>
      </c>
      <c r="O28" s="140" t="n">
        <f aca="false">SLOPE(B$3:P$3,B11:P11)</f>
        <v>6.39454519454821</v>
      </c>
      <c r="P28" s="110" t="n">
        <f aca="false">SLOPE(B$3:K$3,B11:K11)</f>
        <v>5.65166451028537</v>
      </c>
      <c r="Q28" s="107"/>
      <c r="R28" s="111" t="n">
        <f aca="false">AVERAGE(K28/2,L28:O28,P28/2)</f>
        <v>3.96120796391299</v>
      </c>
    </row>
    <row r="29" customFormat="false" ht="12.8" hidden="false" customHeight="false" outlineLevel="0" collapsed="false">
      <c r="A29" s="139" t="str">
        <f aca="false">A12</f>
        <v>DAX 40</v>
      </c>
      <c r="B29" s="140" t="n">
        <f aca="false">SLOPE(B$2:AQ$2,B12:AQ12)</f>
        <v>1.88560176075665</v>
      </c>
      <c r="C29" s="110" t="n">
        <f aca="false">SLOPE(B$2:AI$2,B12:AI12)</f>
        <v>1.68140594258064</v>
      </c>
      <c r="D29" s="140" t="n">
        <f aca="false">SLOPE(B$2:AC$2,B12:AC12)</f>
        <v>1.57390291966417</v>
      </c>
      <c r="E29" s="110" t="n">
        <f aca="false">SLOPE(B$2:X$2,B12:X12)</f>
        <v>1.52583230467814</v>
      </c>
      <c r="F29" s="140" t="n">
        <f aca="false">SLOPE(B$2:P$2,B12:P12)</f>
        <v>2.53593134355822</v>
      </c>
      <c r="G29" s="140" t="n">
        <f aca="false">SLOPE(B$2:K$2,B12:K12)</f>
        <v>2.36393716847431</v>
      </c>
      <c r="H29" s="107"/>
      <c r="I29" s="111" t="n">
        <f aca="false">AVERAGE(B29/2,C29:F29,G29/2)</f>
        <v>1.57364032918278</v>
      </c>
      <c r="J29" s="141" t="str">
        <f aca="false">A63</f>
        <v>DAX 40</v>
      </c>
      <c r="K29" s="140" t="n">
        <f aca="false">SLOPE(B$3:AQ$3,B12:AQ12)</f>
        <v>1.6651830811482</v>
      </c>
      <c r="L29" s="110" t="n">
        <f aca="false">SLOPE(B$3:AI$3,B12:AI12)</f>
        <v>1.59733905849772</v>
      </c>
      <c r="M29" s="140" t="n">
        <f aca="false">SLOPE(B$3:AC$3,B12:AC12)</f>
        <v>1.54387580388348</v>
      </c>
      <c r="N29" s="110" t="n">
        <f aca="false">SLOPE(B$3:X$3,B12:X12)</f>
        <v>1.48778068164512</v>
      </c>
      <c r="O29" s="140" t="n">
        <f aca="false">SLOPE(B$3:P$3,B12:P12)</f>
        <v>2.16105158427663</v>
      </c>
      <c r="P29" s="110" t="n">
        <f aca="false">SLOPE(B$3:K$3,B12:K12)</f>
        <v>2.01117190588966</v>
      </c>
      <c r="Q29" s="107"/>
      <c r="R29" s="111" t="n">
        <f aca="false">AVERAGE(K29/2,L29:O29,P29/2)</f>
        <v>1.43803743697031</v>
      </c>
    </row>
    <row r="30" customFormat="false" ht="12.8" hidden="false" customHeight="false" outlineLevel="0" collapsed="false">
      <c r="A30" s="139" t="str">
        <f aca="false">A13</f>
        <v>CAC 40</v>
      </c>
      <c r="B30" s="140" t="n">
        <f aca="false">SLOPE(B$2:AQ$2,B13:AQ13)</f>
        <v>1.8202042012491</v>
      </c>
      <c r="C30" s="110" t="n">
        <f aca="false">SLOPE(B$2:AI$2,B13:AI13)</f>
        <v>1.54582279468888</v>
      </c>
      <c r="D30" s="140" t="n">
        <f aca="false">SLOPE(B$2:AC$2,B13:AC13)</f>
        <v>1.6041399441546</v>
      </c>
      <c r="E30" s="110" t="n">
        <f aca="false">SLOPE(B$2:X$2,B13:X13)</f>
        <v>1.42744203223682</v>
      </c>
      <c r="F30" s="140" t="n">
        <f aca="false">SLOPE(B$2:P$2,B13:P13)</f>
        <v>1.5038863998556</v>
      </c>
      <c r="G30" s="140" t="n">
        <f aca="false">SLOPE(B$2:K$2,B13:K13)</f>
        <v>-0.41365519307356</v>
      </c>
      <c r="H30" s="107"/>
      <c r="I30" s="111" t="n">
        <f aca="false">AVERAGE(B30/2,C30:F30,G30/2)</f>
        <v>1.13076094583728</v>
      </c>
      <c r="J30" s="141" t="str">
        <f aca="false">A64</f>
        <v>CAC 40</v>
      </c>
      <c r="K30" s="140" t="n">
        <f aca="false">SLOPE(B$3:AQ$3,B13:AQ13)</f>
        <v>1.6222702690355</v>
      </c>
      <c r="L30" s="110" t="n">
        <f aca="false">SLOPE(B$3:AI$3,B13:AI13)</f>
        <v>1.49002599217909</v>
      </c>
      <c r="M30" s="140" t="n">
        <f aca="false">SLOPE(B$3:AC$3,B13:AC13)</f>
        <v>1.70694599668085</v>
      </c>
      <c r="N30" s="110" t="n">
        <f aca="false">SLOPE(B$3:X$3,B13:X13)</f>
        <v>1.50897702150467</v>
      </c>
      <c r="O30" s="140" t="n">
        <f aca="false">SLOPE(B$3:P$3,B13:P13)</f>
        <v>1.36213085225845</v>
      </c>
      <c r="P30" s="110" t="n">
        <f aca="false">SLOPE(B$3:K$3,B13:K13)</f>
        <v>-0.214896145561037</v>
      </c>
      <c r="Q30" s="107"/>
      <c r="R30" s="111" t="n">
        <f aca="false">AVERAGE(K30/2,L30:O30,P30/2)</f>
        <v>1.12862782072672</v>
      </c>
    </row>
    <row r="31" customFormat="false" ht="12.8" hidden="false" customHeight="false" outlineLevel="0" collapsed="false">
      <c r="A31" s="139" t="str">
        <f aca="false">A14</f>
        <v>Eurostoxx 50</v>
      </c>
      <c r="B31" s="140" t="n">
        <f aca="false">SLOPE(B$2:AQ$2,B14:AQ14)</f>
        <v>1.98698506273004</v>
      </c>
      <c r="C31" s="110" t="n">
        <f aca="false">SLOPE(B$2:AI$2,B14:AI14)</f>
        <v>1.713340000507</v>
      </c>
      <c r="D31" s="140" t="n">
        <f aca="false">SLOPE(B$2:AC$2,B14:AC14)</f>
        <v>1.60296825782982</v>
      </c>
      <c r="E31" s="110" t="n">
        <f aca="false">SLOPE(B$2:X$2,B14:X14)</f>
        <v>1.49877209346108</v>
      </c>
      <c r="F31" s="140" t="n">
        <f aca="false">SLOPE(B$2:P$2,B14:P14)</f>
        <v>2.40359579766703</v>
      </c>
      <c r="G31" s="140" t="n">
        <f aca="false">SLOPE(B$2:K$2,B14:K14)</f>
        <v>1.65814782417415</v>
      </c>
      <c r="H31" s="107"/>
      <c r="I31" s="111" t="n">
        <f aca="false">AVERAGE(B31/2,C31:F31,G31/2)</f>
        <v>1.50687376548617</v>
      </c>
      <c r="J31" s="141" t="str">
        <f aca="false">A65</f>
        <v>Eurostoxx 50</v>
      </c>
      <c r="K31" s="140" t="n">
        <f aca="false">SLOPE(B$3:AQ$3,B14:AQ14)</f>
        <v>1.77404315478855</v>
      </c>
      <c r="L31" s="110" t="n">
        <f aca="false">SLOPE(B$3:AI$3,B14:AI14)</f>
        <v>1.63734737568379</v>
      </c>
      <c r="M31" s="140" t="n">
        <f aca="false">SLOPE(B$3:AC$3,B14:AC14)</f>
        <v>1.60532908703497</v>
      </c>
      <c r="N31" s="110" t="n">
        <f aca="false">SLOPE(B$3:X$3,B14:X14)</f>
        <v>1.48663391413593</v>
      </c>
      <c r="O31" s="140" t="n">
        <f aca="false">SLOPE(B$3:P$3,B14:P14)</f>
        <v>2.06887417129693</v>
      </c>
      <c r="P31" s="110" t="n">
        <f aca="false">SLOPE(B$3:K$3,B14:K14)</f>
        <v>1.47548712445088</v>
      </c>
      <c r="Q31" s="107"/>
      <c r="R31" s="111" t="n">
        <f aca="false">AVERAGE(K31/2,L31:O31,P31/2)</f>
        <v>1.40382494796189</v>
      </c>
    </row>
    <row r="32" customFormat="false" ht="12.8" hidden="false" customHeight="false" outlineLevel="0" collapsed="false">
      <c r="A32" s="139" t="str">
        <f aca="false">A15</f>
        <v>Nikkei</v>
      </c>
      <c r="B32" s="140" t="n">
        <f aca="false">SLOPE(B$2:AQ$2,B15:AQ15)</f>
        <v>1.31766220070203</v>
      </c>
      <c r="C32" s="110" t="n">
        <f aca="false">SLOPE(B$2:AI$2,B15:AI15)</f>
        <v>1.15566338462471</v>
      </c>
      <c r="D32" s="140" t="n">
        <f aca="false">SLOPE(B$2:AC$2,B15:AC15)</f>
        <v>1.01381389481763</v>
      </c>
      <c r="E32" s="110" t="n">
        <f aca="false">SLOPE(B$2:X$2,B15:X15)</f>
        <v>0.947919047426981</v>
      </c>
      <c r="F32" s="140" t="n">
        <f aca="false">SLOPE(B$2:P$2,B15:P15)</f>
        <v>1.14268280748521</v>
      </c>
      <c r="G32" s="140" t="n">
        <f aca="false">SLOPE(B$2:K$2,B15:K15)</f>
        <v>0.570774524949519</v>
      </c>
      <c r="H32" s="107"/>
      <c r="I32" s="111" t="n">
        <f aca="false">AVERAGE(B32/2,C32:F32,G32/2)</f>
        <v>0.867382916196717</v>
      </c>
      <c r="J32" s="141" t="str">
        <f aca="false">A66</f>
        <v>Nikkei</v>
      </c>
      <c r="K32" s="140" t="n">
        <f aca="false">SLOPE(B$3:AQ$3,B15:AQ15)</f>
        <v>1.19519708623583</v>
      </c>
      <c r="L32" s="110" t="n">
        <f aca="false">SLOPE(B$3:AI$3,B15:AI15)</f>
        <v>1.13172909962229</v>
      </c>
      <c r="M32" s="140" t="n">
        <f aca="false">SLOPE(B$3:AC$3,B15:AC15)</f>
        <v>1.0506796461714</v>
      </c>
      <c r="N32" s="110" t="n">
        <f aca="false">SLOPE(B$3:X$3,B15:X15)</f>
        <v>0.95853615198243</v>
      </c>
      <c r="O32" s="140" t="n">
        <f aca="false">SLOPE(B$3:P$3,B15:P15)</f>
        <v>1.02740886192633</v>
      </c>
      <c r="P32" s="110" t="n">
        <f aca="false">SLOPE(B$3:K$3,B15:K15)</f>
        <v>0.557866924973452</v>
      </c>
      <c r="Q32" s="107"/>
      <c r="R32" s="111" t="n">
        <f aca="false">AVERAGE(K32/2,L32:O32,P32/2)</f>
        <v>0.840814294217848</v>
      </c>
    </row>
    <row r="33" customFormat="false" ht="12.8" hidden="false" customHeight="false" outlineLevel="0" collapsed="false">
      <c r="A33" s="139" t="str">
        <f aca="false">A16</f>
        <v>MOEKS</v>
      </c>
      <c r="B33" s="140" t="n">
        <f aca="false">SLOPE(B$2:AQ$2,B16:AQ16)</f>
        <v>0.44764193840777</v>
      </c>
      <c r="C33" s="110" t="n">
        <f aca="false">SLOPE(B$2:AI$2,B16:AI16)</f>
        <v>0.101750998787168</v>
      </c>
      <c r="D33" s="140" t="n">
        <f aca="false">SLOPE(B$2:AC$2,B16:AC16)</f>
        <v>-0.0168022103491214</v>
      </c>
      <c r="E33" s="110" t="n">
        <f aca="false">SLOPE(B$2:X$2,B16:X16)</f>
        <v>0.62387829476483</v>
      </c>
      <c r="F33" s="140" t="n">
        <f aca="false">SLOPE(B$2:P$2,B16:P16)</f>
        <v>-0.366962519653887</v>
      </c>
      <c r="G33" s="140" t="n">
        <f aca="false">SLOPE(B$2:K$2,B16:K16)</f>
        <v>-1.97003496931239</v>
      </c>
      <c r="H33" s="107"/>
      <c r="I33" s="111" t="n">
        <f aca="false">AVERAGE(B33/2,C33:F33,G33/2)</f>
        <v>-0.0698886586505539</v>
      </c>
      <c r="J33" s="141" t="str">
        <f aca="false">A67</f>
        <v>MOEKS</v>
      </c>
      <c r="K33" s="140" t="n">
        <f aca="false">SLOPE(B$3:AQ$3,B16:AQ16)</f>
        <v>0.29874852340345</v>
      </c>
      <c r="L33" s="110" t="n">
        <f aca="false">SLOPE(B$3:AI$3,B16:AI16)</f>
        <v>0.0453501402080378</v>
      </c>
      <c r="M33" s="140" t="n">
        <f aca="false">SLOPE(B$3:AC$3,B16:AC16)</f>
        <v>-0.0578596564939912</v>
      </c>
      <c r="N33" s="110" t="n">
        <f aca="false">SLOPE(B$3:X$3,B16:X16)</f>
        <v>0.711635783699248</v>
      </c>
      <c r="O33" s="140" t="n">
        <f aca="false">SLOPE(B$3:P$3,B16:P16)</f>
        <v>-0.171411830017748</v>
      </c>
      <c r="P33" s="110" t="n">
        <f aca="false">SLOPE(B$3:K$3,B16:K16)</f>
        <v>-1.5276539490852</v>
      </c>
      <c r="Q33" s="107"/>
      <c r="R33" s="111" t="n">
        <f aca="false">AVERAGE(K33/2,L33:O33,P33/2)</f>
        <v>-0.0144563792408883</v>
      </c>
    </row>
    <row r="34" customFormat="false" ht="12.8" hidden="false" customHeight="false" outlineLevel="0" collapsed="false">
      <c r="A34" s="139" t="str">
        <f aca="false">A17</f>
        <v>CSI 300</v>
      </c>
      <c r="B34" s="140" t="n">
        <f aca="false">SLOPE(B$2:AQ$2,B17:AQ17)</f>
        <v>-0.454199669553949</v>
      </c>
      <c r="C34" s="110" t="n">
        <f aca="false">SLOPE(B$2:AI$2,B17:AI17)</f>
        <v>-1.12122076110495</v>
      </c>
      <c r="D34" s="140" t="n">
        <f aca="false">SLOPE(B$2:AC$2,B17:AC17)</f>
        <v>-1.06640763395814</v>
      </c>
      <c r="E34" s="110" t="n">
        <f aca="false">SLOPE(B$2:X$2,B17:X17)</f>
        <v>-1.51369078094637</v>
      </c>
      <c r="F34" s="140" t="n">
        <f aca="false">SLOPE(B$2:P$2,B17:P17)</f>
        <v>-3.85944929205427</v>
      </c>
      <c r="G34" s="140" t="n">
        <f aca="false">SLOPE(B$2:K$2,B17:K17)</f>
        <v>-4.48724442080438</v>
      </c>
      <c r="H34" s="107"/>
      <c r="I34" s="111" t="n">
        <f aca="false">AVERAGE(B34/2,C34:F34,G34/2)</f>
        <v>-1.67191508554048</v>
      </c>
      <c r="J34" s="141" t="str">
        <f aca="false">A68</f>
        <v>CSI 300</v>
      </c>
      <c r="K34" s="140" t="n">
        <f aca="false">SLOPE(B$3:AQ$3,B17:AQ17)</f>
        <v>-0.654428362685693</v>
      </c>
      <c r="L34" s="110" t="n">
        <f aca="false">SLOPE(B$3:AI$3,B17:AI17)</f>
        <v>-1.19938477070342</v>
      </c>
      <c r="M34" s="140" t="n">
        <f aca="false">SLOPE(B$3:AC$3,B17:AC17)</f>
        <v>-1.16613313549166</v>
      </c>
      <c r="N34" s="110" t="n">
        <f aca="false">SLOPE(B$3:X$3,B17:X17)</f>
        <v>-1.52021761249158</v>
      </c>
      <c r="O34" s="140" t="n">
        <f aca="false">SLOPE(B$3:P$3,B17:P17)</f>
        <v>-3.25732661231659</v>
      </c>
      <c r="P34" s="110" t="n">
        <f aca="false">SLOPE(B$3:K$3,B17:K17)</f>
        <v>-3.43419001565899</v>
      </c>
      <c r="Q34" s="107"/>
      <c r="R34" s="111" t="n">
        <f aca="false">AVERAGE(K34/2,L34:O34,P34/2)</f>
        <v>-1.5312285533626</v>
      </c>
    </row>
    <row r="35" customFormat="false" ht="12.8" hidden="false" customHeight="false" outlineLevel="0" collapsed="false">
      <c r="A35" s="139" t="str">
        <f aca="false">A18</f>
        <v>TWSE 50</v>
      </c>
      <c r="B35" s="140" t="n">
        <f aca="false">SLOPE(B$2:AQ$2,B18:AQ18)</f>
        <v>0.980816279908196</v>
      </c>
      <c r="C35" s="110" t="n">
        <f aca="false">SLOPE(B$2:AI$2,B18:AI18)</f>
        <v>0.945990603979875</v>
      </c>
      <c r="D35" s="140" t="n">
        <f aca="false">SLOPE(B$2:AC$2,B18:AC18)</f>
        <v>0.894637147199666</v>
      </c>
      <c r="E35" s="110" t="n">
        <f aca="false">SLOPE(B$2:X$2,B18:X18)</f>
        <v>0.876923098397464</v>
      </c>
      <c r="F35" s="140" t="n">
        <f aca="false">SLOPE(B$2:P$2,B18:P18)</f>
        <v>0.952463177500587</v>
      </c>
      <c r="G35" s="140" t="n">
        <f aca="false">SLOPE(B$2:K$2,B18:K18)</f>
        <v>0.876282913805084</v>
      </c>
      <c r="H35" s="107"/>
      <c r="I35" s="111" t="n">
        <f aca="false">AVERAGE(B35/2,C35:F35,G35/2)</f>
        <v>0.766427270655705</v>
      </c>
      <c r="J35" s="141" t="str">
        <f aca="false">A69</f>
        <v>TWSE 50</v>
      </c>
      <c r="K35" s="140" t="n">
        <f aca="false">SLOPE(B$3:AQ$3,B18:AQ18)</f>
        <v>0.843278346148707</v>
      </c>
      <c r="L35" s="110" t="n">
        <f aca="false">SLOPE(B$3:AI$3,B18:AI18)</f>
        <v>0.865111523735005</v>
      </c>
      <c r="M35" s="140" t="n">
        <f aca="false">SLOPE(B$3:AC$3,B18:AC18)</f>
        <v>0.818488185043915</v>
      </c>
      <c r="N35" s="110" t="n">
        <f aca="false">SLOPE(B$3:X$3,B18:X18)</f>
        <v>0.79961994052638</v>
      </c>
      <c r="O35" s="140" t="n">
        <f aca="false">SLOPE(B$3:P$3,B18:P18)</f>
        <v>0.809630002868615</v>
      </c>
      <c r="P35" s="110" t="n">
        <f aca="false">SLOPE(B$3:K$3,B18:K18)</f>
        <v>0.740339446218317</v>
      </c>
      <c r="Q35" s="107"/>
      <c r="R35" s="111" t="n">
        <f aca="false">AVERAGE(K35/2,L35:O35,P35/2)</f>
        <v>0.680776424726238</v>
      </c>
    </row>
    <row r="36" customFormat="false" ht="12.8" hidden="false" customHeight="false" outlineLevel="0" collapsed="false">
      <c r="A36" s="139" t="str">
        <f aca="false">A19</f>
        <v>SOFIX</v>
      </c>
      <c r="B36" s="140" t="n">
        <f aca="false">SLOPE(B$2:AQ$2,B19:AQ19)</f>
        <v>1.61736723169891</v>
      </c>
      <c r="C36" s="110" t="n">
        <f aca="false">SLOPE(B$2:AI$2,B19:AI19)</f>
        <v>1.4642646897239</v>
      </c>
      <c r="D36" s="140" t="n">
        <f aca="false">SLOPE(B$2:AC$2,B19:AC19)</f>
        <v>1.45328503301091</v>
      </c>
      <c r="E36" s="110" t="n">
        <f aca="false">SLOPE(B$2:X$2,B19:X19)</f>
        <v>1.55772771500109</v>
      </c>
      <c r="F36" s="140" t="n">
        <f aca="false">SLOPE(B$2:P$2,B19:P19)</f>
        <v>2.41114284027648</v>
      </c>
      <c r="G36" s="140" t="n">
        <f aca="false">SLOPE(B$2:K$2,B19:K19)</f>
        <v>3.7653173031594</v>
      </c>
      <c r="H36" s="107"/>
      <c r="I36" s="111" t="n">
        <f aca="false">AVERAGE(B36/2,C36:F36,G36/2)</f>
        <v>1.59629375757359</v>
      </c>
      <c r="J36" s="141" t="str">
        <f aca="false">A70</f>
        <v>SOFIX</v>
      </c>
      <c r="K36" s="140" t="n">
        <f aca="false">SLOPE(B$3:AQ$3,B19:AQ19)</f>
        <v>1.54151229106114</v>
      </c>
      <c r="L36" s="110" t="n">
        <f aca="false">SLOPE(B$3:AI$3,B19:AI19)</f>
        <v>1.42407273234553</v>
      </c>
      <c r="M36" s="140" t="n">
        <f aca="false">SLOPE(B$3:AC$3,B19:AC19)</f>
        <v>1.49273684098625</v>
      </c>
      <c r="N36" s="110" t="n">
        <f aca="false">SLOPE(B$3:X$3,B19:X19)</f>
        <v>1.53105850707901</v>
      </c>
      <c r="O36" s="140" t="n">
        <f aca="false">SLOPE(B$3:P$3,B19:P19)</f>
        <v>2.08998800055779</v>
      </c>
      <c r="P36" s="110" t="n">
        <f aca="false">SLOPE(B$3:K$3,B19:K19)</f>
        <v>3.17069533330115</v>
      </c>
      <c r="Q36" s="107"/>
      <c r="R36" s="111" t="n">
        <f aca="false">AVERAGE(K36/2,L36:O36,P36/2)</f>
        <v>1.48232664885829</v>
      </c>
    </row>
    <row r="37" customFormat="false" ht="12.8" hidden="false" customHeight="false" outlineLevel="0" collapsed="false">
      <c r="A37" s="139" t="str">
        <f aca="false">A20</f>
        <v>BELEX</v>
      </c>
      <c r="B37" s="140" t="n">
        <f aca="false">SLOPE(B$2:AQ$2,B20:AQ20)</f>
        <v>2.57394950325933</v>
      </c>
      <c r="C37" s="110" t="n">
        <f aca="false">SLOPE(B$2:AI$2,B20:AI20)</f>
        <v>2.26269855406675</v>
      </c>
      <c r="D37" s="140" t="n">
        <f aca="false">SLOPE(B$2:AC$2,B20:AC20)</f>
        <v>2.36567922572581</v>
      </c>
      <c r="E37" s="110" t="n">
        <f aca="false">SLOPE(B$2:X$2,B20:X20)</f>
        <v>2.61355723885066</v>
      </c>
      <c r="F37" s="140" t="n">
        <f aca="false">SLOPE(B$2:P$2,B20:P20)</f>
        <v>3.11017274887799</v>
      </c>
      <c r="G37" s="140" t="n">
        <f aca="false">SLOPE(B$2:K$2,B20:K20)</f>
        <v>2.75326831617704</v>
      </c>
      <c r="H37" s="107"/>
      <c r="I37" s="111" t="n">
        <f aca="false">AVERAGE(B37/2,C37:F37,G37/2)</f>
        <v>2.16928611287323</v>
      </c>
      <c r="J37" s="141" t="str">
        <f aca="false">A71</f>
        <v>BELEX</v>
      </c>
      <c r="K37" s="140" t="n">
        <f aca="false">SLOPE(B$3:AQ$3,B20:AQ20)</f>
        <v>2.31975765689745</v>
      </c>
      <c r="L37" s="110" t="n">
        <f aca="false">SLOPE(B$3:AI$3,B20:AI20)</f>
        <v>2.14574409712242</v>
      </c>
      <c r="M37" s="140" t="n">
        <f aca="false">SLOPE(B$3:AC$3,B20:AC20)</f>
        <v>2.34383618713711</v>
      </c>
      <c r="N37" s="110" t="n">
        <f aca="false">SLOPE(B$3:X$3,B20:X20)</f>
        <v>2.44481430097166</v>
      </c>
      <c r="O37" s="140" t="n">
        <f aca="false">SLOPE(B$3:P$3,B20:P20)</f>
        <v>2.61460972460155</v>
      </c>
      <c r="P37" s="110" t="n">
        <f aca="false">SLOPE(B$3:K$3,B20:K20)</f>
        <v>2.2784938436851</v>
      </c>
      <c r="Q37" s="107"/>
      <c r="R37" s="111" t="n">
        <f aca="false">AVERAGE(K37/2,L37:O37,P37/2)</f>
        <v>1.974688343354</v>
      </c>
    </row>
    <row r="38" customFormat="false" ht="12.8" hidden="false" customHeight="false" outlineLevel="0" collapsed="false">
      <c r="A38" s="139" t="str">
        <f aca="false">A21</f>
        <v>ATHEX</v>
      </c>
      <c r="B38" s="140" t="n">
        <f aca="false">SLOPE(B$2:AQ$2,B21:AQ21)</f>
        <v>0.924447299302254</v>
      </c>
      <c r="C38" s="110" t="n">
        <f aca="false">SLOPE(B$2:AI$2,B21:AI21)</f>
        <v>0.791098993313198</v>
      </c>
      <c r="D38" s="140" t="n">
        <f aca="false">SLOPE(B$2:AC$2,B21:AC21)</f>
        <v>0.695819394694772</v>
      </c>
      <c r="E38" s="110" t="n">
        <f aca="false">SLOPE(B$2:X$2,B21:X21)</f>
        <v>0.689555631113218</v>
      </c>
      <c r="F38" s="140" t="n">
        <f aca="false">SLOPE(B$2:P$2,B21:P21)</f>
        <v>1.42740611316762</v>
      </c>
      <c r="G38" s="140" t="n">
        <f aca="false">SLOPE(B$2:K$2,B21:K21)</f>
        <v>1.29405866937913</v>
      </c>
      <c r="H38" s="107"/>
      <c r="I38" s="111" t="n">
        <f aca="false">AVERAGE(B38/2,C38:F38,G38/2)</f>
        <v>0.785522186104917</v>
      </c>
      <c r="J38" s="141" t="str">
        <f aca="false">A72</f>
        <v>ATHEX</v>
      </c>
      <c r="K38" s="140" t="n">
        <f aca="false">SLOPE(B$3:AQ$3,B21:AQ21)</f>
        <v>0.857258749757288</v>
      </c>
      <c r="L38" s="110" t="n">
        <f aca="false">SLOPE(B$3:AI$3,B21:AI21)</f>
        <v>0.782118936552141</v>
      </c>
      <c r="M38" s="140" t="n">
        <f aca="false">SLOPE(B$3:AC$3,B21:AC21)</f>
        <v>0.734229367871238</v>
      </c>
      <c r="N38" s="110" t="n">
        <f aca="false">SLOPE(B$3:X$3,B21:X21)</f>
        <v>0.696321695102603</v>
      </c>
      <c r="O38" s="140" t="n">
        <f aca="false">SLOPE(B$3:P$3,B21:P21)</f>
        <v>1.23940157541525</v>
      </c>
      <c r="P38" s="110" t="n">
        <f aca="false">SLOPE(B$3:K$3,B21:K21)</f>
        <v>1.11093115747747</v>
      </c>
      <c r="Q38" s="107"/>
      <c r="R38" s="111" t="n">
        <f aca="false">AVERAGE(K38/2,L38:O38,P38/2)</f>
        <v>0.739361088093102</v>
      </c>
    </row>
    <row r="39" customFormat="false" ht="12.8" hidden="false" customHeight="false" outlineLevel="0" collapsed="false">
      <c r="A39" s="139" t="str">
        <f aca="false">A22</f>
        <v>CROBEX</v>
      </c>
      <c r="B39" s="140" t="n">
        <f aca="false">SLOPE(B$2:AQ$2,B22:AQ22)</f>
        <v>1.48907351705346</v>
      </c>
      <c r="C39" s="110" t="n">
        <f aca="false">SLOPE(B$2:AI$2,B22:AI22)</f>
        <v>1.29183238397304</v>
      </c>
      <c r="D39" s="140" t="n">
        <f aca="false">SLOPE(B$2:AC$2,B22:AC22)</f>
        <v>1.17887791540675</v>
      </c>
      <c r="E39" s="110" t="n">
        <f aca="false">SLOPE(B$2:X$2,B22:X22)</f>
        <v>1.17120163852611</v>
      </c>
      <c r="F39" s="140" t="n">
        <f aca="false">SLOPE(B$2:P$2,B22:P22)</f>
        <v>1.80365617101036</v>
      </c>
      <c r="G39" s="140" t="n">
        <f aca="false">SLOPE(B$2:K$2,B22:K22)</f>
        <v>2.13473015493368</v>
      </c>
      <c r="H39" s="107"/>
      <c r="I39" s="111" t="n">
        <f aca="false">AVERAGE(B39/2,C39:F39,G39/2)</f>
        <v>1.20957832415164</v>
      </c>
      <c r="J39" s="141" t="str">
        <f aca="false">A73</f>
        <v>CROBEX</v>
      </c>
      <c r="K39" s="140" t="n">
        <f aca="false">SLOPE(B$3:AQ$3,B22:AQ22)</f>
        <v>1.3591486049861</v>
      </c>
      <c r="L39" s="110" t="n">
        <f aca="false">SLOPE(B$3:AI$3,B22:AI22)</f>
        <v>1.25141220035115</v>
      </c>
      <c r="M39" s="140" t="n">
        <f aca="false">SLOPE(B$3:AC$3,B22:AC22)</f>
        <v>1.18716857958603</v>
      </c>
      <c r="N39" s="110" t="n">
        <f aca="false">SLOPE(B$3:X$3,B22:X22)</f>
        <v>1.13275228633616</v>
      </c>
      <c r="O39" s="140" t="n">
        <f aca="false">SLOPE(B$3:P$3,B22:P22)</f>
        <v>1.54552330384986</v>
      </c>
      <c r="P39" s="110" t="n">
        <f aca="false">SLOPE(B$3:K$3,B22:K22)</f>
        <v>1.78707431838342</v>
      </c>
      <c r="Q39" s="107"/>
      <c r="R39" s="111" t="n">
        <f aca="false">AVERAGE(K39/2,L39:O39,P39/2)</f>
        <v>1.11499463863466</v>
      </c>
    </row>
    <row r="40" customFormat="false" ht="12.8" hidden="false" customHeight="false" outlineLevel="0" collapsed="false">
      <c r="A40" s="135"/>
      <c r="B40" s="135"/>
      <c r="C40" s="135"/>
      <c r="D40" s="135"/>
      <c r="E40" s="135"/>
      <c r="F40" s="135"/>
      <c r="G40" s="135"/>
      <c r="H40" s="135"/>
      <c r="I40" s="135"/>
      <c r="J40" s="142"/>
      <c r="K40" s="142"/>
      <c r="L40" s="142"/>
      <c r="M40" s="142"/>
      <c r="N40" s="142"/>
      <c r="O40" s="142"/>
      <c r="P40" s="142"/>
      <c r="Q40" s="142"/>
      <c r="R40" s="142"/>
    </row>
    <row r="41" customFormat="false" ht="23.85" hidden="false" customHeight="false" outlineLevel="0" collapsed="false">
      <c r="A41" s="136" t="s">
        <v>134</v>
      </c>
      <c r="B41" s="16" t="s">
        <v>105</v>
      </c>
      <c r="C41" s="105" t="s">
        <v>106</v>
      </c>
      <c r="D41" s="104" t="s">
        <v>107</v>
      </c>
      <c r="E41" s="104" t="s">
        <v>108</v>
      </c>
      <c r="F41" s="104" t="s">
        <v>109</v>
      </c>
      <c r="G41" s="106" t="s">
        <v>110</v>
      </c>
      <c r="H41" s="107"/>
      <c r="I41" s="108" t="s">
        <v>111</v>
      </c>
      <c r="J41" s="138" t="s">
        <v>135</v>
      </c>
      <c r="K41" s="16" t="s">
        <v>105</v>
      </c>
      <c r="L41" s="105" t="s">
        <v>106</v>
      </c>
      <c r="M41" s="104" t="s">
        <v>107</v>
      </c>
      <c r="N41" s="104" t="s">
        <v>108</v>
      </c>
      <c r="O41" s="104" t="s">
        <v>109</v>
      </c>
      <c r="P41" s="106" t="s">
        <v>110</v>
      </c>
      <c r="Q41" s="107"/>
      <c r="R41" s="108" t="s">
        <v>111</v>
      </c>
    </row>
    <row r="42" customFormat="false" ht="12.8" hidden="false" customHeight="false" outlineLevel="0" collapsed="false">
      <c r="A42" s="139" t="str">
        <f aca="false">J42</f>
        <v>S&amp;P 500</v>
      </c>
      <c r="B42" s="140" t="n">
        <f aca="false">SLOPE(B$4:AQ$4,B8:AQ8)</f>
        <v>1.10500309864341</v>
      </c>
      <c r="C42" s="110" t="n">
        <f aca="false">SLOPE(B$4:AI$4,B8:AI8)</f>
        <v>1.16675720219127</v>
      </c>
      <c r="D42" s="140" t="n">
        <f aca="false">SLOPE(B$4:AC$4,B8:AC8)</f>
        <v>1.27653092020525</v>
      </c>
      <c r="E42" s="110" t="n">
        <f aca="false">SLOPE(B$4:X$4,B8:X8)</f>
        <v>1.20866790495854</v>
      </c>
      <c r="F42" s="140" t="n">
        <f aca="false">SLOPE(B$4:P$4,B8:P8)</f>
        <v>1.40999781656329</v>
      </c>
      <c r="G42" s="110" t="n">
        <f aca="false">SLOPE(B$4:K$4,B8:K8)</f>
        <v>1.55399054569108</v>
      </c>
      <c r="H42" s="107"/>
      <c r="I42" s="111" t="n">
        <f aca="false">AVERAGE(B42/2,C42:F42,G42/2)</f>
        <v>1.06524177768093</v>
      </c>
      <c r="J42" s="141" t="str">
        <f aca="false">A76</f>
        <v>S&amp;P 500</v>
      </c>
      <c r="K42" s="140" t="n">
        <f aca="false">SLOPE(B$7:AQ$7,B8:AQ8)</f>
        <v>0.383186100470245</v>
      </c>
      <c r="L42" s="110" t="n">
        <f aca="false">SLOPE(B$7:AI$7,B8:AI8)</f>
        <v>0.424541401680888</v>
      </c>
      <c r="M42" s="140" t="n">
        <f aca="false">SLOPE(B$7:AC$7,B8:AC8)</f>
        <v>0.394370431529501</v>
      </c>
      <c r="N42" s="110" t="n">
        <f aca="false">SLOPE(B$7:X$7,B8:X8)</f>
        <v>0.379329751687914</v>
      </c>
      <c r="O42" s="140" t="n">
        <f aca="false">SLOPE(B$7:P$7,B8:P8)</f>
        <v>0.5291593238611</v>
      </c>
      <c r="P42" s="110" t="n">
        <f aca="false">SLOPE(B$7:K$7,B8:K8)</f>
        <v>0.596878492117643</v>
      </c>
      <c r="Q42" s="107"/>
      <c r="R42" s="111" t="n">
        <f aca="false">AVERAGE(K42/2,L42:O42,P42/2)</f>
        <v>0.369572200842224</v>
      </c>
    </row>
    <row r="43" customFormat="false" ht="12.8" hidden="false" customHeight="false" outlineLevel="0" collapsed="false">
      <c r="A43" s="139" t="str">
        <f aca="false">J43</f>
        <v>DOW</v>
      </c>
      <c r="B43" s="140" t="n">
        <f aca="false">SLOPE(B$4:AQ$4,B9:AQ9)</f>
        <v>1.67810780796925</v>
      </c>
      <c r="C43" s="110" t="n">
        <f aca="false">SLOPE(B$4:AI$4,B9:AI9)</f>
        <v>1.6693726534497</v>
      </c>
      <c r="D43" s="140" t="n">
        <f aca="false">SLOPE(B$4:AC$4,B9:AC9)</f>
        <v>1.91579512182402</v>
      </c>
      <c r="E43" s="110" t="n">
        <f aca="false">SLOPE(B$4:X$4,B9:X9)</f>
        <v>1.81579881711625</v>
      </c>
      <c r="F43" s="140" t="n">
        <f aca="false">SLOPE(B$4:P$4,B9:P9)</f>
        <v>2.1403899702976</v>
      </c>
      <c r="G43" s="110" t="n">
        <f aca="false">SLOPE(B$4:K$4,B9:K9)</f>
        <v>2.24328143232101</v>
      </c>
      <c r="H43" s="107"/>
      <c r="I43" s="111" t="n">
        <f aca="false">AVERAGE(B43/2,C43:F43,G43/2)</f>
        <v>1.58367519713878</v>
      </c>
      <c r="J43" s="141" t="str">
        <f aca="false">A77</f>
        <v>DOW</v>
      </c>
      <c r="K43" s="140" t="n">
        <f aca="false">SLOPE(B$7:AQ$7,B9:AQ9)</f>
        <v>0.580468736660532</v>
      </c>
      <c r="L43" s="110" t="n">
        <f aca="false">SLOPE(B$7:AI$7,B9:AI9)</f>
        <v>0.601569957718355</v>
      </c>
      <c r="M43" s="140" t="n">
        <f aca="false">SLOPE(B$7:AC$7,B9:AC9)</f>
        <v>0.562024547907964</v>
      </c>
      <c r="N43" s="110" t="n">
        <f aca="false">SLOPE(B$7:X$7,B9:X9)</f>
        <v>0.539820541730046</v>
      </c>
      <c r="O43" s="140" t="n">
        <f aca="false">SLOPE(B$7:P$7,B9:P9)</f>
        <v>0.784801037609842</v>
      </c>
      <c r="P43" s="110" t="n">
        <f aca="false">SLOPE(B$7:K$7,B9:K9)</f>
        <v>0.817780042636052</v>
      </c>
      <c r="Q43" s="107"/>
      <c r="R43" s="111" t="n">
        <f aca="false">AVERAGE(K43/2,L43:O43,P43/2)</f>
        <v>0.53122341243575</v>
      </c>
    </row>
    <row r="44" customFormat="false" ht="12.8" hidden="false" customHeight="false" outlineLevel="0" collapsed="false">
      <c r="A44" s="139" t="str">
        <f aca="false">J44</f>
        <v>Russel 2000</v>
      </c>
      <c r="B44" s="140" t="n">
        <f aca="false">SLOPE(B$4:AQ$4,B10:AQ10)</f>
        <v>1.45197087594411</v>
      </c>
      <c r="C44" s="110" t="n">
        <f aca="false">SLOPE(B$4:AI$4,B10:AI10)</f>
        <v>1.19053508242781</v>
      </c>
      <c r="D44" s="140" t="n">
        <f aca="false">SLOPE(B$4:AC$4,B10:AC10)</f>
        <v>0.687235107322924</v>
      </c>
      <c r="E44" s="110" t="n">
        <f aca="false">SLOPE(B$4:X$4,B10:X10)</f>
        <v>2.17645156749578</v>
      </c>
      <c r="F44" s="140" t="n">
        <f aca="false">SLOPE(B$4:P$4,B10:P10)</f>
        <v>2.42981357088649</v>
      </c>
      <c r="G44" s="110" t="n">
        <f aca="false">SLOPE(B$4:K$4,B10:K10)</f>
        <v>2.15479336142522</v>
      </c>
      <c r="H44" s="107"/>
      <c r="I44" s="111" t="n">
        <f aca="false">AVERAGE(B44/2,C44:F44,G44/2)</f>
        <v>1.38123624113628</v>
      </c>
      <c r="J44" s="141" t="str">
        <f aca="false">A78</f>
        <v>Russel 2000</v>
      </c>
      <c r="K44" s="140" t="n">
        <f aca="false">SLOPE(B$7:AQ$7,B10:AQ10)</f>
        <v>0.598657464795227</v>
      </c>
      <c r="L44" s="110" t="n">
        <f aca="false">SLOPE(B$7:AI$7,B10:AI10)</f>
        <v>0.553884888584819</v>
      </c>
      <c r="M44" s="140" t="n">
        <f aca="false">SLOPE(B$7:AC$7,B10:AC10)</f>
        <v>0.420385804013605</v>
      </c>
      <c r="N44" s="110" t="n">
        <f aca="false">SLOPE(B$7:X$7,B10:X10)</f>
        <v>0.886640790907787</v>
      </c>
      <c r="O44" s="140" t="n">
        <f aca="false">SLOPE(B$7:P$7,B10:P10)</f>
        <v>0.896732009607944</v>
      </c>
      <c r="P44" s="110" t="n">
        <f aca="false">SLOPE(B$7:K$7,B10:K10)</f>
        <v>0.83781417167246</v>
      </c>
      <c r="Q44" s="107"/>
      <c r="R44" s="111" t="n">
        <f aca="false">AVERAGE(K44/2,L44:O44,P44/2)</f>
        <v>0.579313218558</v>
      </c>
    </row>
    <row r="45" customFormat="false" ht="12.8" hidden="false" customHeight="false" outlineLevel="0" collapsed="false">
      <c r="A45" s="139" t="str">
        <f aca="false">J45</f>
        <v>FTSE</v>
      </c>
      <c r="B45" s="140" t="n">
        <f aca="false">SLOPE(B$4:AQ$4,B11:AQ11)</f>
        <v>3.13507811566316</v>
      </c>
      <c r="C45" s="110" t="n">
        <f aca="false">SLOPE(B$4:AI$4,B11:AI11)</f>
        <v>3.2298799662844</v>
      </c>
      <c r="D45" s="140" t="n">
        <f aca="false">SLOPE(B$4:AC$4,B11:AC11)</f>
        <v>4.54904759660378</v>
      </c>
      <c r="E45" s="110" t="n">
        <f aca="false">SLOPE(B$4:X$4,B11:X11)</f>
        <v>4.97281961529736</v>
      </c>
      <c r="F45" s="140" t="n">
        <f aca="false">SLOPE(B$4:P$4,B11:P11)</f>
        <v>6.40704883226124</v>
      </c>
      <c r="G45" s="110" t="n">
        <f aca="false">SLOPE(B$4:K$4,B11:K11)</f>
        <v>5.69575613149971</v>
      </c>
      <c r="H45" s="107"/>
      <c r="I45" s="111" t="n">
        <f aca="false">AVERAGE(B45/2,C45:F45,G45/2)</f>
        <v>3.92903552233804</v>
      </c>
      <c r="J45" s="141" t="str">
        <f aca="false">A79</f>
        <v>FTSE</v>
      </c>
      <c r="K45" s="140" t="n">
        <f aca="false">SLOPE(B$7:AQ$7,B11:AQ11)</f>
        <v>1.13095084086253</v>
      </c>
      <c r="L45" s="110" t="n">
        <f aca="false">SLOPE(B$7:AI$7,B11:AI11)</f>
        <v>1.15627727161411</v>
      </c>
      <c r="M45" s="140" t="n">
        <f aca="false">SLOPE(B$7:AC$7,B11:AC11)</f>
        <v>1.21532920570736</v>
      </c>
      <c r="N45" s="110" t="n">
        <f aca="false">SLOPE(B$7:X$7,B11:X11)</f>
        <v>1.41447842121568</v>
      </c>
      <c r="O45" s="140" t="n">
        <f aca="false">SLOPE(B$7:P$7,B11:P11)</f>
        <v>2.48360766908071</v>
      </c>
      <c r="P45" s="110" t="n">
        <f aca="false">SLOPE(B$7:K$7,B11:K11)</f>
        <v>2.27809603992168</v>
      </c>
      <c r="Q45" s="107"/>
      <c r="R45" s="111" t="n">
        <f aca="false">AVERAGE(K45/2,L45:O45,P45/2)</f>
        <v>1.32903600133499</v>
      </c>
    </row>
    <row r="46" customFormat="false" ht="12.8" hidden="false" customHeight="false" outlineLevel="0" collapsed="false">
      <c r="A46" s="139" t="str">
        <f aca="false">J46</f>
        <v>DAX 40</v>
      </c>
      <c r="B46" s="140" t="n">
        <f aca="false">SLOPE(B$4:AQ$4,B12:AQ12)</f>
        <v>1.66378690375445</v>
      </c>
      <c r="C46" s="110" t="n">
        <f aca="false">SLOPE(B$4:AI$4,B12:AI12)</f>
        <v>1.58202551482089</v>
      </c>
      <c r="D46" s="140" t="n">
        <f aca="false">SLOPE(B$4:AC$4,B12:AC12)</f>
        <v>1.50686412717218</v>
      </c>
      <c r="E46" s="110" t="n">
        <f aca="false">SLOPE(B$4:X$4,B12:X12)</f>
        <v>1.45185145275466</v>
      </c>
      <c r="F46" s="140" t="n">
        <f aca="false">SLOPE(B$4:P$4,B12:P12)</f>
        <v>2.16839297149603</v>
      </c>
      <c r="G46" s="110" t="n">
        <f aca="false">SLOPE(B$4:K$4,B12:K12)</f>
        <v>2.03114676135761</v>
      </c>
      <c r="H46" s="107"/>
      <c r="I46" s="111" t="n">
        <f aca="false">AVERAGE(B46/2,C46:F46,G46/2)</f>
        <v>1.42610014979997</v>
      </c>
      <c r="J46" s="141" t="str">
        <f aca="false">A80</f>
        <v>DAX 40</v>
      </c>
      <c r="K46" s="140" t="n">
        <f aca="false">SLOPE(B$7:AQ$7,B12:AQ12)</f>
        <v>0.543572417783381</v>
      </c>
      <c r="L46" s="110" t="n">
        <f aca="false">SLOPE(B$7:AI$7,B12:AI12)</f>
        <v>0.522220061708813</v>
      </c>
      <c r="M46" s="140" t="n">
        <f aca="false">SLOPE(B$7:AC$7,B12:AC12)</f>
        <v>0.382737059034265</v>
      </c>
      <c r="N46" s="110" t="n">
        <f aca="false">SLOPE(B$7:X$7,B12:X12)</f>
        <v>0.371952010537838</v>
      </c>
      <c r="O46" s="140" t="n">
        <f aca="false">SLOPE(B$7:P$7,B12:P12)</f>
        <v>0.760150906247927</v>
      </c>
      <c r="P46" s="110" t="n">
        <f aca="false">SLOPE(B$7:K$7,B12:K12)</f>
        <v>0.690577420370371</v>
      </c>
      <c r="Q46" s="107"/>
      <c r="R46" s="111" t="n">
        <f aca="false">AVERAGE(K46/2,L46:O46,P46/2)</f>
        <v>0.442355826100953</v>
      </c>
    </row>
    <row r="47" customFormat="false" ht="12.8" hidden="false" customHeight="false" outlineLevel="0" collapsed="false">
      <c r="A47" s="139" t="str">
        <f aca="false">J47</f>
        <v>CAC 40</v>
      </c>
      <c r="B47" s="140" t="n">
        <f aca="false">SLOPE(B$4:AQ$4,B13:AQ13)</f>
        <v>1.6243122154621</v>
      </c>
      <c r="C47" s="110" t="n">
        <f aca="false">SLOPE(B$4:AI$4,B13:AI13)</f>
        <v>1.48086458354536</v>
      </c>
      <c r="D47" s="140" t="n">
        <f aca="false">SLOPE(B$4:AC$4,B13:AC13)</f>
        <v>1.65790117038434</v>
      </c>
      <c r="E47" s="110" t="n">
        <f aca="false">SLOPE(B$4:X$4,B13:X13)</f>
        <v>1.45754398625345</v>
      </c>
      <c r="F47" s="140" t="n">
        <f aca="false">SLOPE(B$4:P$4,B13:P13)</f>
        <v>1.37585560721969</v>
      </c>
      <c r="G47" s="110" t="n">
        <f aca="false">SLOPE(B$4:K$4,B13:K13)</f>
        <v>-0.207445648670769</v>
      </c>
      <c r="H47" s="107"/>
      <c r="I47" s="111" t="n">
        <f aca="false">AVERAGE(B47/2,C47:F47,G47/2)</f>
        <v>1.11343310513308</v>
      </c>
      <c r="J47" s="141" t="str">
        <f aca="false">A81</f>
        <v>CAC 40</v>
      </c>
      <c r="K47" s="140" t="n">
        <f aca="false">SLOPE(B$7:AQ$7,B13:AQ13)</f>
        <v>0.544291447724045</v>
      </c>
      <c r="L47" s="110" t="n">
        <f aca="false">SLOPE(B$7:AI$7,B13:AI13)</f>
        <v>0.506605042626754</v>
      </c>
      <c r="M47" s="140" t="n">
        <f aca="false">SLOPE(B$7:AC$7,B13:AC13)</f>
        <v>0.332250817441776</v>
      </c>
      <c r="N47" s="110" t="n">
        <f aca="false">SLOPE(B$7:X$7,B13:X13)</f>
        <v>0.266261330970618</v>
      </c>
      <c r="O47" s="140" t="n">
        <f aca="false">SLOPE(B$7:P$7,B13:P13)</f>
        <v>0.196626022797448</v>
      </c>
      <c r="P47" s="110" t="n">
        <f aca="false">SLOPE(B$7:K$7,B13:K13)</f>
        <v>-0.443563155068062</v>
      </c>
      <c r="Q47" s="107"/>
      <c r="R47" s="111" t="n">
        <f aca="false">AVERAGE(K47/2,L47:O47,P47/2)</f>
        <v>0.225351226694098</v>
      </c>
    </row>
    <row r="48" customFormat="false" ht="12.8" hidden="false" customHeight="false" outlineLevel="0" collapsed="false">
      <c r="A48" s="139" t="str">
        <f aca="false">J48</f>
        <v>Eurostoxx 50</v>
      </c>
      <c r="B48" s="140" t="n">
        <f aca="false">SLOPE(B$4:AQ$4,B14:AQ14)</f>
        <v>1.77108680856589</v>
      </c>
      <c r="C48" s="110" t="n">
        <f aca="false">SLOPE(B$4:AI$4,B14:AI14)</f>
        <v>1.62264160397681</v>
      </c>
      <c r="D48" s="140" t="n">
        <f aca="false">SLOPE(B$4:AC$4,B14:AC14)</f>
        <v>1.56583707807265</v>
      </c>
      <c r="E48" s="110" t="n">
        <f aca="false">SLOPE(B$4:X$4,B14:X14)</f>
        <v>1.44821229933646</v>
      </c>
      <c r="F48" s="140" t="n">
        <f aca="false">SLOPE(B$4:P$4,B14:P14)</f>
        <v>2.07977322708609</v>
      </c>
      <c r="G48" s="110" t="n">
        <f aca="false">SLOPE(B$4:K$4,B14:K14)</f>
        <v>1.49502319471797</v>
      </c>
      <c r="H48" s="107"/>
      <c r="I48" s="111" t="n">
        <f aca="false">AVERAGE(B48/2,C48:F48,G48/2)</f>
        <v>1.39158653501899</v>
      </c>
      <c r="J48" s="141" t="str">
        <f aca="false">A82</f>
        <v>Eurostoxx 50</v>
      </c>
      <c r="K48" s="140" t="n">
        <f aca="false">SLOPE(B$7:AQ$7,B14:AQ14)</f>
        <v>0.578125644934524</v>
      </c>
      <c r="L48" s="110" t="n">
        <f aca="false">SLOPE(B$7:AI$7,B14:AI14)</f>
        <v>0.534409461704831</v>
      </c>
      <c r="M48" s="140" t="n">
        <f aca="false">SLOPE(B$7:AC$7,B14:AC14)</f>
        <v>0.371953773676222</v>
      </c>
      <c r="N48" s="110" t="n">
        <f aca="false">SLOPE(B$7:X$7,B14:X14)</f>
        <v>0.342494891910429</v>
      </c>
      <c r="O48" s="140" t="n">
        <f aca="false">SLOPE(B$7:P$7,B14:P14)</f>
        <v>0.669394025815976</v>
      </c>
      <c r="P48" s="110" t="n">
        <f aca="false">SLOPE(B$7:K$7,B14:K14)</f>
        <v>0.388429330971327</v>
      </c>
      <c r="Q48" s="107"/>
      <c r="R48" s="111" t="n">
        <f aca="false">AVERAGE(K48/2,L48:O48,P48/2)</f>
        <v>0.400254940176731</v>
      </c>
    </row>
    <row r="49" customFormat="false" ht="12.8" hidden="false" customHeight="false" outlineLevel="0" collapsed="false">
      <c r="A49" s="139" t="str">
        <f aca="false">J49</f>
        <v>Nikkei</v>
      </c>
      <c r="B49" s="140" t="n">
        <f aca="false">SLOPE(B$4:AQ$4,B15:AQ15)</f>
        <v>1.18929875766795</v>
      </c>
      <c r="C49" s="110" t="n">
        <f aca="false">SLOPE(B$4:AI$4,B15:AI15)</f>
        <v>1.11417905969493</v>
      </c>
      <c r="D49" s="140" t="n">
        <f aca="false">SLOPE(B$4:AC$4,B15:AC15)</f>
        <v>1.01432092663838</v>
      </c>
      <c r="E49" s="110" t="n">
        <f aca="false">SLOPE(B$4:X$4,B15:X15)</f>
        <v>0.923130806067204</v>
      </c>
      <c r="F49" s="140" t="n">
        <f aca="false">SLOPE(B$4:P$4,B15:P15)</f>
        <v>1.02441572787241</v>
      </c>
      <c r="G49" s="110" t="n">
        <f aca="false">SLOPE(B$4:K$4,B15:K15)</f>
        <v>0.565199895964832</v>
      </c>
      <c r="H49" s="107"/>
      <c r="I49" s="111" t="n">
        <f aca="false">AVERAGE(B49/2,C49:F49,G49/2)</f>
        <v>0.82554930784822</v>
      </c>
      <c r="J49" s="141" t="str">
        <f aca="false">A83</f>
        <v>Nikkei</v>
      </c>
      <c r="K49" s="140" t="n">
        <f aca="false">SLOPE(B$7:AQ$7,B15:AQ15)</f>
        <v>0.365404201751792</v>
      </c>
      <c r="L49" s="110" t="n">
        <f aca="false">SLOPE(B$7:AI$7,B15:AI15)</f>
        <v>0.334316032644204</v>
      </c>
      <c r="M49" s="140" t="n">
        <f aca="false">SLOPE(B$7:AC$7,B15:AC15)</f>
        <v>0.199539335045543</v>
      </c>
      <c r="N49" s="110" t="n">
        <f aca="false">SLOPE(B$7:X$7,B15:X15)</f>
        <v>0.180307695755217</v>
      </c>
      <c r="O49" s="140" t="n">
        <f aca="false">SLOPE(B$7:P$7,B15:P15)</f>
        <v>0.35136124956188</v>
      </c>
      <c r="P49" s="110" t="n">
        <f aca="false">SLOPE(B$7:K$7,B15:K15)</f>
        <v>0.140440484954803</v>
      </c>
      <c r="Q49" s="107"/>
      <c r="R49" s="111" t="n">
        <f aca="false">AVERAGE(K49/2,L49:O49,P49/2)</f>
        <v>0.219741109393357</v>
      </c>
    </row>
    <row r="50" customFormat="false" ht="12.8" hidden="false" customHeight="false" outlineLevel="0" collapsed="false">
      <c r="A50" s="139" t="str">
        <f aca="false">J50</f>
        <v>MOEKS</v>
      </c>
      <c r="B50" s="140" t="n">
        <f aca="false">SLOPE(B$4:AQ$4,B16:AQ16)</f>
        <v>0.29795774856359</v>
      </c>
      <c r="C50" s="110" t="n">
        <f aca="false">SLOPE(B$4:AI$4,B16:AI16)</f>
        <v>0.0388937175389934</v>
      </c>
      <c r="D50" s="140" t="n">
        <f aca="false">SLOPE(B$4:AC$4,B16:AC16)</f>
        <v>-0.0651207820843469</v>
      </c>
      <c r="E50" s="110" t="n">
        <f aca="false">SLOPE(B$4:X$4,B16:X16)</f>
        <v>0.675696827800572</v>
      </c>
      <c r="F50" s="140" t="n">
        <f aca="false">SLOPE(B$4:P$4,B16:P16)</f>
        <v>-0.202457792915268</v>
      </c>
      <c r="G50" s="110" t="n">
        <f aca="false">SLOPE(B$4:K$4,B16:K16)</f>
        <v>-1.5335140092922</v>
      </c>
      <c r="H50" s="107"/>
      <c r="I50" s="111" t="n">
        <f aca="false">AVERAGE(B50/2,C50:F50,G50/2)</f>
        <v>-0.0284610266707253</v>
      </c>
      <c r="J50" s="141" t="str">
        <f aca="false">A84</f>
        <v>MOEKS</v>
      </c>
      <c r="K50" s="140" t="n">
        <f aca="false">SLOPE(B$7:AQ$7,B16:AQ16)</f>
        <v>0.113555146400504</v>
      </c>
      <c r="L50" s="110" t="n">
        <f aca="false">SLOPE(B$7:AI$7,B16:AI16)</f>
        <v>0.0353249547487429</v>
      </c>
      <c r="M50" s="140" t="n">
        <f aca="false">SLOPE(B$7:AC$7,B16:AC16)</f>
        <v>-0.005263525372531</v>
      </c>
      <c r="N50" s="110" t="n">
        <f aca="false">SLOPE(B$7:X$7,B16:X16)</f>
        <v>0.130056659851212</v>
      </c>
      <c r="O50" s="140" t="n">
        <f aca="false">SLOPE(B$7:P$7,B16:P16)</f>
        <v>-0.0947828248567316</v>
      </c>
      <c r="P50" s="110" t="n">
        <f aca="false">SLOPE(B$7:K$7,B16:K16)</f>
        <v>-0.755086900741997</v>
      </c>
      <c r="Q50" s="107"/>
      <c r="R50" s="111" t="n">
        <f aca="false">AVERAGE(K50/2,L50:O50,P50/2)</f>
        <v>-0.042571768800009</v>
      </c>
    </row>
    <row r="51" customFormat="false" ht="12.8" hidden="false" customHeight="false" outlineLevel="0" collapsed="false">
      <c r="A51" s="139" t="str">
        <f aca="false">J51</f>
        <v>CSI 300</v>
      </c>
      <c r="B51" s="140" t="n">
        <f aca="false">SLOPE(B$4:AQ$4,B17:AQ17)</f>
        <v>-0.617491969483218</v>
      </c>
      <c r="C51" s="110" t="n">
        <f aca="false">SLOPE(B$4:AI$4,B17:AI17)</f>
        <v>-1.16342878465225</v>
      </c>
      <c r="D51" s="140" t="n">
        <f aca="false">SLOPE(B$4:AC$4,B17:AC17)</f>
        <v>-1.11961689802174</v>
      </c>
      <c r="E51" s="110" t="n">
        <f aca="false">SLOPE(B$4:X$4,B17:X17)</f>
        <v>-1.43089457836334</v>
      </c>
      <c r="F51" s="140" t="n">
        <f aca="false">SLOPE(B$4:P$4,B17:P17)</f>
        <v>-3.2339809994896</v>
      </c>
      <c r="G51" s="110" t="n">
        <f aca="false">SLOPE(B$4:K$4,B17:K17)</f>
        <v>-3.47325697575226</v>
      </c>
      <c r="H51" s="107"/>
      <c r="I51" s="111" t="n">
        <f aca="false">AVERAGE(B51/2,C51:F51,G51/2)</f>
        <v>-1.49888262219078</v>
      </c>
      <c r="J51" s="141" t="str">
        <f aca="false">A85</f>
        <v>CSI 300</v>
      </c>
      <c r="K51" s="140" t="n">
        <f aca="false">SLOPE(B$7:AQ$7,B17:AQ17)</f>
        <v>-0.0997542013601468</v>
      </c>
      <c r="L51" s="110" t="n">
        <f aca="false">SLOPE(B$7:AI$7,B17:AI17)</f>
        <v>-0.25279546038038</v>
      </c>
      <c r="M51" s="140" t="n">
        <f aca="false">SLOPE(B$7:AC$7,B17:AC17)</f>
        <v>-0.174137061397105</v>
      </c>
      <c r="N51" s="110" t="n">
        <f aca="false">SLOPE(B$7:X$7,B17:X17)</f>
        <v>-0.150830145896182</v>
      </c>
      <c r="O51" s="140" t="n">
        <f aca="false">SLOPE(B$7:P$7,B17:P17)</f>
        <v>-1.3069509341466</v>
      </c>
      <c r="P51" s="110" t="n">
        <f aca="false">SLOPE(B$7:K$7,B17:K17)</f>
        <v>-1.42145238058377</v>
      </c>
      <c r="Q51" s="107"/>
      <c r="R51" s="111" t="n">
        <f aca="false">AVERAGE(K51/2,L51:O51,P51/2)</f>
        <v>-0.440886148798704</v>
      </c>
    </row>
    <row r="52" customFormat="false" ht="12.8" hidden="false" customHeight="false" outlineLevel="0" collapsed="false">
      <c r="A52" s="139" t="str">
        <f aca="false">J52</f>
        <v>TWSE 50</v>
      </c>
      <c r="B52" s="140" t="n">
        <f aca="false">SLOPE(B$4:AQ$4,B18:AQ18)</f>
        <v>0.849532615108387</v>
      </c>
      <c r="C52" s="110" t="n">
        <f aca="false">SLOPE(B$4:AI$4,B18:AI18)</f>
        <v>0.866356677308789</v>
      </c>
      <c r="D52" s="140" t="n">
        <f aca="false">SLOPE(B$4:AC$4,B18:AC18)</f>
        <v>0.81544759806685</v>
      </c>
      <c r="E52" s="110" t="n">
        <f aca="false">SLOPE(B$4:X$4,B18:X18)</f>
        <v>0.796979181425852</v>
      </c>
      <c r="F52" s="140" t="n">
        <f aca="false">SLOPE(B$4:P$4,B18:P18)</f>
        <v>0.811864601194864</v>
      </c>
      <c r="G52" s="110" t="n">
        <f aca="false">SLOPE(B$4:K$4,B18:K18)</f>
        <v>0.747088817964642</v>
      </c>
      <c r="H52" s="107"/>
      <c r="I52" s="111" t="n">
        <f aca="false">AVERAGE(B52/2,C52:F52,G52/2)</f>
        <v>0.681493129088812</v>
      </c>
      <c r="J52" s="141" t="str">
        <f aca="false">A86</f>
        <v>TWSE 50</v>
      </c>
      <c r="K52" s="140" t="n">
        <f aca="false">SLOPE(B$7:AQ$7,B18:AQ18)</f>
        <v>0.309323311613493</v>
      </c>
      <c r="L52" s="110" t="n">
        <f aca="false">SLOPE(B$7:AI$7,B18:AI18)</f>
        <v>0.339532211439937</v>
      </c>
      <c r="M52" s="140" t="n">
        <f aca="false">SLOPE(B$7:AC$7,B18:AC18)</f>
        <v>0.300262408675246</v>
      </c>
      <c r="N52" s="110" t="n">
        <f aca="false">SLOPE(B$7:X$7,B18:X18)</f>
        <v>0.296678549460289</v>
      </c>
      <c r="O52" s="140" t="n">
        <f aca="false">SLOPE(B$7:P$7,B18:P18)</f>
        <v>0.314554215017864</v>
      </c>
      <c r="P52" s="110" t="n">
        <f aca="false">SLOPE(B$7:K$7,B18:K18)</f>
        <v>0.309813037427447</v>
      </c>
      <c r="Q52" s="107"/>
      <c r="R52" s="111" t="n">
        <f aca="false">AVERAGE(K52/2,L52:O52,P52/2)</f>
        <v>0.260099259852301</v>
      </c>
    </row>
    <row r="53" customFormat="false" ht="12.8" hidden="false" customHeight="false" outlineLevel="0" collapsed="false">
      <c r="A53" s="139" t="str">
        <f aca="false">J53</f>
        <v>SOFIX</v>
      </c>
      <c r="B53" s="140" t="n">
        <f aca="false">SLOPE(B$4:AQ$4,B19:AQ19)</f>
        <v>1.52628612754017</v>
      </c>
      <c r="C53" s="110" t="n">
        <f aca="false">SLOPE(B$4:AI$4,B19:AI19)</f>
        <v>1.40523861918021</v>
      </c>
      <c r="D53" s="140" t="n">
        <f aca="false">SLOPE(B$4:AC$4,B19:AC19)</f>
        <v>1.44769674003557</v>
      </c>
      <c r="E53" s="110" t="n">
        <f aca="false">SLOPE(B$4:X$4,B19:X19)</f>
        <v>1.47662109360629</v>
      </c>
      <c r="F53" s="140" t="n">
        <f aca="false">SLOPE(B$4:P$4,B19:P19)</f>
        <v>2.07130085543812</v>
      </c>
      <c r="G53" s="110" t="n">
        <f aca="false">SLOPE(B$4:K$4,B19:K19)</f>
        <v>3.18794376444033</v>
      </c>
      <c r="H53" s="107"/>
      <c r="I53" s="111" t="n">
        <f aca="false">AVERAGE(B53/2,C53:F53,G53/2)</f>
        <v>1.45966204237507</v>
      </c>
      <c r="J53" s="141" t="str">
        <f aca="false">A87</f>
        <v>SOFIX</v>
      </c>
      <c r="K53" s="140" t="n">
        <f aca="false">SLOPE(B$7:AQ$7,B19:AQ19)</f>
        <v>0.498925691545882</v>
      </c>
      <c r="L53" s="110" t="n">
        <f aca="false">SLOPE(B$7:AI$7,B19:AI19)</f>
        <v>0.459386251218222</v>
      </c>
      <c r="M53" s="140" t="n">
        <f aca="false">SLOPE(B$7:AC$7,B19:AC19)</f>
        <v>0.34801248503493</v>
      </c>
      <c r="N53" s="110" t="n">
        <f aca="false">SLOPE(B$7:X$7,B19:X19)</f>
        <v>0.363751687394156</v>
      </c>
      <c r="O53" s="140" t="n">
        <f aca="false">SLOPE(B$7:P$7,B19:P19)</f>
        <v>0.852331351371083</v>
      </c>
      <c r="P53" s="110" t="n">
        <f aca="false">SLOPE(B$7:K$7,B19:K19)</f>
        <v>1.28850167963902</v>
      </c>
      <c r="Q53" s="107"/>
      <c r="R53" s="111" t="n">
        <f aca="false">AVERAGE(K53/2,L53:O53,P53/2)</f>
        <v>0.486199243435141</v>
      </c>
    </row>
    <row r="54" customFormat="false" ht="12.8" hidden="false" customHeight="false" outlineLevel="0" collapsed="false">
      <c r="A54" s="139" t="str">
        <f aca="false">J54</f>
        <v>BELEX</v>
      </c>
      <c r="B54" s="140" t="n">
        <f aca="false">SLOPE(B$4:AQ$4,B20:AQ20)</f>
        <v>2.31302542147185</v>
      </c>
      <c r="C54" s="110" t="n">
        <f aca="false">SLOPE(B$4:AI$4,B20:AI20)</f>
        <v>2.1258547021071</v>
      </c>
      <c r="D54" s="140" t="n">
        <f aca="false">SLOPE(B$4:AC$4,B20:AC20)</f>
        <v>2.29125690900928</v>
      </c>
      <c r="E54" s="110" t="n">
        <f aca="false">SLOPE(B$4:X$4,B20:X20)</f>
        <v>2.38575415968704</v>
      </c>
      <c r="F54" s="140" t="n">
        <f aca="false">SLOPE(B$4:P$4,B20:P20)</f>
        <v>2.61336440176654</v>
      </c>
      <c r="G54" s="110" t="n">
        <f aca="false">SLOPE(B$4:K$4,B20:K20)</f>
        <v>2.28647332439483</v>
      </c>
      <c r="H54" s="107"/>
      <c r="I54" s="111" t="n">
        <f aca="false">AVERAGE(B54/2,C54:F54,G54/2)</f>
        <v>1.95266325758388</v>
      </c>
      <c r="J54" s="141" t="str">
        <f aca="false">A88</f>
        <v>BELEX</v>
      </c>
      <c r="K54" s="140" t="n">
        <f aca="false">SLOPE(B$7:AQ$7,B20:AQ20)</f>
        <v>0.758120148780597</v>
      </c>
      <c r="L54" s="110" t="n">
        <f aca="false">SLOPE(B$7:AI$7,B20:AI20)</f>
        <v>0.707077217713153</v>
      </c>
      <c r="M54" s="140" t="n">
        <f aca="false">SLOPE(B$7:AC$7,B20:AC20)</f>
        <v>0.581221510493002</v>
      </c>
      <c r="N54" s="110" t="n">
        <f aca="false">SLOPE(B$7:X$7,B20:X20)</f>
        <v>0.635752993129514</v>
      </c>
      <c r="O54" s="140" t="n">
        <f aca="false">SLOPE(B$7:P$7,B20:P20)</f>
        <v>0.977196442584526</v>
      </c>
      <c r="P54" s="110" t="n">
        <f aca="false">SLOPE(B$7:K$7,B20:K20)</f>
        <v>0.85126223383868</v>
      </c>
      <c r="Q54" s="107"/>
      <c r="R54" s="111" t="n">
        <f aca="false">AVERAGE(K54/2,L54:O54,P54/2)</f>
        <v>0.617656559204972</v>
      </c>
    </row>
    <row r="55" customFormat="false" ht="12.8" hidden="false" customHeight="false" outlineLevel="0" collapsed="false">
      <c r="A55" s="139" t="str">
        <f aca="false">J55</f>
        <v>ATHEX</v>
      </c>
      <c r="B55" s="140" t="n">
        <f aca="false">SLOPE(B$4:AQ$4,B21:AQ21)</f>
        <v>0.849873526831531</v>
      </c>
      <c r="C55" s="110" t="n">
        <f aca="false">SLOPE(B$4:AI$4,B21:AI21)</f>
        <v>0.77004917755881</v>
      </c>
      <c r="D55" s="140" t="n">
        <f aca="false">SLOPE(B$4:AC$4,B21:AC21)</f>
        <v>0.7104925821729</v>
      </c>
      <c r="E55" s="110" t="n">
        <f aca="false">SLOPE(B$4:X$4,B21:X21)</f>
        <v>0.671236370295013</v>
      </c>
      <c r="F55" s="140" t="n">
        <f aca="false">SLOPE(B$4:P$4,B21:P21)</f>
        <v>1.23777321354894</v>
      </c>
      <c r="G55" s="110" t="n">
        <f aca="false">SLOPE(B$4:K$4,B21:K21)</f>
        <v>1.1226309590913</v>
      </c>
      <c r="H55" s="107"/>
      <c r="I55" s="111" t="n">
        <f aca="false">AVERAGE(B55/2,C55:F55,G55/2)</f>
        <v>0.72930059775618</v>
      </c>
      <c r="J55" s="141" t="str">
        <f aca="false">A89</f>
        <v>ATHEX</v>
      </c>
      <c r="K55" s="140" t="n">
        <f aca="false">SLOPE(B$7:AQ$7,B21:AQ21)</f>
        <v>0.258875526215235</v>
      </c>
      <c r="L55" s="110" t="n">
        <f aca="false">SLOPE(B$7:AI$7,B21:AI21)</f>
        <v>0.232413742804481</v>
      </c>
      <c r="M55" s="140" t="n">
        <f aca="false">SLOPE(B$7:AC$7,B21:AC21)</f>
        <v>0.14670016685334</v>
      </c>
      <c r="N55" s="110" t="n">
        <f aca="false">SLOPE(B$7:X$7,B21:X21)</f>
        <v>0.140736325016999</v>
      </c>
      <c r="O55" s="140" t="n">
        <f aca="false">SLOPE(B$7:P$7,B21:P21)</f>
        <v>0.440636873385174</v>
      </c>
      <c r="P55" s="110" t="n">
        <f aca="false">SLOPE(B$7:K$7,B21:K21)</f>
        <v>0.362586326947473</v>
      </c>
      <c r="Q55" s="107"/>
      <c r="R55" s="111" t="n">
        <f aca="false">AVERAGE(K55/2,L55:O55,P55/2)</f>
        <v>0.211869672440225</v>
      </c>
    </row>
    <row r="56" customFormat="false" ht="12.8" hidden="false" customHeight="false" outlineLevel="0" collapsed="false">
      <c r="A56" s="139" t="str">
        <f aca="false">J56</f>
        <v>CROBEX</v>
      </c>
      <c r="B56" s="140" t="n">
        <f aca="false">SLOPE(B$4:AQ$4,B22:AQ22)</f>
        <v>1.35011236330147</v>
      </c>
      <c r="C56" s="110" t="n">
        <f aca="false">SLOPE(B$4:AI$4,B22:AI22)</f>
        <v>1.23401289597729</v>
      </c>
      <c r="D56" s="140" t="n">
        <f aca="false">SLOPE(B$4:AC$4,B22:AC22)</f>
        <v>1.15492806255697</v>
      </c>
      <c r="E56" s="110" t="n">
        <f aca="false">SLOPE(B$4:X$4,B22:X22)</f>
        <v>1.09979034213718</v>
      </c>
      <c r="F56" s="140" t="n">
        <f aca="false">SLOPE(B$4:P$4,B22:P22)</f>
        <v>1.53835230751446</v>
      </c>
      <c r="G56" s="110" t="n">
        <f aca="false">SLOPE(B$4:K$4,B22:K22)</f>
        <v>1.79734116846554</v>
      </c>
      <c r="H56" s="107"/>
      <c r="I56" s="111" t="n">
        <f aca="false">AVERAGE(B56/2,C56:F56,G56/2)</f>
        <v>1.1001350623449</v>
      </c>
      <c r="J56" s="141" t="str">
        <f aca="false">A90</f>
        <v>CROBEX</v>
      </c>
      <c r="K56" s="140" t="n">
        <f aca="false">SLOPE(B$7:AQ$7,B22:AQ22)</f>
        <v>0.429556094843932</v>
      </c>
      <c r="L56" s="110" t="n">
        <f aca="false">SLOPE(B$7:AI$7,B22:AI22)</f>
        <v>0.393793260322988</v>
      </c>
      <c r="M56" s="140" t="n">
        <f aca="false">SLOPE(B$7:AC$7,B22:AC22)</f>
        <v>0.289219481356471</v>
      </c>
      <c r="N56" s="110" t="n">
        <f aca="false">SLOPE(B$7:X$7,B22:X22)</f>
        <v>0.287895102127363</v>
      </c>
      <c r="O56" s="140" t="n">
        <f aca="false">SLOPE(B$7:P$7,B22:P22)</f>
        <v>0.598886611975115</v>
      </c>
      <c r="P56" s="110" t="n">
        <f aca="false">SLOPE(B$7:K$7,B22:K22)</f>
        <v>0.679501014767063</v>
      </c>
      <c r="Q56" s="107"/>
      <c r="R56" s="111" t="n">
        <f aca="false">AVERAGE(K56/2,L56:O56,P56/2)</f>
        <v>0.354053835097906</v>
      </c>
    </row>
    <row r="57" customFormat="false" ht="12.8" hidden="false" customHeight="false" outlineLevel="0" collapsed="false">
      <c r="A57" s="135"/>
      <c r="B57" s="135"/>
      <c r="C57" s="135"/>
      <c r="D57" s="135"/>
      <c r="E57" s="135"/>
      <c r="F57" s="135"/>
      <c r="G57" s="135"/>
      <c r="H57" s="135"/>
      <c r="I57" s="135"/>
      <c r="J57" s="142"/>
      <c r="K57" s="142"/>
      <c r="L57" s="142"/>
      <c r="M57" s="142"/>
      <c r="N57" s="142"/>
      <c r="O57" s="142"/>
      <c r="P57" s="142"/>
      <c r="Q57" s="142"/>
      <c r="R57" s="142"/>
    </row>
    <row r="58" customFormat="false" ht="23.85" hidden="false" customHeight="false" outlineLevel="0" collapsed="false">
      <c r="A58" s="136" t="s">
        <v>133</v>
      </c>
      <c r="B58" s="16" t="s">
        <v>105</v>
      </c>
      <c r="C58" s="105" t="s">
        <v>106</v>
      </c>
      <c r="D58" s="104" t="s">
        <v>107</v>
      </c>
      <c r="E58" s="104" t="s">
        <v>108</v>
      </c>
      <c r="F58" s="104" t="s">
        <v>109</v>
      </c>
      <c r="G58" s="106" t="s">
        <v>110</v>
      </c>
      <c r="H58" s="107"/>
      <c r="I58" s="108" t="s">
        <v>111</v>
      </c>
      <c r="J58" s="138" t="s">
        <v>136</v>
      </c>
      <c r="K58" s="16" t="s">
        <v>105</v>
      </c>
      <c r="L58" s="105" t="s">
        <v>106</v>
      </c>
      <c r="M58" s="104" t="s">
        <v>107</v>
      </c>
      <c r="N58" s="104" t="s">
        <v>108</v>
      </c>
      <c r="O58" s="104" t="s">
        <v>109</v>
      </c>
      <c r="P58" s="106" t="s">
        <v>110</v>
      </c>
      <c r="Q58" s="107"/>
      <c r="R58" s="108" t="s">
        <v>111</v>
      </c>
    </row>
    <row r="59" customFormat="false" ht="12.8" hidden="false" customHeight="false" outlineLevel="0" collapsed="false">
      <c r="A59" s="139" t="str">
        <f aca="false">J59</f>
        <v>S&amp;P 500</v>
      </c>
      <c r="B59" s="140" t="n">
        <f aca="false">SLOPE(B$6:AQ$6,B8:AQ8)</f>
        <v>2.14776544193269</v>
      </c>
      <c r="C59" s="110" t="n">
        <f aca="false">SLOPE(B$6:AI$6,B8:AI8)</f>
        <v>1.81451152798655</v>
      </c>
      <c r="D59" s="140" t="n">
        <f aca="false">SLOPE(B$6:AC$6,B8:AC8)</f>
        <v>1.50407236842399</v>
      </c>
      <c r="E59" s="110" t="n">
        <f aca="false">SLOPE(B$6:X$6,B8:X8)</f>
        <v>1.36855064718959</v>
      </c>
      <c r="F59" s="140" t="n">
        <f aca="false">SLOPE(B$6:P$6,B8:P8)</f>
        <v>1.44485872984739</v>
      </c>
      <c r="G59" s="110" t="n">
        <f aca="false">SLOPE(B$6:K$6,B8:K8)</f>
        <v>1.54742137931205</v>
      </c>
      <c r="H59" s="107"/>
      <c r="I59" s="111" t="n">
        <f aca="false">AVERAGE(B59/2,C59:F59,G59/2)</f>
        <v>1.32993111401165</v>
      </c>
      <c r="J59" s="141" t="str">
        <f aca="false">A42</f>
        <v>S&amp;P 500</v>
      </c>
      <c r="K59" s="140" t="n">
        <f aca="false">SLOPE(B$5:AQ$5,B8:AQ8)</f>
        <v>1.70916032610761</v>
      </c>
      <c r="L59" s="110" t="n">
        <f aca="false">SLOPE(B$5:AI$5,B8:AI8)</f>
        <v>1.91377455987869</v>
      </c>
      <c r="M59" s="140" t="n">
        <f aca="false">SLOPE(B$5:AC$5,B8:AC8)</f>
        <v>2.25903024478003</v>
      </c>
      <c r="N59" s="110" t="n">
        <f aca="false">SLOPE(B$5:X$5,B8:X8)</f>
        <v>2.160223647674</v>
      </c>
      <c r="O59" s="140" t="n">
        <f aca="false">SLOPE(B$5:P$5,B8:P8)</f>
        <v>2.68501810752857</v>
      </c>
      <c r="P59" s="110" t="n">
        <f aca="false">SLOPE(B$5:K$5,B8:K8)</f>
        <v>2.88473237318328</v>
      </c>
      <c r="Q59" s="107"/>
      <c r="R59" s="111" t="n">
        <f aca="false">AVERAGE(K59/2,L59:O59,P59/2)</f>
        <v>1.88583215158446</v>
      </c>
    </row>
    <row r="60" customFormat="false" ht="12.8" hidden="false" customHeight="false" outlineLevel="0" collapsed="false">
      <c r="A60" s="139" t="str">
        <f aca="false">J60</f>
        <v>DOW</v>
      </c>
      <c r="B60" s="140" t="n">
        <f aca="false">SLOPE(B$6:AQ$6,B9:AQ9)</f>
        <v>3.26400613015818</v>
      </c>
      <c r="C60" s="110" t="n">
        <f aca="false">SLOPE(B$6:AI$6,B9:AI9)</f>
        <v>2.65786400587257</v>
      </c>
      <c r="D60" s="140" t="n">
        <f aca="false">SLOPE(B$6:AC$6,B9:AC9)</f>
        <v>2.27948415656343</v>
      </c>
      <c r="E60" s="110" t="n">
        <f aca="false">SLOPE(B$6:X$6,B9:X9)</f>
        <v>2.10648701230819</v>
      </c>
      <c r="F60" s="140" t="n">
        <f aca="false">SLOPE(B$6:P$6,B9:P9)</f>
        <v>2.2519169515486</v>
      </c>
      <c r="G60" s="110" t="n">
        <f aca="false">SLOPE(B$6:K$6,B9:K9)</f>
        <v>2.37890192324534</v>
      </c>
      <c r="H60" s="107"/>
      <c r="I60" s="111" t="n">
        <f aca="false">AVERAGE(B60/2,C60:F60,G60/2)</f>
        <v>2.01953435883243</v>
      </c>
      <c r="J60" s="141" t="str">
        <f aca="false">A43</f>
        <v>DOW</v>
      </c>
      <c r="K60" s="140" t="n">
        <f aca="false">SLOPE(B$5:AQ$5,B9:AQ9)</f>
        <v>2.59295203975912</v>
      </c>
      <c r="L60" s="110" t="n">
        <f aca="false">SLOPE(B$5:AI$5,B9:AI9)</f>
        <v>2.71915872305588</v>
      </c>
      <c r="M60" s="140" t="n">
        <f aca="false">SLOPE(B$5:AC$5,B9:AC9)</f>
        <v>3.3861604689745</v>
      </c>
      <c r="N60" s="110" t="n">
        <f aca="false">SLOPE(B$5:X$5,B9:X9)</f>
        <v>3.23320776330249</v>
      </c>
      <c r="O60" s="140" t="n">
        <f aca="false">SLOPE(B$5:P$5,B9:P9)</f>
        <v>4.08116008857494</v>
      </c>
      <c r="P60" s="110" t="n">
        <f aca="false">SLOPE(B$5:K$5,B9:K9)</f>
        <v>4.14915717211351</v>
      </c>
      <c r="Q60" s="107"/>
      <c r="R60" s="111" t="n">
        <f aca="false">AVERAGE(K60/2,L60:O60,P60/2)</f>
        <v>2.79845694164069</v>
      </c>
    </row>
    <row r="61" customFormat="false" ht="12.8" hidden="false" customHeight="false" outlineLevel="0" collapsed="false">
      <c r="A61" s="139" t="str">
        <f aca="false">J61</f>
        <v>Russel 2000</v>
      </c>
      <c r="B61" s="140" t="n">
        <f aca="false">SLOPE(B$6:AQ$6,B10:AQ10)</f>
        <v>3.03084856344008</v>
      </c>
      <c r="C61" s="110" t="n">
        <f aca="false">SLOPE(B$6:AI$6,B10:AI10)</f>
        <v>2.11975889116425</v>
      </c>
      <c r="D61" s="140" t="n">
        <f aca="false">SLOPE(B$6:AC$6,B10:AC10)</f>
        <v>0.771397367007872</v>
      </c>
      <c r="E61" s="110" t="n">
        <f aca="false">SLOPE(B$6:X$6,B10:X10)</f>
        <v>2.46495019049644</v>
      </c>
      <c r="F61" s="140" t="n">
        <f aca="false">SLOPE(B$6:P$6,B10:P10)</f>
        <v>2.55825236682792</v>
      </c>
      <c r="G61" s="110" t="n">
        <f aca="false">SLOPE(B$6:K$6,B10:K10)</f>
        <v>2.23756004161025</v>
      </c>
      <c r="H61" s="107"/>
      <c r="I61" s="111" t="n">
        <f aca="false">AVERAGE(B61/2,C61:F61,G61/2)</f>
        <v>1.75809385300361</v>
      </c>
      <c r="J61" s="141" t="str">
        <f aca="false">A44</f>
        <v>Russel 2000</v>
      </c>
      <c r="K61" s="140" t="n">
        <f aca="false">SLOPE(B$5:AQ$5,B10:AQ10)</f>
        <v>2.23240206525072</v>
      </c>
      <c r="L61" s="110" t="n">
        <f aca="false">SLOPE(B$5:AI$5,B10:AI10)</f>
        <v>1.93866908879268</v>
      </c>
      <c r="M61" s="140" t="n">
        <f aca="false">SLOPE(B$5:AC$5,B10:AC10)</f>
        <v>1.40912886327909</v>
      </c>
      <c r="N61" s="110" t="n">
        <f aca="false">SLOPE(B$5:X$5,B10:X10)</f>
        <v>3.97611919740536</v>
      </c>
      <c r="O61" s="140" t="n">
        <f aca="false">SLOPE(B$5:P$5,B10:P10)</f>
        <v>4.63695341944605</v>
      </c>
      <c r="P61" s="110" t="n">
        <f aca="false">SLOPE(B$5:K$5,B10:K10)</f>
        <v>4.04512468539733</v>
      </c>
      <c r="Q61" s="107"/>
      <c r="R61" s="111" t="n">
        <f aca="false">AVERAGE(K61/2,L61:O61,P61/2)</f>
        <v>2.51660565737453</v>
      </c>
    </row>
    <row r="62" customFormat="false" ht="12.8" hidden="false" customHeight="false" outlineLevel="0" collapsed="false">
      <c r="A62" s="139" t="str">
        <f aca="false">J62</f>
        <v>FTSE</v>
      </c>
      <c r="B62" s="140" t="n">
        <f aca="false">SLOPE(B$6:AQ$6,B11:AQ11)</f>
        <v>5.11299875483922</v>
      </c>
      <c r="C62" s="110" t="n">
        <f aca="false">SLOPE(B$6:AI$6,B11:AI11)</f>
        <v>5.19639972387511</v>
      </c>
      <c r="D62" s="140" t="n">
        <f aca="false">SLOPE(B$6:AC$6,B11:AC11)</f>
        <v>5.38776671712473</v>
      </c>
      <c r="E62" s="110" t="n">
        <f aca="false">SLOPE(B$6:X$6,B11:X11)</f>
        <v>5.65875429676602</v>
      </c>
      <c r="F62" s="140" t="n">
        <f aca="false">SLOPE(B$6:P$6,B11:P11)</f>
        <v>6.28159767807657</v>
      </c>
      <c r="G62" s="110" t="n">
        <f aca="false">SLOPE(B$6:K$6,B11:K11)</f>
        <v>5.21013350092293</v>
      </c>
      <c r="H62" s="107"/>
      <c r="I62" s="111" t="n">
        <f aca="false">AVERAGE(B62/2,C62:F62,G62/2)</f>
        <v>4.61434742395392</v>
      </c>
      <c r="J62" s="141" t="str">
        <f aca="false">A45</f>
        <v>FTSE</v>
      </c>
      <c r="K62" s="140" t="n">
        <f aca="false">SLOPE(B$5:AQ$5,B11:AQ11)</f>
        <v>5.03738937745643</v>
      </c>
      <c r="L62" s="110" t="n">
        <f aca="false">SLOPE(B$5:AI$5,B11:AI11)</f>
        <v>5.20261336997177</v>
      </c>
      <c r="M62" s="140" t="n">
        <f aca="false">SLOPE(B$5:AC$5,B11:AC11)</f>
        <v>7.87845252189506</v>
      </c>
      <c r="N62" s="110" t="n">
        <f aca="false">SLOPE(B$5:X$5,B11:X11)</f>
        <v>8.87237914359002</v>
      </c>
      <c r="O62" s="140" t="n">
        <f aca="false">SLOPE(B$5:P$5,B11:P11)</f>
        <v>12.301858389276</v>
      </c>
      <c r="P62" s="110" t="n">
        <f aca="false">SLOPE(B$5:K$5,B11:K11)</f>
        <v>10.7491284991147</v>
      </c>
      <c r="Q62" s="107"/>
      <c r="R62" s="111" t="n">
        <f aca="false">AVERAGE(K62/2,L62:O62,P62/2)</f>
        <v>7.0247603938364</v>
      </c>
    </row>
    <row r="63" customFormat="false" ht="12.8" hidden="false" customHeight="false" outlineLevel="0" collapsed="false">
      <c r="A63" s="139" t="str">
        <f aca="false">J63</f>
        <v>DAX 40</v>
      </c>
      <c r="B63" s="140" t="n">
        <f aca="false">SLOPE(B$6:AQ$6,B12:AQ12)</f>
        <v>3.15354046591307</v>
      </c>
      <c r="C63" s="110" t="n">
        <f aca="false">SLOPE(B$6:AI$6,B12:AI12)</f>
        <v>2.44442453500924</v>
      </c>
      <c r="D63" s="140" t="n">
        <f aca="false">SLOPE(B$6:AC$6,B12:AC12)</f>
        <v>1.78041639827483</v>
      </c>
      <c r="E63" s="110" t="n">
        <f aca="false">SLOPE(B$6:X$6,B12:X12)</f>
        <v>1.70519716964194</v>
      </c>
      <c r="F63" s="140" t="n">
        <f aca="false">SLOPE(B$6:P$6,B12:P12)</f>
        <v>2.26551086661558</v>
      </c>
      <c r="G63" s="110" t="n">
        <f aca="false">SLOPE(B$6:K$6,B12:K12)</f>
        <v>2.06743667701881</v>
      </c>
      <c r="H63" s="107"/>
      <c r="I63" s="111" t="n">
        <f aca="false">AVERAGE(B63/2,C63:F63,G63/2)</f>
        <v>1.80100625683459</v>
      </c>
      <c r="J63" s="141" t="str">
        <f aca="false">A46</f>
        <v>DAX 40</v>
      </c>
      <c r="K63" s="140" t="n">
        <f aca="false">SLOPE(B$5:AQ$5,B12:AQ12)</f>
        <v>2.57842227587312</v>
      </c>
      <c r="L63" s="110" t="n">
        <f aca="false">SLOPE(B$5:AI$5,B12:AI12)</f>
        <v>2.57725179588867</v>
      </c>
      <c r="M63" s="140" t="n">
        <f aca="false">SLOPE(B$5:AC$5,B12:AC12)</f>
        <v>2.6283781703781</v>
      </c>
      <c r="N63" s="110" t="n">
        <f aca="false">SLOPE(B$5:X$5,B12:X12)</f>
        <v>2.54111470076277</v>
      </c>
      <c r="O63" s="140" t="n">
        <f aca="false">SLOPE(B$5:P$5,B12:P12)</f>
        <v>4.10640011196792</v>
      </c>
      <c r="P63" s="110" t="n">
        <f aca="false">SLOPE(B$5:K$5,B12:K12)</f>
        <v>3.72941114437761</v>
      </c>
      <c r="Q63" s="107"/>
      <c r="R63" s="111" t="n">
        <f aca="false">AVERAGE(K63/2,L63:O63,P63/2)</f>
        <v>2.50117691485381</v>
      </c>
    </row>
    <row r="64" customFormat="false" ht="12.8" hidden="false" customHeight="false" outlineLevel="0" collapsed="false">
      <c r="A64" s="139" t="str">
        <f aca="false">J64</f>
        <v>CAC 40</v>
      </c>
      <c r="B64" s="140" t="n">
        <f aca="false">SLOPE(B$6:AQ$6,B13:AQ13)</f>
        <v>3.2518842596972</v>
      </c>
      <c r="C64" s="110" t="n">
        <f aca="false">SLOPE(B$6:AI$6,B13:AI13)</f>
        <v>2.53873882830767</v>
      </c>
      <c r="D64" s="140" t="n">
        <f aca="false">SLOPE(B$6:AC$6,B13:AC13)</f>
        <v>2.20733522940359</v>
      </c>
      <c r="E64" s="110" t="n">
        <f aca="false">SLOPE(B$6:X$6,B13:X13)</f>
        <v>1.89765959513075</v>
      </c>
      <c r="F64" s="140" t="n">
        <f aca="false">SLOPE(B$6:P$6,B13:P13)</f>
        <v>1.84781086444717</v>
      </c>
      <c r="G64" s="110" t="n">
        <f aca="false">SLOPE(B$6:K$6,B13:K13)</f>
        <v>0.262432822378652</v>
      </c>
      <c r="H64" s="107"/>
      <c r="I64" s="111" t="n">
        <f aca="false">AVERAGE(B64/2,C64:F64,G64/2)</f>
        <v>1.70811717638785</v>
      </c>
      <c r="J64" s="141" t="str">
        <f aca="false">A47</f>
        <v>CAC 40</v>
      </c>
      <c r="K64" s="140" t="n">
        <f aca="false">SLOPE(B$5:AQ$5,B13:AQ13)</f>
        <v>2.44999622586149</v>
      </c>
      <c r="L64" s="110" t="n">
        <f aca="false">SLOPE(B$5:AI$5,B13:AI13)</f>
        <v>2.31747918276605</v>
      </c>
      <c r="M64" s="140" t="n">
        <f aca="false">SLOPE(B$5:AC$5,B13:AC13)</f>
        <v>2.73988995742834</v>
      </c>
      <c r="N64" s="110" t="n">
        <f aca="false">SLOPE(B$5:X$5,B13:X13)</f>
        <v>2.4222867972825</v>
      </c>
      <c r="O64" s="140" t="n">
        <f aca="false">SLOPE(B$5:P$5,B13:P13)</f>
        <v>2.45823600618946</v>
      </c>
      <c r="P64" s="110" t="n">
        <f aca="false">SLOPE(B$5:K$5,B13:K13)</f>
        <v>-0.659007339439493</v>
      </c>
      <c r="Q64" s="107"/>
      <c r="R64" s="111" t="n">
        <f aca="false">AVERAGE(K64/2,L64:O64,P64/2)</f>
        <v>1.80556439781289</v>
      </c>
    </row>
    <row r="65" customFormat="false" ht="12.8" hidden="false" customHeight="false" outlineLevel="0" collapsed="false">
      <c r="A65" s="139" t="str">
        <f aca="false">J65</f>
        <v>Eurostoxx 50</v>
      </c>
      <c r="B65" s="140" t="n">
        <f aca="false">SLOPE(B$6:AQ$6,B14:AQ14)</f>
        <v>3.3229072473006</v>
      </c>
      <c r="C65" s="110" t="n">
        <f aca="false">SLOPE(B$6:AI$6,B14:AI14)</f>
        <v>2.56931023308864</v>
      </c>
      <c r="D65" s="140" t="n">
        <f aca="false">SLOPE(B$6:AC$6,B14:AC14)</f>
        <v>1.92371177782636</v>
      </c>
      <c r="E65" s="110" t="n">
        <f aca="false">SLOPE(B$6:X$6,B14:X14)</f>
        <v>1.74450279392983</v>
      </c>
      <c r="F65" s="140" t="n">
        <f aca="false">SLOPE(B$6:P$6,B14:P14)</f>
        <v>2.26811813646141</v>
      </c>
      <c r="G65" s="110" t="n">
        <f aca="false">SLOPE(B$6:K$6,B14:K14)</f>
        <v>1.68731093889155</v>
      </c>
      <c r="H65" s="107"/>
      <c r="I65" s="111" t="n">
        <f aca="false">AVERAGE(B65/2,C65:F65,G65/2)</f>
        <v>1.83512533906705</v>
      </c>
      <c r="J65" s="141" t="str">
        <f aca="false">A48</f>
        <v>Eurostoxx 50</v>
      </c>
      <c r="K65" s="140" t="n">
        <f aca="false">SLOPE(B$5:AQ$5,B14:AQ14)</f>
        <v>2.74617471872388</v>
      </c>
      <c r="L65" s="110" t="n">
        <f aca="false">SLOPE(B$5:AI$5,B14:AI14)</f>
        <v>2.62026971666807</v>
      </c>
      <c r="M65" s="140" t="n">
        <f aca="false">SLOPE(B$5:AC$5,B14:AC14)</f>
        <v>2.6912835472097</v>
      </c>
      <c r="N65" s="110" t="n">
        <f aca="false">SLOPE(B$5:X$5,B14:X14)</f>
        <v>2.50647569823001</v>
      </c>
      <c r="O65" s="140" t="n">
        <f aca="false">SLOPE(B$5:P$5,B14:P14)</f>
        <v>3.89969613608147</v>
      </c>
      <c r="P65" s="110" t="n">
        <f aca="false">SLOPE(B$5:K$5,B14:K14)</f>
        <v>2.62501718665577</v>
      </c>
      <c r="Q65" s="107"/>
      <c r="R65" s="111" t="n">
        <f aca="false">AVERAGE(K65/2,L65:O65,P65/2)</f>
        <v>2.40055350847985</v>
      </c>
    </row>
    <row r="66" customFormat="false" ht="12.8" hidden="false" customHeight="false" outlineLevel="0" collapsed="false">
      <c r="A66" s="139" t="str">
        <f aca="false">J66</f>
        <v>Nikkei</v>
      </c>
      <c r="B66" s="140" t="n">
        <f aca="false">SLOPE(B$6:AQ$6,B15:AQ15)</f>
        <v>2.23332957170168</v>
      </c>
      <c r="C66" s="110" t="n">
        <f aca="false">SLOPE(B$6:AI$6,B15:AI15)</f>
        <v>1.7089884475772</v>
      </c>
      <c r="D66" s="140" t="n">
        <f aca="false">SLOPE(B$6:AC$6,B15:AC15)</f>
        <v>1.19329568408147</v>
      </c>
      <c r="E66" s="110" t="n">
        <f aca="false">SLOPE(B$6:X$6,B15:X15)</f>
        <v>1.08668151672337</v>
      </c>
      <c r="F66" s="140" t="n">
        <f aca="false">SLOPE(B$6:P$6,B15:P15)</f>
        <v>1.10341828258588</v>
      </c>
      <c r="G66" s="110" t="n">
        <f aca="false">SLOPE(B$6:K$6,B15:K15)</f>
        <v>0.686357223125252</v>
      </c>
      <c r="H66" s="107"/>
      <c r="I66" s="111" t="n">
        <f aca="false">AVERAGE(B66/2,C66:F66,G66/2)</f>
        <v>1.09203788806356</v>
      </c>
      <c r="J66" s="141" t="str">
        <f aca="false">A49</f>
        <v>Nikkei</v>
      </c>
      <c r="K66" s="140" t="n">
        <f aca="false">SLOPE(B$5:AQ$5,B15:AQ15)</f>
        <v>1.83533597502738</v>
      </c>
      <c r="L66" s="110" t="n">
        <f aca="false">SLOPE(B$5:AI$5,B15:AI15)</f>
        <v>1.80158014533797</v>
      </c>
      <c r="M66" s="140" t="n">
        <f aca="false">SLOPE(B$5:AC$5,B15:AC15)</f>
        <v>1.73732409891986</v>
      </c>
      <c r="N66" s="110" t="n">
        <f aca="false">SLOPE(B$5:X$5,B15:X15)</f>
        <v>1.59916490926524</v>
      </c>
      <c r="O66" s="140" t="n">
        <f aca="false">SLOPE(B$5:P$5,B15:P15)</f>
        <v>1.90331209475348</v>
      </c>
      <c r="P66" s="110" t="n">
        <f aca="false">SLOPE(B$5:K$5,B15:K15)</f>
        <v>0.949774178545755</v>
      </c>
      <c r="Q66" s="107"/>
      <c r="R66" s="111" t="n">
        <f aca="false">AVERAGE(K66/2,L66:O66,P66/2)</f>
        <v>1.40565605417719</v>
      </c>
    </row>
    <row r="67" customFormat="false" ht="12.8" hidden="false" customHeight="false" outlineLevel="0" collapsed="false">
      <c r="A67" s="139" t="str">
        <f aca="false">J67</f>
        <v>MOEKS</v>
      </c>
      <c r="B67" s="140" t="n">
        <f aca="false">SLOPE(B$6:AQ$6,B16:AQ16)</f>
        <v>0.922998117875914</v>
      </c>
      <c r="C67" s="110" t="n">
        <f aca="false">SLOPE(B$6:AI$6,B16:AI16)</f>
        <v>0.228816178608999</v>
      </c>
      <c r="D67" s="140" t="n">
        <f aca="false">SLOPE(B$6:AC$6,B16:AC16)</f>
        <v>0.0175912474616703</v>
      </c>
      <c r="E67" s="110" t="n">
        <f aca="false">SLOPE(B$6:X$6,B16:X16)</f>
        <v>0.909892534068969</v>
      </c>
      <c r="F67" s="140" t="n">
        <f aca="false">SLOPE(B$6:P$6,B16:P16)</f>
        <v>-0.245749611080759</v>
      </c>
      <c r="G67" s="110" t="n">
        <f aca="false">SLOPE(B$6:K$6,B16:K16)</f>
        <v>-1.44244252640991</v>
      </c>
      <c r="H67" s="107"/>
      <c r="I67" s="111" t="n">
        <f aca="false">AVERAGE(B67/2,C67:F67,G67/2)</f>
        <v>0.108471357465314</v>
      </c>
      <c r="J67" s="141" t="str">
        <f aca="false">A50</f>
        <v>MOEKS</v>
      </c>
      <c r="K67" s="140" t="n">
        <f aca="false">SLOPE(B$5:AQ$5,B16:AQ16)</f>
        <v>0.406831746964324</v>
      </c>
      <c r="L67" s="110" t="n">
        <f aca="false">SLOPE(B$5:AI$5,B16:AI16)</f>
        <v>0.0530978656814658</v>
      </c>
      <c r="M67" s="140" t="n">
        <f aca="false">SLOPE(B$5:AC$5,B16:AC16)</f>
        <v>-0.100257708942538</v>
      </c>
      <c r="N67" s="110" t="n">
        <f aca="false">SLOPE(B$5:X$5,B16:X16)</f>
        <v>1.08871970172989</v>
      </c>
      <c r="O67" s="140" t="n">
        <f aca="false">SLOPE(B$5:P$5,B16:P16)</f>
        <v>-0.394640246813302</v>
      </c>
      <c r="P67" s="110" t="n">
        <f aca="false">SLOPE(B$5:K$5,B16:K16)</f>
        <v>-3.00815701879486</v>
      </c>
      <c r="Q67" s="107"/>
      <c r="R67" s="111" t="n">
        <f aca="false">AVERAGE(K67/2,L67:O67,P67/2)</f>
        <v>-0.108957170709958</v>
      </c>
    </row>
    <row r="68" customFormat="false" ht="12.8" hidden="false" customHeight="false" outlineLevel="0" collapsed="false">
      <c r="A68" s="139" t="str">
        <f aca="false">J68</f>
        <v>CSI 300</v>
      </c>
      <c r="B68" s="140" t="n">
        <f aca="false">SLOPE(B$6:AQ$6,B17:AQ17)</f>
        <v>-0.274854948463999</v>
      </c>
      <c r="C68" s="110" t="n">
        <f aca="false">SLOPE(B$6:AI$6,B17:AI17)</f>
        <v>-1.48832485132965</v>
      </c>
      <c r="D68" s="140" t="n">
        <f aca="false">SLOPE(B$6:AC$6,B17:AC17)</f>
        <v>-1.2944790872296</v>
      </c>
      <c r="E68" s="110" t="n">
        <f aca="false">SLOPE(B$6:X$6,B17:X17)</f>
        <v>-1.63846224136491</v>
      </c>
      <c r="F68" s="140" t="n">
        <f aca="false">SLOPE(B$6:P$6,B17:P17)</f>
        <v>-3.18648125081778</v>
      </c>
      <c r="G68" s="110" t="n">
        <f aca="false">SLOPE(B$6:K$6,B17:K17)</f>
        <v>-3.28048354285049</v>
      </c>
      <c r="H68" s="107"/>
      <c r="I68" s="111" t="n">
        <f aca="false">AVERAGE(B68/2,C68:F68,G68/2)</f>
        <v>-1.5642361127332</v>
      </c>
      <c r="J68" s="141" t="str">
        <f aca="false">A51</f>
        <v>CSI 300</v>
      </c>
      <c r="K68" s="140" t="n">
        <f aca="false">SLOPE(B$5:AQ$5,B17:AQ17)</f>
        <v>-1.13579858197602</v>
      </c>
      <c r="L68" s="110" t="n">
        <f aca="false">SLOPE(B$5:AI$5,B17:AI17)</f>
        <v>-1.94026986664179</v>
      </c>
      <c r="M68" s="140" t="n">
        <f aca="false">SLOPE(B$5:AC$5,B17:AC17)</f>
        <v>-1.89589732054843</v>
      </c>
      <c r="N68" s="110" t="n">
        <f aca="false">SLOPE(B$5:X$5,B17:X17)</f>
        <v>-2.53991107447807</v>
      </c>
      <c r="O68" s="140" t="n">
        <f aca="false">SLOPE(B$5:P$5,B17:P17)</f>
        <v>-6.29210611316052</v>
      </c>
      <c r="P68" s="110" t="n">
        <f aca="false">SLOPE(B$5:K$5,B17:K17)</f>
        <v>-6.74057613014683</v>
      </c>
      <c r="Q68" s="107"/>
      <c r="R68" s="111" t="n">
        <f aca="false">AVERAGE(K68/2,L68:O68,P68/2)</f>
        <v>-2.76772862181504</v>
      </c>
    </row>
    <row r="69" customFormat="false" ht="12.8" hidden="false" customHeight="false" outlineLevel="0" collapsed="false">
      <c r="A69" s="139" t="str">
        <f aca="false">J69</f>
        <v>TWSE 50</v>
      </c>
      <c r="B69" s="140" t="n">
        <f aca="false">SLOPE(B$6:AQ$6,B18:AQ18)</f>
        <v>1.61423334990445</v>
      </c>
      <c r="C69" s="110" t="n">
        <f aca="false">SLOPE(B$6:AI$6,B18:AI18)</f>
        <v>1.28473037067945</v>
      </c>
      <c r="D69" s="140" t="n">
        <f aca="false">SLOPE(B$6:AC$6,B18:AC18)</f>
        <v>0.900316511910018</v>
      </c>
      <c r="E69" s="110" t="n">
        <f aca="false">SLOPE(B$6:X$6,B18:X18)</f>
        <v>0.86988452404722</v>
      </c>
      <c r="F69" s="140" t="n">
        <f aca="false">SLOPE(B$6:P$6,B18:P18)</f>
        <v>0.812102488093861</v>
      </c>
      <c r="G69" s="110" t="n">
        <f aca="false">SLOPE(B$6:K$6,B18:K18)</f>
        <v>0.699018912633885</v>
      </c>
      <c r="H69" s="107"/>
      <c r="I69" s="111" t="n">
        <f aca="false">AVERAGE(B69/2,C69:F69,G69/2)</f>
        <v>0.837276670999953</v>
      </c>
      <c r="J69" s="141" t="str">
        <f aca="false">A52</f>
        <v>TWSE 50</v>
      </c>
      <c r="K69" s="140" t="n">
        <f aca="false">SLOPE(B$5:AQ$5,B18:AQ18)</f>
        <v>1.33152795458116</v>
      </c>
      <c r="L69" s="110" t="n">
        <f aca="false">SLOPE(B$5:AI$5,B18:AI18)</f>
        <v>1.45094157900106</v>
      </c>
      <c r="M69" s="140" t="n">
        <f aca="false">SLOPE(B$5:AC$5,B18:AC18)</f>
        <v>1.47617903131015</v>
      </c>
      <c r="N69" s="110" t="n">
        <f aca="false">SLOPE(B$5:X$5,B18:X18)</f>
        <v>1.44708373359045</v>
      </c>
      <c r="O69" s="140" t="n">
        <f aca="false">SLOPE(B$5:P$5,B18:P18)</f>
        <v>1.54871339452321</v>
      </c>
      <c r="P69" s="110" t="n">
        <f aca="false">SLOPE(B$5:K$5,B18:K18)</f>
        <v>1.39739321140897</v>
      </c>
      <c r="Q69" s="107"/>
      <c r="R69" s="111" t="n">
        <f aca="false">AVERAGE(K69/2,L69:O69,P69/2)</f>
        <v>1.21456305356999</v>
      </c>
    </row>
    <row r="70" customFormat="false" ht="12.8" hidden="false" customHeight="false" outlineLevel="0" collapsed="false">
      <c r="A70" s="139" t="str">
        <f aca="false">J70</f>
        <v>SOFIX</v>
      </c>
      <c r="B70" s="140" t="n">
        <f aca="false">SLOPE(B$6:AQ$6,B19:AQ19)</f>
        <v>2.47709889898353</v>
      </c>
      <c r="C70" s="110" t="n">
        <f aca="false">SLOPE(B$6:AI$6,B19:AI19)</f>
        <v>2.119825426668</v>
      </c>
      <c r="D70" s="140" t="n">
        <f aca="false">SLOPE(B$6:AC$6,B19:AC19)</f>
        <v>1.67942187303281</v>
      </c>
      <c r="E70" s="110" t="n">
        <f aca="false">SLOPE(B$6:X$6,B19:X19)</f>
        <v>1.65286802295333</v>
      </c>
      <c r="F70" s="140" t="n">
        <f aca="false">SLOPE(B$6:P$6,B19:P19)</f>
        <v>2.00320799926745</v>
      </c>
      <c r="G70" s="110" t="n">
        <f aca="false">SLOPE(B$6:K$6,B19:K19)</f>
        <v>3.0151970476901</v>
      </c>
      <c r="H70" s="107"/>
      <c r="I70" s="111" t="n">
        <f aca="false">AVERAGE(B70/2,C70:F70,G70/2)</f>
        <v>1.7002452158764</v>
      </c>
      <c r="J70" s="141" t="str">
        <f aca="false">A53</f>
        <v>SOFIX</v>
      </c>
      <c r="K70" s="140" t="n">
        <f aca="false">SLOPE(B$5:AQ$5,B19:AQ19)</f>
        <v>2.44981048187982</v>
      </c>
      <c r="L70" s="110" t="n">
        <f aca="false">SLOPE(B$5:AI$5,B19:AI19)</f>
        <v>2.29213115470304</v>
      </c>
      <c r="M70" s="140" t="n">
        <f aca="false">SLOPE(B$5:AC$5,B19:AC19)</f>
        <v>2.49729887284334</v>
      </c>
      <c r="N70" s="110" t="n">
        <f aca="false">SLOPE(B$5:X$5,B19:X19)</f>
        <v>2.61377632570599</v>
      </c>
      <c r="O70" s="140" t="n">
        <f aca="false">SLOPE(B$5:P$5,B19:P19)</f>
        <v>3.98381153837403</v>
      </c>
      <c r="P70" s="110" t="n">
        <f aca="false">SLOPE(B$5:K$5,B19:K19)</f>
        <v>5.95974278650484</v>
      </c>
      <c r="Q70" s="107"/>
      <c r="R70" s="111" t="n">
        <f aca="false">AVERAGE(K70/2,L70:O70,P70/2)</f>
        <v>2.59863242096979</v>
      </c>
    </row>
    <row r="71" customFormat="false" ht="12.8" hidden="false" customHeight="false" outlineLevel="0" collapsed="false">
      <c r="A71" s="139" t="str">
        <f aca="false">J71</f>
        <v>BELEX</v>
      </c>
      <c r="B71" s="140" t="n">
        <f aca="false">SLOPE(B$6:AQ$6,B20:AQ20)</f>
        <v>4.07242540781155</v>
      </c>
      <c r="C71" s="110" t="n">
        <f aca="false">SLOPE(B$6:AI$6,B20:AI20)</f>
        <v>3.17727234852435</v>
      </c>
      <c r="D71" s="140" t="n">
        <f aca="false">SLOPE(B$6:AC$6,B20:AC20)</f>
        <v>2.59616083697447</v>
      </c>
      <c r="E71" s="110" t="n">
        <f aca="false">SLOPE(B$6:X$6,B20:X20)</f>
        <v>2.61095348352181</v>
      </c>
      <c r="F71" s="140" t="n">
        <f aca="false">SLOPE(B$6:P$6,B20:P20)</f>
        <v>2.59399524426098</v>
      </c>
      <c r="G71" s="110" t="n">
        <f aca="false">SLOPE(B$6:K$6,B20:K20)</f>
        <v>2.16285258298618</v>
      </c>
      <c r="H71" s="107"/>
      <c r="I71" s="111" t="n">
        <f aca="false">AVERAGE(B71/2,C71:F71,G71/2)</f>
        <v>2.34933681811341</v>
      </c>
      <c r="J71" s="141" t="str">
        <f aca="false">A54</f>
        <v>BELEX</v>
      </c>
      <c r="K71" s="140" t="n">
        <f aca="false">SLOPE(B$5:AQ$5,B20:AQ20)</f>
        <v>3.66424354058746</v>
      </c>
      <c r="L71" s="110" t="n">
        <f aca="false">SLOPE(B$5:AI$5,B20:AI20)</f>
        <v>3.4992406097187</v>
      </c>
      <c r="M71" s="140" t="n">
        <f aca="false">SLOPE(B$5:AC$5,B20:AC20)</f>
        <v>4.00692142764714</v>
      </c>
      <c r="N71" s="110" t="n">
        <f aca="false">SLOPE(B$5:X$5,B20:X20)</f>
        <v>4.29888829603735</v>
      </c>
      <c r="O71" s="140" t="n">
        <f aca="false">SLOPE(B$5:P$5,B20:P20)</f>
        <v>5.00612484734083</v>
      </c>
      <c r="P71" s="110" t="n">
        <f aca="false">SLOPE(B$5:K$5,B20:K20)</f>
        <v>4.29555644047301</v>
      </c>
      <c r="Q71" s="107"/>
      <c r="R71" s="111" t="n">
        <f aca="false">AVERAGE(K71/2,L71:O71,P71/2)</f>
        <v>3.46517919521237</v>
      </c>
    </row>
    <row r="72" customFormat="false" ht="12.8" hidden="false" customHeight="false" outlineLevel="0" collapsed="false">
      <c r="A72" s="139" t="str">
        <f aca="false">J72</f>
        <v>ATHEX</v>
      </c>
      <c r="B72" s="140" t="n">
        <f aca="false">SLOPE(B$6:AQ$6,B21:AQ21)</f>
        <v>1.48612997557338</v>
      </c>
      <c r="C72" s="110" t="n">
        <f aca="false">SLOPE(B$6:AI$6,B21:AI21)</f>
        <v>1.1595090401132</v>
      </c>
      <c r="D72" s="140" t="n">
        <f aca="false">SLOPE(B$6:AC$6,B21:AC21)</f>
        <v>0.837278458389651</v>
      </c>
      <c r="E72" s="110" t="n">
        <f aca="false">SLOPE(B$6:X$6,B21:X21)</f>
        <v>0.797075989580918</v>
      </c>
      <c r="F72" s="140" t="n">
        <f aca="false">SLOPE(B$6:P$6,B21:P21)</f>
        <v>1.30574893437004</v>
      </c>
      <c r="G72" s="110" t="n">
        <f aca="false">SLOPE(B$6:K$6,B21:K21)</f>
        <v>1.23342345540092</v>
      </c>
      <c r="H72" s="107"/>
      <c r="I72" s="111" t="n">
        <f aca="false">AVERAGE(B72/2,C72:F72,G72/2)</f>
        <v>0.909898189656826</v>
      </c>
      <c r="J72" s="141" t="str">
        <f aca="false">A55</f>
        <v>ATHEX</v>
      </c>
      <c r="K72" s="140" t="n">
        <f aca="false">SLOPE(B$5:AQ$5,B21:AQ21)</f>
        <v>1.33037042729363</v>
      </c>
      <c r="L72" s="110" t="n">
        <f aca="false">SLOPE(B$5:AI$5,B21:AI21)</f>
        <v>1.24372633217153</v>
      </c>
      <c r="M72" s="140" t="n">
        <f aca="false">SLOPE(B$5:AC$5,B21:AC21)</f>
        <v>1.20082603983702</v>
      </c>
      <c r="N72" s="110" t="n">
        <f aca="false">SLOPE(B$5:X$5,B21:X21)</f>
        <v>1.15503090439378</v>
      </c>
      <c r="O72" s="140" t="n">
        <f aca="false">SLOPE(B$5:P$5,B21:P21)</f>
        <v>2.315809359384</v>
      </c>
      <c r="P72" s="110" t="n">
        <f aca="false">SLOPE(B$5:K$5,B21:K21)</f>
        <v>2.01963878795041</v>
      </c>
      <c r="Q72" s="107"/>
      <c r="R72" s="111" t="n">
        <f aca="false">AVERAGE(K72/2,L72:O72,P72/2)</f>
        <v>1.26506620723472</v>
      </c>
    </row>
    <row r="73" customFormat="false" ht="12.8" hidden="false" customHeight="false" outlineLevel="0" collapsed="false">
      <c r="A73" s="139" t="str">
        <f aca="false">J73</f>
        <v>CROBEX</v>
      </c>
      <c r="B73" s="140" t="n">
        <f aca="false">SLOPE(B$6:AQ$6,B22:AQ22)</f>
        <v>2.33459015957184</v>
      </c>
      <c r="C73" s="110" t="n">
        <f aca="false">SLOPE(B$6:AI$6,B22:AI22)</f>
        <v>1.78993266270992</v>
      </c>
      <c r="D73" s="140" t="n">
        <f aca="false">SLOPE(B$6:AC$6,B22:AC22)</f>
        <v>1.32048185878874</v>
      </c>
      <c r="E73" s="110" t="n">
        <f aca="false">SLOPE(B$6:X$6,B22:X22)</f>
        <v>1.24794974070223</v>
      </c>
      <c r="F73" s="140" t="n">
        <f aca="false">SLOPE(B$6:P$6,B22:P22)</f>
        <v>1.54864981965725</v>
      </c>
      <c r="G73" s="110" t="n">
        <f aca="false">SLOPE(B$6:K$6,B22:K22)</f>
        <v>1.80781624600219</v>
      </c>
      <c r="H73" s="107"/>
      <c r="I73" s="111" t="n">
        <f aca="false">AVERAGE(B73/2,C73:F73,G73/2)</f>
        <v>1.32970288077419</v>
      </c>
      <c r="J73" s="141" t="str">
        <f aca="false">A56</f>
        <v>CROBEX</v>
      </c>
      <c r="K73" s="140" t="n">
        <f aca="false">SLOPE(B$5:AQ$5,B22:AQ22)</f>
        <v>2.14407846176585</v>
      </c>
      <c r="L73" s="110" t="n">
        <f aca="false">SLOPE(B$5:AI$5,B22:AI22)</f>
        <v>2.03779092485242</v>
      </c>
      <c r="M73" s="140" t="n">
        <f aca="false">SLOPE(B$5:AC$5,B22:AC22)</f>
        <v>2.00740997096553</v>
      </c>
      <c r="N73" s="110" t="n">
        <f aca="false">SLOPE(B$5:X$5,B22:X22)</f>
        <v>1.94887647770561</v>
      </c>
      <c r="O73" s="140" t="n">
        <f aca="false">SLOPE(B$5:P$5,B22:P22)</f>
        <v>2.94227120204049</v>
      </c>
      <c r="P73" s="110" t="n">
        <f aca="false">SLOPE(B$5:K$5,B22:K22)</f>
        <v>3.3419507059459</v>
      </c>
      <c r="Q73" s="107"/>
      <c r="R73" s="111" t="n">
        <f aca="false">AVERAGE(K73/2,L73:O73,P73/2)</f>
        <v>1.94656052656999</v>
      </c>
    </row>
    <row r="75" customFormat="false" ht="23.85" hidden="false" customHeight="false" outlineLevel="0" collapsed="false">
      <c r="A75" s="143" t="s">
        <v>137</v>
      </c>
      <c r="B75" s="16" t="s">
        <v>105</v>
      </c>
      <c r="C75" s="105" t="s">
        <v>106</v>
      </c>
      <c r="D75" s="104" t="s">
        <v>107</v>
      </c>
      <c r="E75" s="104" t="s">
        <v>108</v>
      </c>
      <c r="F75" s="104" t="s">
        <v>109</v>
      </c>
      <c r="G75" s="137" t="s">
        <v>110</v>
      </c>
      <c r="H75" s="107"/>
      <c r="I75" s="108" t="s">
        <v>111</v>
      </c>
    </row>
    <row r="76" customFormat="false" ht="12.8" hidden="false" customHeight="false" outlineLevel="0" collapsed="false">
      <c r="A76" s="139" t="str">
        <f aca="false">A8</f>
        <v>S&amp;P 500</v>
      </c>
      <c r="B76" s="140" t="n">
        <f aca="false">SLOPE(B8:AQ8,B$2:AQ$2)</f>
        <v>0.713698064729096</v>
      </c>
      <c r="C76" s="110" t="n">
        <f aca="false">SLOPE(B8:AI8,B$2:AI$2)</f>
        <v>0.681812803388634</v>
      </c>
      <c r="D76" s="140" t="n">
        <f aca="false">SLOPE(B8:AC8,B$2:AC$2)</f>
        <v>0.585244360377944</v>
      </c>
      <c r="E76" s="110" t="n">
        <f aca="false">SLOPE(B8:X8,B$2:X$2)</f>
        <v>0.625036567471689</v>
      </c>
      <c r="F76" s="140" t="n">
        <f aca="false">SLOPE(B8:P8,B$2:P$2)</f>
        <v>0.520664158197454</v>
      </c>
      <c r="G76" s="140" t="n">
        <f aca="false">SLOPE(B8:K8,B$2:K$2)</f>
        <v>0.421472105160886</v>
      </c>
      <c r="H76" s="107"/>
      <c r="I76" s="111" t="n">
        <f aca="false">AVERAGE(B76/2,C76:F76,G76/2)</f>
        <v>0.496723829063452</v>
      </c>
    </row>
    <row r="77" customFormat="false" ht="12.8" hidden="false" customHeight="false" outlineLevel="0" collapsed="false">
      <c r="A77" s="139" t="str">
        <f aca="false">A9</f>
        <v>DOW</v>
      </c>
      <c r="B77" s="140" t="n">
        <f aca="false">SLOPE(B9:AQ9,B$2:AQ$2)</f>
        <v>0.452185336361477</v>
      </c>
      <c r="C77" s="110" t="n">
        <f aca="false">SLOPE(B9:AI9,B$2:AI$2)</f>
        <v>0.451267668436573</v>
      </c>
      <c r="D77" s="140" t="n">
        <f aca="false">SLOPE(B9:AC9,B$2:AC$2)</f>
        <v>0.357746407728303</v>
      </c>
      <c r="E77" s="110" t="n">
        <f aca="false">SLOPE(B9:X9,B$2:X$2)</f>
        <v>0.393422265841632</v>
      </c>
      <c r="F77" s="140" t="n">
        <f aca="false">SLOPE(B9:P9,B$2:P$2)</f>
        <v>0.31983620283086</v>
      </c>
      <c r="G77" s="140" t="n">
        <f aca="false">SLOPE(B9:K9,B$2:K$2)</f>
        <v>0.236083953499287</v>
      </c>
      <c r="H77" s="107"/>
      <c r="I77" s="111" t="n">
        <f aca="false">AVERAGE(B77/2,C77:F77,G77/2)</f>
        <v>0.311067864961292</v>
      </c>
    </row>
    <row r="78" customFormat="false" ht="12.8" hidden="false" customHeight="false" outlineLevel="0" collapsed="false">
      <c r="A78" s="139" t="str">
        <f aca="false">A10</f>
        <v>Russel 2000</v>
      </c>
      <c r="B78" s="140" t="n">
        <f aca="false">SLOPE(B10:AQ10,B$2:AQ$2)</f>
        <v>0.293439717516057</v>
      </c>
      <c r="C78" s="110" t="n">
        <f aca="false">SLOPE(B10:AI10,B$2:AI$2)</f>
        <v>0.286236420431973</v>
      </c>
      <c r="D78" s="140" t="n">
        <f aca="false">SLOPE(B10:AC10,B$2:AC$2)</f>
        <v>0.132653724026294</v>
      </c>
      <c r="E78" s="110" t="n">
        <f aca="false">SLOPE(B10:X10,B$2:X$2)</f>
        <v>0.253602141349918</v>
      </c>
      <c r="F78" s="140" t="n">
        <f aca="false">SLOPE(B10:P10,B$2:P$2)</f>
        <v>0.260879644024185</v>
      </c>
      <c r="G78" s="140" t="n">
        <f aca="false">SLOPE(B10:K10,B$2:K$2)</f>
        <v>0.216381937283617</v>
      </c>
      <c r="H78" s="107"/>
      <c r="I78" s="111" t="n">
        <f aca="false">AVERAGE(B78/2,C78:F78,G78/2)</f>
        <v>0.198047126205368</v>
      </c>
    </row>
    <row r="79" customFormat="false" ht="12.8" hidden="false" customHeight="false" outlineLevel="0" collapsed="false">
      <c r="A79" s="139" t="str">
        <f aca="false">A11</f>
        <v>FTSE</v>
      </c>
      <c r="B79" s="140" t="n">
        <f aca="false">SLOPE(B11:AQ11,B$2:AQ$2)</f>
        <v>0.147744189729867</v>
      </c>
      <c r="C79" s="110" t="n">
        <f aca="false">SLOPE(B11:AI11,B$2:AI$2)</f>
        <v>0.237698100903575</v>
      </c>
      <c r="D79" s="140" t="n">
        <f aca="false">SLOPE(B11:AC11,B$2:AC$2)</f>
        <v>0.169503809240695</v>
      </c>
      <c r="E79" s="110" t="n">
        <f aca="false">SLOPE(B11:X11,B$2:X$2)</f>
        <v>0.147693406664226</v>
      </c>
      <c r="F79" s="140" t="n">
        <f aca="false">SLOPE(B11:P11,B$2:P$2)</f>
        <v>0.118084038765191</v>
      </c>
      <c r="G79" s="140" t="n">
        <f aca="false">SLOPE(B11:K11,B$2:K$2)</f>
        <v>0.121850770105238</v>
      </c>
      <c r="H79" s="107"/>
      <c r="I79" s="111" t="n">
        <f aca="false">AVERAGE(B79/2,C79:F79,G79/2)</f>
        <v>0.134629472581873</v>
      </c>
    </row>
    <row r="80" customFormat="false" ht="12.8" hidden="false" customHeight="false" outlineLevel="0" collapsed="false">
      <c r="A80" s="139" t="str">
        <f aca="false">A12</f>
        <v>DAX 40</v>
      </c>
      <c r="B80" s="140" t="n">
        <f aca="false">SLOPE(B12:AQ12,B$2:AQ$2)</f>
        <v>0.42706139619488</v>
      </c>
      <c r="C80" s="110" t="n">
        <f aca="false">SLOPE(B12:AI12,B$2:AI$2)</f>
        <v>0.43954078869688</v>
      </c>
      <c r="D80" s="140" t="n">
        <f aca="false">SLOPE(B12:AC12,B$2:AC$2)</f>
        <v>0.388746846226804</v>
      </c>
      <c r="E80" s="110" t="n">
        <f aca="false">SLOPE(B12:X12,B$2:X$2)</f>
        <v>0.447088023450275</v>
      </c>
      <c r="F80" s="140" t="n">
        <f aca="false">SLOPE(B12:P12,B$2:P$2)</f>
        <v>0.301559861389679</v>
      </c>
      <c r="G80" s="140" t="n">
        <f aca="false">SLOPE(B12:K12,B$2:K$2)</f>
        <v>0.239768488756872</v>
      </c>
      <c r="H80" s="107"/>
      <c r="I80" s="111" t="n">
        <f aca="false">AVERAGE(B80/2,C80:F80,G80/2)</f>
        <v>0.318391743706586</v>
      </c>
    </row>
    <row r="81" customFormat="false" ht="12.8" hidden="false" customHeight="false" outlineLevel="0" collapsed="false">
      <c r="A81" s="139" t="str">
        <f aca="false">A13</f>
        <v>CAC 40</v>
      </c>
      <c r="B81" s="140" t="n">
        <f aca="false">SLOPE(B13:AQ13,B$2:AQ$2)</f>
        <v>0.387959789078177</v>
      </c>
      <c r="C81" s="110" t="n">
        <f aca="false">SLOPE(B13:AI13,B$2:AI$2)</f>
        <v>0.404156259052737</v>
      </c>
      <c r="D81" s="140" t="n">
        <f aca="false">SLOPE(B13:AC13,B$2:AC$2)</f>
        <v>0.237008466300251</v>
      </c>
      <c r="E81" s="110" t="n">
        <f aca="false">SLOPE(B13:X13,B$2:X$2)</f>
        <v>0.210765637290097</v>
      </c>
      <c r="F81" s="140" t="n">
        <f aca="false">SLOPE(B13:P13,B$2:P$2)</f>
        <v>0.0591443365689741</v>
      </c>
      <c r="G81" s="140" t="n">
        <f aca="false">SLOPE(B13:K13,B$2:K$2)</f>
        <v>-0.0235806249779733</v>
      </c>
      <c r="H81" s="107"/>
      <c r="I81" s="111" t="n">
        <f aca="false">AVERAGE(B81/2,C81:F81,G81/2)</f>
        <v>0.182210713543693</v>
      </c>
    </row>
    <row r="82" customFormat="false" ht="12.8" hidden="false" customHeight="false" outlineLevel="0" collapsed="false">
      <c r="A82" s="139" t="str">
        <f aca="false">A14</f>
        <v>Eurostoxx 50</v>
      </c>
      <c r="B82" s="140" t="n">
        <f aca="false">SLOPE(B14:AQ14,B$2:AQ$2)</f>
        <v>0.386238570533151</v>
      </c>
      <c r="C82" s="110" t="n">
        <f aca="false">SLOPE(B14:AI14,B$2:AI$2)</f>
        <v>0.428421171161959</v>
      </c>
      <c r="D82" s="140" t="n">
        <f aca="false">SLOPE(B14:AC14,B$2:AC$2)</f>
        <v>0.355727013861518</v>
      </c>
      <c r="E82" s="110" t="n">
        <f aca="false">SLOPE(B14:X14,B$2:X$2)</f>
        <v>0.382293518504115</v>
      </c>
      <c r="F82" s="140" t="n">
        <f aca="false">SLOPE(B14:P14,B$2:P$2)</f>
        <v>0.231373321624637</v>
      </c>
      <c r="G82" s="140" t="n">
        <f aca="false">SLOPE(B14:K14,B$2:K$2)</f>
        <v>0.143311244159451</v>
      </c>
      <c r="H82" s="107"/>
      <c r="I82" s="111" t="n">
        <f aca="false">AVERAGE(B82/2,C82:F82,G82/2)</f>
        <v>0.277098322083088</v>
      </c>
    </row>
    <row r="83" customFormat="false" ht="12.8" hidden="false" customHeight="false" outlineLevel="0" collapsed="false">
      <c r="A83" s="139" t="str">
        <f aca="false">A15</f>
        <v>Nikkei</v>
      </c>
      <c r="B83" s="140" t="n">
        <f aca="false">SLOPE(B15:AQ15,B$2:AQ$2)</f>
        <v>0.568025143331081</v>
      </c>
      <c r="C83" s="110" t="n">
        <f aca="false">SLOPE(B15:AI15,B$2:AI$2)</f>
        <v>0.580374273219281</v>
      </c>
      <c r="D83" s="140" t="n">
        <f aca="false">SLOPE(B15:AC15,B$2:AC$2)</f>
        <v>0.510006928341243</v>
      </c>
      <c r="E83" s="110" t="n">
        <f aca="false">SLOPE(B15:X15,B$2:X$2)</f>
        <v>0.536618784411091</v>
      </c>
      <c r="F83" s="140" t="n">
        <f aca="false">SLOPE(B15:P15,B$2:P$2)</f>
        <v>0.322691166799758</v>
      </c>
      <c r="G83" s="140" t="n">
        <f aca="false">SLOPE(B15:K15,B$2:K$2)</f>
        <v>0.167197826044204</v>
      </c>
      <c r="H83" s="107"/>
      <c r="I83" s="111" t="n">
        <f aca="false">AVERAGE(B83/2,C83:F83,G83/2)</f>
        <v>0.386217106243169</v>
      </c>
    </row>
    <row r="84" customFormat="false" ht="12.8" hidden="false" customHeight="false" outlineLevel="0" collapsed="false">
      <c r="A84" s="139" t="str">
        <f aca="false">A16</f>
        <v>MOEKS</v>
      </c>
      <c r="B84" s="140" t="n">
        <f aca="false">SLOPE(B16:AQ16,B$2:AQ$2)</f>
        <v>0.12329290239039</v>
      </c>
      <c r="C84" s="110" t="n">
        <f aca="false">SLOPE(B16:AI16,B$2:AI$2)</f>
        <v>0.0405891961358171</v>
      </c>
      <c r="D84" s="140" t="n">
        <f aca="false">SLOPE(B16:AC16,B$2:AC$2)</f>
        <v>-0.0107826468131244</v>
      </c>
      <c r="E84" s="110" t="n">
        <f aca="false">SLOPE(B16:X16,B$2:X$2)</f>
        <v>0.216570737357539</v>
      </c>
      <c r="F84" s="140" t="n">
        <f aca="false">SLOPE(B16:P16,B$2:P$2)</f>
        <v>-0.0388073236425374</v>
      </c>
      <c r="G84" s="140" t="n">
        <f aca="false">SLOPE(B16:K16,B$2:K$2)</f>
        <v>-0.221478401042712</v>
      </c>
      <c r="H84" s="107"/>
      <c r="I84" s="111" t="n">
        <f aca="false">AVERAGE(B84/2,C84:F84,G84/2)</f>
        <v>0.0264128689519223</v>
      </c>
    </row>
    <row r="85" customFormat="false" ht="12.8" hidden="false" customHeight="false" outlineLevel="0" collapsed="false">
      <c r="A85" s="139" t="str">
        <f aca="false">A17</f>
        <v>CSI 300</v>
      </c>
      <c r="B85" s="140" t="n">
        <f aca="false">SLOPE(B17:AQ17,B$2:AQ$2)</f>
        <v>-0.0910022866540728</v>
      </c>
      <c r="C85" s="110" t="n">
        <f aca="false">SLOPE(B17:AI17,B$2:AI$2)</f>
        <v>-0.306433998851913</v>
      </c>
      <c r="D85" s="140" t="n">
        <f aca="false">SLOPE(B17:AC17,B$2:AC$2)</f>
        <v>-0.408287182003668</v>
      </c>
      <c r="E85" s="110" t="n">
        <f aca="false">SLOPE(B17:X17,B$2:X$2)</f>
        <v>-0.278914970233753</v>
      </c>
      <c r="F85" s="140" t="n">
        <f aca="false">SLOPE(B17:P17,B$2:P$2)</f>
        <v>-0.159549438594032</v>
      </c>
      <c r="G85" s="140" t="n">
        <f aca="false">SLOPE(B17:K17,B$2:K$2)</f>
        <v>-0.0954853526242979</v>
      </c>
      <c r="H85" s="107"/>
      <c r="I85" s="111" t="n">
        <f aca="false">AVERAGE(B85/2,C85:F85,G85/2)</f>
        <v>-0.207738234887092</v>
      </c>
    </row>
    <row r="86" customFormat="false" ht="12.8" hidden="false" customHeight="false" outlineLevel="0" collapsed="false">
      <c r="A86" s="139" t="str">
        <f aca="false">A18</f>
        <v>TWSE 50</v>
      </c>
      <c r="B86" s="140" t="n">
        <f aca="false">SLOPE(B18:AQ18,B$2:AQ$2)</f>
        <v>0.88205001130648</v>
      </c>
      <c r="C86" s="110" t="n">
        <f aca="false">SLOPE(B18:AI18,B$2:AI$2)</f>
        <v>0.843517037582897</v>
      </c>
      <c r="D86" s="140" t="n">
        <f aca="false">SLOPE(B18:AC18,B$2:AC$2)</f>
        <v>0.793902298569938</v>
      </c>
      <c r="E86" s="110" t="n">
        <f aca="false">SLOPE(B18:X18,B$2:X$2)</f>
        <v>0.924733446223281</v>
      </c>
      <c r="F86" s="140" t="n">
        <f aca="false">SLOPE(B18:P18,B$2:P$2)</f>
        <v>0.898082103307519</v>
      </c>
      <c r="G86" s="140" t="n">
        <f aca="false">SLOPE(B18:K18,B$2:K$2)</f>
        <v>0.830263994741057</v>
      </c>
      <c r="H86" s="107"/>
      <c r="I86" s="111" t="n">
        <f aca="false">AVERAGE(B86/2,C86:F86,G86/2)</f>
        <v>0.7193986481179</v>
      </c>
    </row>
    <row r="87" customFormat="false" ht="12.8" hidden="false" customHeight="false" outlineLevel="0" collapsed="false">
      <c r="A87" s="139" t="str">
        <f aca="false">A19</f>
        <v>SOFIX</v>
      </c>
      <c r="B87" s="140" t="n">
        <f aca="false">SLOPE(B19:AQ19,B$2:AQ$2)</f>
        <v>0.396428674620525</v>
      </c>
      <c r="C87" s="110" t="n">
        <f aca="false">SLOPE(B19:AI19,B$2:AI$2)</f>
        <v>0.561642680045101</v>
      </c>
      <c r="D87" s="140" t="n">
        <f aca="false">SLOPE(B19:AC19,B$2:AC$2)</f>
        <v>0.497929029575185</v>
      </c>
      <c r="E87" s="110" t="n">
        <f aca="false">SLOPE(B19:X19,B$2:X$2)</f>
        <v>0.443734693156912</v>
      </c>
      <c r="F87" s="140" t="n">
        <f aca="false">SLOPE(B19:P19,B$2:P$2)</f>
        <v>0.302419066111884</v>
      </c>
      <c r="G87" s="140" t="n">
        <f aca="false">SLOPE(B19:K19,B$2:K$2)</f>
        <v>0.24202285711001</v>
      </c>
      <c r="H87" s="107"/>
      <c r="I87" s="111" t="n">
        <f aca="false">AVERAGE(B87/2,C87:F87,G87/2)</f>
        <v>0.354158539125725</v>
      </c>
    </row>
    <row r="88" customFormat="false" ht="12.8" hidden="false" customHeight="false" outlineLevel="0" collapsed="false">
      <c r="A88" s="139" t="str">
        <f aca="false">A20</f>
        <v>BELEX</v>
      </c>
      <c r="B88" s="140" t="n">
        <f aca="false">SLOPE(B20:AQ20,B$2:AQ$2)</f>
        <v>0.340586731229238</v>
      </c>
      <c r="C88" s="110" t="n">
        <f aca="false">SLOPE(B20:AI20,B$2:AI$2)</f>
        <v>0.40256404474931</v>
      </c>
      <c r="D88" s="140" t="n">
        <f aca="false">SLOPE(B20:AC20,B$2:AC$2)</f>
        <v>0.363834909277445</v>
      </c>
      <c r="E88" s="110" t="n">
        <f aca="false">SLOPE(B20:X20,B$2:X$2)</f>
        <v>0.334556411716407</v>
      </c>
      <c r="F88" s="140" t="n">
        <f aca="false">SLOPE(B20:P20,B$2:P$2)</f>
        <v>0.286850955876363</v>
      </c>
      <c r="G88" s="140" t="n">
        <f aca="false">SLOPE(B20:K20,B$2:K$2)</f>
        <v>0.302501038572953</v>
      </c>
      <c r="H88" s="107"/>
      <c r="I88" s="111" t="n">
        <f aca="false">AVERAGE(B88/2,C88:F88,G88/2)</f>
        <v>0.28489170108677</v>
      </c>
    </row>
    <row r="89" customFormat="false" ht="12.8" hidden="false" customHeight="false" outlineLevel="0" collapsed="false">
      <c r="A89" s="139" t="str">
        <f aca="false">A21</f>
        <v>ATHEX</v>
      </c>
      <c r="B89" s="140" t="n">
        <f aca="false">SLOPE(B21:AQ21,B$2:AQ$2)</f>
        <v>0.758378062419425</v>
      </c>
      <c r="C89" s="110" t="n">
        <f aca="false">SLOPE(B21:AI21,B$2:AI$2)</f>
        <v>0.925824379179122</v>
      </c>
      <c r="D89" s="140" t="n">
        <f aca="false">SLOPE(B21:AC21,B$2:AC$2)</f>
        <v>0.84883987301529</v>
      </c>
      <c r="E89" s="110" t="n">
        <f aca="false">SLOPE(B21:X21,B$2:X$2)</f>
        <v>0.796836033335052</v>
      </c>
      <c r="F89" s="140" t="n">
        <f aca="false">SLOPE(B21:P21,B$2:P$2)</f>
        <v>0.423190551005009</v>
      </c>
      <c r="G89" s="140" t="n">
        <f aca="false">SLOPE(B21:K21,B$2:K$2)</f>
        <v>0.344239304514704</v>
      </c>
      <c r="H89" s="107"/>
      <c r="I89" s="111" t="n">
        <f aca="false">AVERAGE(B89/2,C89:F89,G89/2)</f>
        <v>0.590999920000256</v>
      </c>
    </row>
    <row r="90" customFormat="false" ht="12.8" hidden="false" customHeight="false" outlineLevel="0" collapsed="false">
      <c r="A90" s="139" t="str">
        <f aca="false">A22</f>
        <v>CROBEX</v>
      </c>
      <c r="B90" s="140" t="n">
        <f aca="false">SLOPE(B22:AQ22,B$2:AQ$2)</f>
        <v>0.56120963533593</v>
      </c>
      <c r="C90" s="110" t="n">
        <f aca="false">SLOPE(B22:AI22,B$2:AI$2)</f>
        <v>0.662831598571698</v>
      </c>
      <c r="D90" s="140" t="n">
        <f aca="false">SLOPE(B22:AC22,B$2:AC$2)</f>
        <v>0.667841136296846</v>
      </c>
      <c r="E90" s="110" t="n">
        <f aca="false">SLOPE(B22:X22,B$2:X$2)</f>
        <v>0.662349292529516</v>
      </c>
      <c r="F90" s="140" t="n">
        <f aca="false">SLOPE(B22:P22,B$2:P$2)</f>
        <v>0.478451544231252</v>
      </c>
      <c r="G90" s="140" t="n">
        <f aca="false">SLOPE(B22:K22,B$2:K$2)</f>
        <v>0.417691483213745</v>
      </c>
      <c r="H90" s="107"/>
      <c r="I90" s="111" t="n">
        <f aca="false">AVERAGE(B90/2,C90:F90,G90/2)</f>
        <v>0.493487355150692</v>
      </c>
    </row>
    <row r="92" customFormat="false" ht="35.4" hidden="false" customHeight="false" outlineLevel="0" collapsed="false">
      <c r="A92" s="144" t="s">
        <v>138</v>
      </c>
      <c r="B92" s="135" t="s">
        <v>139</v>
      </c>
      <c r="C92" s="135" t="s">
        <v>140</v>
      </c>
      <c r="D92" s="145" t="s">
        <v>141</v>
      </c>
      <c r="E92" s="135" t="s">
        <v>142</v>
      </c>
      <c r="F92" s="136" t="s">
        <v>100</v>
      </c>
      <c r="G92" s="146" t="s">
        <v>143</v>
      </c>
      <c r="H92" s="78" t="s">
        <v>144</v>
      </c>
    </row>
    <row r="93" customFormat="false" ht="12.8" hidden="false" customHeight="false" outlineLevel="0" collapsed="false">
      <c r="A93" s="139" t="str">
        <f aca="false">A25</f>
        <v>S&amp;P 500</v>
      </c>
      <c r="B93" s="75" t="n">
        <f aca="false">CORREL(B$2:D$2,B8:D8)</f>
        <v>0.911774700592556</v>
      </c>
      <c r="C93" s="75" t="n">
        <f aca="false">CORREL(J$2:L$2,J8:L8)</f>
        <v>0.903537005016919</v>
      </c>
      <c r="D93" s="75" t="n">
        <f aca="false">CORREL(V$2:X$2,V8:X8)</f>
        <v>-0.44258472983958</v>
      </c>
      <c r="E93" s="147" t="n">
        <f aca="false">CORREL(AH$2:AJ$2,AH8:AJ8)</f>
        <v>0.850297758142139</v>
      </c>
      <c r="F93" s="31" t="n">
        <f aca="false">MEDIAN(B93:E93)</f>
        <v>0.876917381579529</v>
      </c>
      <c r="G93" s="31" t="n">
        <f aca="false">CORREL(B$2:AQ$2,B8:AQ8)</f>
        <v>0.949993566257347</v>
      </c>
      <c r="H93" s="148" t="n">
        <f aca="false">MEDIAN(G93:G95)</f>
        <v>0.931745151077597</v>
      </c>
    </row>
    <row r="94" customFormat="false" ht="12.8" hidden="false" customHeight="false" outlineLevel="0" collapsed="false">
      <c r="A94" s="139" t="str">
        <f aca="false">A26</f>
        <v>DOW</v>
      </c>
      <c r="B94" s="75" t="n">
        <f aca="false">CORREL(B$2:D$2,B9:D9)</f>
        <v>0.897938634971171</v>
      </c>
      <c r="C94" s="75" t="n">
        <f aca="false">CORREL(J$2:L$2,J9:L9)</f>
        <v>0.872833009320984</v>
      </c>
      <c r="D94" s="75" t="n">
        <f aca="false">CORREL(V$2:X$2,V9:X9)</f>
        <v>-0.142906300877175</v>
      </c>
      <c r="E94" s="147" t="n">
        <f aca="false">CORREL(AH$2:AJ$2,AH9:AJ9)</f>
        <v>0.821159241657459</v>
      </c>
      <c r="F94" s="31" t="n">
        <f aca="false">MEDIAN(B94:E94)</f>
        <v>0.846996125489221</v>
      </c>
      <c r="G94" s="31" t="n">
        <f aca="false">CORREL(B$2:AQ$2,B9:AQ9)</f>
        <v>0.931745151077597</v>
      </c>
      <c r="H94" s="148"/>
    </row>
    <row r="95" customFormat="false" ht="12.8" hidden="false" customHeight="false" outlineLevel="0" collapsed="false">
      <c r="A95" s="139" t="str">
        <f aca="false">A27</f>
        <v>Russel 2000</v>
      </c>
      <c r="B95" s="75" t="n">
        <f aca="false">CORREL(B$2:D$2,B10:D10)</f>
        <v>0.552530173211407</v>
      </c>
      <c r="C95" s="75" t="n">
        <f aca="false">CORREL(J$2:L$2,J10:L10)</f>
        <v>0.815361120909468</v>
      </c>
      <c r="D95" s="75" t="n">
        <f aca="false">CORREL(V$2:X$2,V10:X10)</f>
        <v>-0.579668922656883</v>
      </c>
      <c r="E95" s="147" t="n">
        <f aca="false">CORREL(AH$2:AJ$2,AH10:AJ10)</f>
        <v>0.817942702171475</v>
      </c>
      <c r="F95" s="31" t="n">
        <f aca="false">MEDIAN(B95:E95)</f>
        <v>0.683945647060438</v>
      </c>
      <c r="G95" s="31" t="n">
        <f aca="false">CORREL(B$2:AQ$2,B10:AQ10)</f>
        <v>0.715475464129033</v>
      </c>
      <c r="H95" s="148"/>
    </row>
    <row r="96" customFormat="false" ht="12.8" hidden="false" customHeight="false" outlineLevel="0" collapsed="false">
      <c r="A96" s="139" t="str">
        <f aca="false">A28</f>
        <v>FTSE</v>
      </c>
      <c r="B96" s="149" t="n">
        <f aca="false">CORREL(B$2:D$2,B11:D11)</f>
        <v>0.615241308000745</v>
      </c>
      <c r="C96" s="149" t="n">
        <f aca="false">CORREL(J$2:L$2,J11:L11)</f>
        <v>0.491749269649375</v>
      </c>
      <c r="D96" s="149" t="n">
        <f aca="false">CORREL(V$2:X$2,V11:X11)</f>
        <v>0.852311071916411</v>
      </c>
      <c r="E96" s="150" t="n">
        <f aca="false">CORREL(AH$2:AJ$2,AH11:AJ11)</f>
        <v>0.748819838946873</v>
      </c>
      <c r="F96" s="151" t="n">
        <f aca="false">MEDIAN(B96:E96)</f>
        <v>0.682030573473809</v>
      </c>
      <c r="G96" s="31" t="n">
        <f aca="false">CORREL(B$2:AQ$2,B11:AQ11)</f>
        <v>0.70664289361449</v>
      </c>
      <c r="H96" s="148" t="n">
        <f aca="false">MEDIAN(G96:G99)</f>
        <v>0.858189625265959</v>
      </c>
    </row>
    <row r="97" customFormat="false" ht="12.8" hidden="false" customHeight="false" outlineLevel="0" collapsed="false">
      <c r="A97" s="139" t="str">
        <f aca="false">A29</f>
        <v>DAX 40</v>
      </c>
      <c r="B97" s="75" t="n">
        <f aca="false">CORREL(B$2:D$2,B12:D12)</f>
        <v>0.860599218113893</v>
      </c>
      <c r="C97" s="75" t="n">
        <f aca="false">CORREL(J$2:L$2,J12:L12)</f>
        <v>0.775153045437438</v>
      </c>
      <c r="D97" s="75" t="n">
        <f aca="false">CORREL(V$2:X$2,V12:X12)</f>
        <v>0.889026188935068</v>
      </c>
      <c r="E97" s="147" t="n">
        <f aca="false">CORREL(AH$2:AJ$2,AH12:AJ12)</f>
        <v>0.797235959542959</v>
      </c>
      <c r="F97" s="31" t="n">
        <f aca="false">MEDIAN(B97:E97)</f>
        <v>0.828917588828426</v>
      </c>
      <c r="G97" s="31" t="n">
        <f aca="false">CORREL(B$2:AQ$2,B12:AQ12)</f>
        <v>0.897367104710363</v>
      </c>
      <c r="H97" s="148"/>
    </row>
    <row r="98" customFormat="false" ht="12.8" hidden="false" customHeight="false" outlineLevel="0" collapsed="false">
      <c r="A98" s="139" t="str">
        <f aca="false">A30</f>
        <v>CAC 40</v>
      </c>
      <c r="B98" s="75" t="n">
        <f aca="false">CORREL(B$2:D$2,B13:D13)</f>
        <v>0.686925825816712</v>
      </c>
      <c r="C98" s="75" t="n">
        <f aca="false">CORREL(J$2:L$2,J13:L13)</f>
        <v>0.736950620597676</v>
      </c>
      <c r="D98" s="75" t="n">
        <f aca="false">CORREL(V$2:X$2,V13:X13)</f>
        <v>0.888173946031673</v>
      </c>
      <c r="E98" s="147" t="n">
        <f aca="false">CORREL(AH$2:AJ$2,AH13:AJ13)</f>
        <v>0.798652250698975</v>
      </c>
      <c r="F98" s="31" t="n">
        <f aca="false">MEDIAN(B98:E98)</f>
        <v>0.767801435648325</v>
      </c>
      <c r="G98" s="31" t="n">
        <f aca="false">CORREL(B$2:AQ$2,B13:AQ13)</f>
        <v>0.840336859834085</v>
      </c>
      <c r="H98" s="148"/>
    </row>
    <row r="99" customFormat="false" ht="12.8" hidden="false" customHeight="false" outlineLevel="0" collapsed="false">
      <c r="A99" s="139" t="str">
        <f aca="false">A31</f>
        <v>Eurostoxx 50</v>
      </c>
      <c r="B99" s="75" t="n">
        <f aca="false">CORREL(B$2:D$2,B14:D14)</f>
        <v>0.739827644252303</v>
      </c>
      <c r="C99" s="75" t="n">
        <f aca="false">CORREL(J$2:L$2,J14:L14)</f>
        <v>0.781272780133586</v>
      </c>
      <c r="D99" s="75" t="n">
        <f aca="false">CORREL(V$2:X$2,V14:X14)</f>
        <v>0.847131095654299</v>
      </c>
      <c r="E99" s="147" t="n">
        <f aca="false">CORREL(AH$2:AJ$2,AH14:AJ14)</f>
        <v>0.792674256060896</v>
      </c>
      <c r="F99" s="152" t="n">
        <f aca="false">MEDIAN(B99:E99)</f>
        <v>0.786973518097241</v>
      </c>
      <c r="G99" s="31" t="n">
        <f aca="false">CORREL(B$2:AQ$2,B14:AQ14)</f>
        <v>0.876042390697833</v>
      </c>
      <c r="H99" s="148"/>
    </row>
    <row r="100" customFormat="false" ht="12.8" hidden="false" customHeight="false" outlineLevel="0" collapsed="false">
      <c r="A100" s="139" t="str">
        <f aca="false">A32</f>
        <v>Nikkei</v>
      </c>
      <c r="B100" s="149" t="n">
        <f aca="false">CORREL(B$2:D$2,B15:D15)</f>
        <v>0.556822426468612</v>
      </c>
      <c r="C100" s="149" t="n">
        <f aca="false">CORREL(J$2:L$2,J15:L15)</f>
        <v>0.833500811498909</v>
      </c>
      <c r="D100" s="149" t="n">
        <f aca="false">CORREL(V$2:X$2,V15:X15)</f>
        <v>0.811561880666758</v>
      </c>
      <c r="E100" s="150" t="n">
        <f aca="false">CORREL(AH$2:AJ$2,AH15:AJ15)</f>
        <v>0.709588068598828</v>
      </c>
      <c r="F100" s="151" t="n">
        <f aca="false">MEDIAN(B100:E100)</f>
        <v>0.760574974632793</v>
      </c>
      <c r="G100" s="31" t="n">
        <f aca="false">CORREL(B$2:AQ$2,B15:AQ15)</f>
        <v>0.865138867706058</v>
      </c>
      <c r="H100" s="148" t="n">
        <f aca="false">MEDIAN(G100:G103)</f>
        <v>0.550033336625279</v>
      </c>
    </row>
    <row r="101" customFormat="false" ht="12.8" hidden="false" customHeight="false" outlineLevel="0" collapsed="false">
      <c r="A101" s="139" t="str">
        <f aca="false">A33</f>
        <v>MOEKS</v>
      </c>
      <c r="B101" s="75" t="n">
        <f aca="false">CORREL(B$2:D$2,B16:D16)</f>
        <v>-0.668127532063779</v>
      </c>
      <c r="C101" s="153" t="n">
        <f aca="false">CORREL(J$2:L$2,J16:L16)</f>
        <v>-0.42703197098551</v>
      </c>
      <c r="D101" s="75" t="n">
        <f aca="false">CORREL(V$2:X$2,V16:X16)</f>
        <v>0.998204929147593</v>
      </c>
      <c r="E101" s="147" t="n">
        <f aca="false">CORREL(AH$2:AJ$2,AH16:AJ16)</f>
        <v>0.773887849541289</v>
      </c>
      <c r="F101" s="31" t="n">
        <f aca="false">MEDIAN(B101:E101)</f>
        <v>0.173427939277889</v>
      </c>
      <c r="G101" s="31" t="n">
        <f aca="false">CORREL(B$2:AQ$2,B16:AQ16)</f>
        <v>0.2349278055445</v>
      </c>
      <c r="H101" s="148"/>
    </row>
    <row r="102" customFormat="false" ht="12.8" hidden="false" customHeight="false" outlineLevel="0" collapsed="false">
      <c r="A102" s="139" t="str">
        <f aca="false">A34</f>
        <v>CSI 300</v>
      </c>
      <c r="B102" s="75" t="n">
        <f aca="false">CORREL(B$2:D$2,B17:D17)</f>
        <v>-0.733340638274554</v>
      </c>
      <c r="C102" s="75" t="n">
        <f aca="false">CORREL(J$2:L$2,J17:L17)</f>
        <v>-0.870365335715002</v>
      </c>
      <c r="D102" s="75" t="n">
        <f aca="false">CORREL(V$2:X$2,V17:X17)</f>
        <v>0.999817916931706</v>
      </c>
      <c r="E102" s="147" t="n">
        <f aca="false">CORREL(AH$2:AJ$2,AH17:AJ17)</f>
        <v>0.99989640054826</v>
      </c>
      <c r="F102" s="31" t="n">
        <f aca="false">MEDIAN(B102:E102)</f>
        <v>0.133238639328576</v>
      </c>
      <c r="G102" s="31" t="n">
        <f aca="false">CORREL(B$2:AQ$2,B17:AQ17)</f>
        <v>-0.203305702150563</v>
      </c>
      <c r="H102" s="148"/>
    </row>
    <row r="103" customFormat="false" ht="12.8" hidden="false" customHeight="false" outlineLevel="0" collapsed="false">
      <c r="A103" s="139" t="str">
        <f aca="false">A35</f>
        <v>TWSE 50</v>
      </c>
      <c r="B103" s="75" t="n">
        <f aca="false">CORREL(B$2:D$2,B18:D18)</f>
        <v>0.731135396871936</v>
      </c>
      <c r="C103" s="75" t="n">
        <f aca="false">CORREL(J$2:L$2,J18:L18)</f>
        <v>0.976295438696649</v>
      </c>
      <c r="D103" s="75" t="n">
        <f aca="false">CORREL(V$2:X$2,V18:X18)</f>
        <v>0.917771582611826</v>
      </c>
      <c r="E103" s="147" t="n">
        <f aca="false">CORREL(AH$2:AJ$2,AH18:AJ18)</f>
        <v>0.89191863634058</v>
      </c>
      <c r="F103" s="152" t="n">
        <f aca="false">MEDIAN(B103:E103)</f>
        <v>0.904845109476203</v>
      </c>
      <c r="G103" s="31" t="n">
        <f aca="false">CORREL(B$2:AQ$2,B18:AQ18)</f>
        <v>0.930123115927458</v>
      </c>
      <c r="H103" s="148"/>
    </row>
    <row r="104" customFormat="false" ht="12.8" hidden="false" customHeight="false" outlineLevel="0" collapsed="false">
      <c r="A104" s="139" t="str">
        <f aca="false">A36</f>
        <v>SOFIX</v>
      </c>
      <c r="B104" s="149" t="n">
        <f aca="false">CORREL(B$2:D$2,B19:D19)</f>
        <v>0.775804711819635</v>
      </c>
      <c r="C104" s="149" t="n">
        <f aca="false">CORREL(J$2:L$2,J19:L19)</f>
        <v>-0.86341367088722</v>
      </c>
      <c r="D104" s="149" t="n">
        <f aca="false">CORREL(V$2:X$2,V19:X19)</f>
        <v>0.84640075032885</v>
      </c>
      <c r="E104" s="150" t="n">
        <f aca="false">CORREL(AH$2:AJ$2,AH19:AJ19)</f>
        <v>0.900190879694818</v>
      </c>
      <c r="F104" s="31" t="n">
        <f aca="false">MEDIAN(B104:E104)</f>
        <v>0.811102731074243</v>
      </c>
      <c r="G104" s="31" t="n">
        <f aca="false">CORREL(B$2:AQ$2,B19:AQ19)</f>
        <v>0.800731383197302</v>
      </c>
      <c r="H104" s="148" t="n">
        <f aca="false">MEDIAN(G104:G107)</f>
        <v>0.875731097093826</v>
      </c>
    </row>
    <row r="105" customFormat="false" ht="12.8" hidden="false" customHeight="false" outlineLevel="0" collapsed="false">
      <c r="A105" s="139" t="str">
        <f aca="false">A37</f>
        <v>BELEX</v>
      </c>
      <c r="B105" s="75" t="n">
        <f aca="false">CORREL(B$2:D$2,B20:D20)</f>
        <v>0.950323478258655</v>
      </c>
      <c r="C105" s="75" t="n">
        <f aca="false">CORREL(J$2:L$2,J20:L20)</f>
        <v>-0.700706413404822</v>
      </c>
      <c r="D105" s="75" t="n">
        <f aca="false">CORREL(V$2:X$2,V20:X20)</f>
        <v>0.342363036692831</v>
      </c>
      <c r="E105" s="147" t="n">
        <f aca="false">CORREL(AH$2:AJ$2,AH20:AJ20)</f>
        <v>0.966756527157151</v>
      </c>
      <c r="F105" s="31" t="n">
        <f aca="false">MEDIAN(B105:E105)</f>
        <v>0.646343257475743</v>
      </c>
      <c r="G105" s="31" t="n">
        <f aca="false">CORREL(B$2:AQ$2,B20:AQ20)</f>
        <v>0.936297520911069</v>
      </c>
      <c r="H105" s="148"/>
    </row>
    <row r="106" customFormat="false" ht="12.8" hidden="false" customHeight="false" outlineLevel="0" collapsed="false">
      <c r="A106" s="139" t="str">
        <f aca="false">A38</f>
        <v>ATHEX</v>
      </c>
      <c r="B106" s="75" t="n">
        <f aca="false">CORREL(B$2:D$2,B21:D21)</f>
        <v>0.408583397857372</v>
      </c>
      <c r="C106" s="75" t="n">
        <f aca="false">CORREL(J$2:L$2,J21:L21)</f>
        <v>0.419582351842235</v>
      </c>
      <c r="D106" s="75" t="n">
        <f aca="false">CORREL(V$2:X$2,V21:X21)</f>
        <v>0.985134039443527</v>
      </c>
      <c r="E106" s="147" t="n">
        <f aca="false">CORREL(AH$2:AJ$2,AH21:AJ21)</f>
        <v>0.738953427543001</v>
      </c>
      <c r="F106" s="31" t="n">
        <f aca="false">MEDIAN(B106:E106)</f>
        <v>0.579267889692618</v>
      </c>
      <c r="G106" s="31" t="n">
        <f aca="false">CORREL(B$2:AQ$2,B21:AQ21)</f>
        <v>0.837305530647991</v>
      </c>
      <c r="H106" s="148"/>
    </row>
    <row r="107" customFormat="false" ht="12.8" hidden="false" customHeight="false" outlineLevel="0" collapsed="false">
      <c r="A107" s="139" t="str">
        <f aca="false">A39</f>
        <v>CROBEX</v>
      </c>
      <c r="B107" s="154" t="n">
        <f aca="false">CORREL(B$2:D$2,B22:D22)</f>
        <v>0.0687178712834161</v>
      </c>
      <c r="C107" s="154" t="n">
        <f aca="false">CORREL(J$2:L$2,J22:L22)</f>
        <v>0.508575143176105</v>
      </c>
      <c r="D107" s="154" t="n">
        <f aca="false">CORREL(V$2:X$2,V22:X22)</f>
        <v>0.994825469106124</v>
      </c>
      <c r="E107" s="155" t="n">
        <f aca="false">CORREL(AH$2:AJ$2,AH22:AJ22)</f>
        <v>0.844279793747435</v>
      </c>
      <c r="F107" s="31" t="n">
        <f aca="false">MEDIAN(B107:E107)</f>
        <v>0.67642746846177</v>
      </c>
      <c r="G107" s="31" t="n">
        <f aca="false">CORREL(B$2:AQ$2,B22:AQ22)</f>
        <v>0.914156663539661</v>
      </c>
      <c r="H107" s="148"/>
    </row>
    <row r="108" customFormat="false" ht="12.8" hidden="false" customHeight="false" outlineLevel="0" collapsed="false">
      <c r="A108" s="18" t="s">
        <v>100</v>
      </c>
      <c r="B108" s="31" t="n">
        <f aca="false">MEDIAN(B93:B107)</f>
        <v>0.686925825816712</v>
      </c>
      <c r="C108" s="31" t="n">
        <f aca="false">MEDIAN(C93:C107)</f>
        <v>0.736950620597676</v>
      </c>
      <c r="D108" s="31" t="n">
        <f aca="false">MEDIAN(D93:D107)</f>
        <v>0.852311071916411</v>
      </c>
      <c r="E108" s="31" t="n">
        <f aca="false">MEDIAN(E93:E107)</f>
        <v>0.817942702171475</v>
      </c>
      <c r="F108" s="31" t="n">
        <f aca="false">MEDIAN(F93:F107)</f>
        <v>0.760574974632793</v>
      </c>
      <c r="G108" s="31" t="n">
        <f aca="false">MEDIAN(G93:G107)</f>
        <v>0.865138867706058</v>
      </c>
    </row>
    <row r="109" customFormat="false" ht="35.4" hidden="false" customHeight="false" outlineLevel="0" collapsed="false">
      <c r="A109" s="144" t="s">
        <v>145</v>
      </c>
      <c r="B109" s="135" t="s">
        <v>139</v>
      </c>
      <c r="C109" s="135" t="s">
        <v>140</v>
      </c>
      <c r="D109" s="145" t="s">
        <v>141</v>
      </c>
      <c r="E109" s="135" t="s">
        <v>142</v>
      </c>
      <c r="F109" s="136" t="s">
        <v>100</v>
      </c>
      <c r="G109" s="146" t="s">
        <v>143</v>
      </c>
      <c r="H109" s="78" t="s">
        <v>144</v>
      </c>
    </row>
    <row r="110" customFormat="false" ht="12.8" hidden="false" customHeight="false" outlineLevel="0" collapsed="false">
      <c r="A110" s="139" t="str">
        <f aca="false">A25</f>
        <v>S&amp;P 500</v>
      </c>
      <c r="B110" s="75" t="n">
        <f aca="false">CORREL(B$3:D$3,B8:D8)</f>
        <v>0.984821214097625</v>
      </c>
      <c r="C110" s="75" t="n">
        <f aca="false">CORREL(J$3:L$3,J8:L8)</f>
        <v>0.450181077473192</v>
      </c>
      <c r="D110" s="75" t="n">
        <f aca="false">CORREL(V$3:X$3,V8:X8)</f>
        <v>-0.252610584220924</v>
      </c>
      <c r="E110" s="147" t="n">
        <f aca="false">CORREL(AH$3:AJ$3,AH8:AJ8)</f>
        <v>0.882138152776767</v>
      </c>
      <c r="F110" s="31" t="n">
        <f aca="false">MEDIAN(B110:E110)</f>
        <v>0.666159615124979</v>
      </c>
      <c r="G110" s="31" t="n">
        <f aca="false">CORREL(B$3:AQ$3,B8:AQ8)</f>
        <v>0.941592580678326</v>
      </c>
      <c r="H110" s="148" t="n">
        <f aca="false">MEDIAN(G110:G112)</f>
        <v>0.92455326996345</v>
      </c>
    </row>
    <row r="111" customFormat="false" ht="12.8" hidden="false" customHeight="false" outlineLevel="0" collapsed="false">
      <c r="A111" s="139" t="str">
        <f aca="false">A26</f>
        <v>DOW</v>
      </c>
      <c r="B111" s="75" t="n">
        <f aca="false">CORREL(B$3:D$3,B9:D9)</f>
        <v>0.989944288560464</v>
      </c>
      <c r="C111" s="75" t="n">
        <f aca="false">CORREL(J$3:L$3,J9:L9)</f>
        <v>0.389411499708491</v>
      </c>
      <c r="D111" s="75" t="n">
        <f aca="false">CORREL(V$3:X$3,V9:X9)</f>
        <v>0.0596689372842901</v>
      </c>
      <c r="E111" s="147" t="n">
        <f aca="false">CORREL(AH$3:AJ$3,AH9:AJ9)</f>
        <v>0.855891016039492</v>
      </c>
      <c r="F111" s="31" t="n">
        <f aca="false">MEDIAN(B111:E111)</f>
        <v>0.622651257873992</v>
      </c>
      <c r="G111" s="31" t="n">
        <f aca="false">CORREL(B$3:AQ$3,B9:AQ9)</f>
        <v>0.92455326996345</v>
      </c>
      <c r="H111" s="148"/>
    </row>
    <row r="112" customFormat="false" ht="12.8" hidden="false" customHeight="false" outlineLevel="0" collapsed="false">
      <c r="A112" s="139" t="str">
        <f aca="false">A27</f>
        <v>Russel 2000</v>
      </c>
      <c r="B112" s="75" t="n">
        <f aca="false">CORREL(B$3:D$3,B10:D10)</f>
        <v>0.925768724116022</v>
      </c>
      <c r="C112" s="75" t="n">
        <f aca="false">CORREL(J$3:L$3,J10:L10)</f>
        <v>0.288220154497654</v>
      </c>
      <c r="D112" s="75" t="n">
        <f aca="false">CORREL(V$3:X$3,V10:X10)</f>
        <v>-0.403391877854801</v>
      </c>
      <c r="E112" s="147" t="n">
        <f aca="false">CORREL(AH$3:AJ$3,AH10:AJ10)</f>
        <v>0.852974490715116</v>
      </c>
      <c r="F112" s="31" t="n">
        <f aca="false">MEDIAN(B112:E112)</f>
        <v>0.570597322606385</v>
      </c>
      <c r="G112" s="31" t="n">
        <f aca="false">CORREL(B$3:AQ$3,B10:AQ10)</f>
        <v>0.668111637002983</v>
      </c>
      <c r="H112" s="148"/>
    </row>
    <row r="113" customFormat="false" ht="12.8" hidden="false" customHeight="false" outlineLevel="0" collapsed="false">
      <c r="A113" s="139" t="str">
        <f aca="false">A28</f>
        <v>FTSE</v>
      </c>
      <c r="B113" s="149" t="n">
        <f aca="false">CORREL(B$3:D$3,B11:D11)</f>
        <v>0.952200050611794</v>
      </c>
      <c r="C113" s="149" t="n">
        <f aca="false">CORREL(J$3:L$3,J11:L11)</f>
        <v>-0.146359869581464</v>
      </c>
      <c r="D113" s="149" t="n">
        <f aca="false">CORREL(V$3:X$3,V11:X11)</f>
        <v>0.940292866496274</v>
      </c>
      <c r="E113" s="150" t="n">
        <f aca="false">CORREL(AH$3:AJ$3,AH11:AJ11)</f>
        <v>0.789572242848146</v>
      </c>
      <c r="F113" s="151" t="n">
        <f aca="false">MEDIAN(B113:E113)</f>
        <v>0.86493255467221</v>
      </c>
      <c r="G113" s="31" t="n">
        <f aca="false">CORREL(B$3:AQ$3,B11:AQ11)</f>
        <v>0.750004719728041</v>
      </c>
      <c r="H113" s="148" t="n">
        <f aca="false">MEDIAN(G113:G116)</f>
        <v>0.871905509907316</v>
      </c>
    </row>
    <row r="114" customFormat="false" ht="12.8" hidden="false" customHeight="false" outlineLevel="0" collapsed="false">
      <c r="A114" s="139" t="str">
        <f aca="false">A29</f>
        <v>DAX 40</v>
      </c>
      <c r="B114" s="75" t="n">
        <f aca="false">CORREL(B$3:D$3,B12:D12)</f>
        <v>0.997996231535007</v>
      </c>
      <c r="C114" s="75" t="n">
        <f aca="false">CORREL(J$3:L$3,J12:L12)</f>
        <v>0.224053981659342</v>
      </c>
      <c r="D114" s="75" t="n">
        <f aca="false">CORREL(V$3:X$3,V12:X12)</f>
        <v>0.96310621779023</v>
      </c>
      <c r="E114" s="147" t="n">
        <f aca="false">CORREL(AH$3:AJ$3,AH12:AJ12)</f>
        <v>0.834119482468658</v>
      </c>
      <c r="F114" s="31" t="n">
        <f aca="false">MEDIAN(B114:E114)</f>
        <v>0.898612850129444</v>
      </c>
      <c r="G114" s="31" t="n">
        <f aca="false">CORREL(B$3:AQ$3,B12:AQ12)</f>
        <v>0.902555346752399</v>
      </c>
      <c r="H114" s="148"/>
    </row>
    <row r="115" customFormat="false" ht="12.8" hidden="false" customHeight="false" outlineLevel="0" collapsed="false">
      <c r="A115" s="139" t="str">
        <f aca="false">A30</f>
        <v>CAC 40</v>
      </c>
      <c r="B115" s="75" t="n">
        <f aca="false">CORREL(B$3:D$3,B13:D13)</f>
        <v>0.976788479316511</v>
      </c>
      <c r="C115" s="75" t="n">
        <f aca="false">CORREL(J$3:L$3,J13:L13)</f>
        <v>0.166779826941254</v>
      </c>
      <c r="D115" s="75" t="n">
        <f aca="false">CORREL(V$3:X$3,V13:X13)</f>
        <v>0.962604520885163</v>
      </c>
      <c r="E115" s="147" t="n">
        <f aca="false">CORREL(AH$3:AJ$3,AH13:AJ13)</f>
        <v>0.835413285352437</v>
      </c>
      <c r="F115" s="31" t="n">
        <f aca="false">MEDIAN(B115:E115)</f>
        <v>0.8990089031188</v>
      </c>
      <c r="G115" s="31" t="n">
        <f aca="false">CORREL(B$3:AQ$3,B13:AQ13)</f>
        <v>0.852998354765078</v>
      </c>
      <c r="H115" s="148"/>
    </row>
    <row r="116" customFormat="false" ht="12.8" hidden="false" customHeight="false" outlineLevel="0" collapsed="false">
      <c r="A116" s="139" t="str">
        <f aca="false">A31</f>
        <v>Eurostoxx 50</v>
      </c>
      <c r="B116" s="75" t="n">
        <f aca="false">CORREL(B$3:D$3,B14:D14)</f>
        <v>0.990171953519613</v>
      </c>
      <c r="C116" s="75" t="n">
        <f aca="false">CORREL(J$3:L$3,J14:L14)</f>
        <v>0.233540451321715</v>
      </c>
      <c r="D116" s="75" t="n">
        <f aca="false">CORREL(V$3:X$3,V14:X14)</f>
        <v>0.936903370103123</v>
      </c>
      <c r="E116" s="147" t="n">
        <f aca="false">CORREL(AH$3:AJ$3,AH14:AJ14)</f>
        <v>0.829948372078601</v>
      </c>
      <c r="F116" s="152" t="n">
        <f aca="false">MEDIAN(B116:E116)</f>
        <v>0.883425871090862</v>
      </c>
      <c r="G116" s="31" t="n">
        <f aca="false">CORREL(B$3:AQ$3,B14:AQ14)</f>
        <v>0.890812665049555</v>
      </c>
      <c r="H116" s="148"/>
    </row>
    <row r="117" customFormat="false" ht="12.8" hidden="false" customHeight="false" outlineLevel="0" collapsed="false">
      <c r="A117" s="139" t="str">
        <f aca="false">A32</f>
        <v>Nikkei</v>
      </c>
      <c r="B117" s="149" t="n">
        <f aca="false">CORREL(B$3:D$3,B15:D15)</f>
        <v>0.927706799623937</v>
      </c>
      <c r="C117" s="149" t="n">
        <f aca="false">CORREL(J$3:L$3,J15:L15)</f>
        <v>0.318767394670242</v>
      </c>
      <c r="D117" s="149" t="n">
        <f aca="false">CORREL(V$3:X$3,V15:X15)</f>
        <v>0.912732093843691</v>
      </c>
      <c r="E117" s="150" t="n">
        <f aca="false">CORREL(AH$3:AJ$3,AH15:AJ15)</f>
        <v>0.75308948857445</v>
      </c>
      <c r="F117" s="151" t="n">
        <f aca="false">MEDIAN(B117:E117)</f>
        <v>0.83291079120907</v>
      </c>
      <c r="G117" s="31" t="n">
        <f aca="false">CORREL(B$3:AQ$3,B15:AQ15)</f>
        <v>0.893743600783942</v>
      </c>
      <c r="H117" s="148" t="n">
        <f aca="false">MEDIAN(G117:G120)</f>
        <v>0.536155280401561</v>
      </c>
    </row>
    <row r="118" customFormat="false" ht="12.8" hidden="false" customHeight="false" outlineLevel="0" collapsed="false">
      <c r="A118" s="139" t="str">
        <f aca="false">A33</f>
        <v>MOEKS</v>
      </c>
      <c r="B118" s="75" t="n">
        <f aca="false">CORREL(B$3:D$3,B16:D16)</f>
        <v>-0.13362156190203</v>
      </c>
      <c r="C118" s="153" t="n">
        <f aca="false">CORREL(J$3:L$3,J16:L16)</f>
        <v>0.21801219877656</v>
      </c>
      <c r="D118" s="75" t="n">
        <f aca="false">CORREL(V$3:X$3,V16:X16)</f>
        <v>0.965607006161991</v>
      </c>
      <c r="E118" s="147" t="n">
        <f aca="false">CORREL(AH$3:AJ$3,AH16:AJ16)</f>
        <v>0.81271056531785</v>
      </c>
      <c r="F118" s="31" t="n">
        <f aca="false">MEDIAN(B118:E118)</f>
        <v>0.515361382047205</v>
      </c>
      <c r="G118" s="31" t="n">
        <f aca="false">CORREL(B$3:AQ$3,B16:AQ16)</f>
        <v>0.178566960019181</v>
      </c>
      <c r="H118" s="148"/>
    </row>
    <row r="119" customFormat="false" ht="12.8" hidden="false" customHeight="false" outlineLevel="0" collapsed="false">
      <c r="A119" s="139" t="str">
        <f aca="false">A34</f>
        <v>CSI 300</v>
      </c>
      <c r="B119" s="75" t="n">
        <f aca="false">CORREL(B$3:D$3,B17:D17)</f>
        <v>-0.223648125175224</v>
      </c>
      <c r="C119" s="75" t="n">
        <f aca="false">CORREL(J$3:L$3,J17:L17)</f>
        <v>-0.384770067542623</v>
      </c>
      <c r="D119" s="75" t="n">
        <f aca="false">CORREL(V$3:X$3,V17:X17)</f>
        <v>0.983116373560116</v>
      </c>
      <c r="E119" s="147" t="n">
        <f aca="false">CORREL(AH$3:AJ$3,AH17:AJ17)</f>
        <v>0.998778218148177</v>
      </c>
      <c r="F119" s="31" t="n">
        <f aca="false">MEDIAN(B119:E119)</f>
        <v>0.379734124192446</v>
      </c>
      <c r="G119" s="31" t="n">
        <f aca="false">CORREL(B$3:AQ$3,B17:AQ17)</f>
        <v>-0.333623429401844</v>
      </c>
      <c r="H119" s="148"/>
    </row>
    <row r="120" customFormat="false" ht="12.8" hidden="false" customHeight="false" outlineLevel="0" collapsed="false">
      <c r="A120" s="139" t="str">
        <f aca="false">A35</f>
        <v>TWSE 50</v>
      </c>
      <c r="B120" s="75" t="n">
        <f aca="false">CORREL(B$3:D$3,B18:D18)</f>
        <v>0.988296250888494</v>
      </c>
      <c r="C120" s="75" t="n">
        <f aca="false">CORREL(J$3:L$3,J18:L18)</f>
        <v>0.637803070581292</v>
      </c>
      <c r="D120" s="75" t="n">
        <f aca="false">CORREL(V$3:X$3,V18:X18)</f>
        <v>0.81880732278461</v>
      </c>
      <c r="E120" s="147" t="n">
        <f aca="false">CORREL(AH$3:AJ$3,AH18:AJ18)</f>
        <v>0.918947145190595</v>
      </c>
      <c r="F120" s="152" t="n">
        <f aca="false">MEDIAN(B120:E120)</f>
        <v>0.868877233987602</v>
      </c>
      <c r="G120" s="31" t="n">
        <f aca="false">CORREL(B$3:AQ$3,B18:AQ18)</f>
        <v>0.910784023899107</v>
      </c>
      <c r="H120" s="148"/>
    </row>
    <row r="121" customFormat="false" ht="12.8" hidden="false" customHeight="false" outlineLevel="0" collapsed="false">
      <c r="A121" s="139" t="str">
        <f aca="false">A36</f>
        <v>SOFIX</v>
      </c>
      <c r="B121" s="149" t="n">
        <f aca="false">CORREL(B$3:D$3,B19:D19)</f>
        <v>0.99637778206329</v>
      </c>
      <c r="C121" s="149" t="n">
        <f aca="false">CORREL(J$3:L$3,J19:L19)</f>
        <v>-0.371860463533923</v>
      </c>
      <c r="D121" s="149" t="n">
        <f aca="false">CORREL(V$3:X$3,V19:X19)</f>
        <v>0.93642253062894</v>
      </c>
      <c r="E121" s="150" t="n">
        <f aca="false">CORREL(AH$3:AJ$3,AH19:AJ19)</f>
        <v>0.926137248365044</v>
      </c>
      <c r="F121" s="31" t="n">
        <f aca="false">MEDIAN(B121:E121)</f>
        <v>0.931279889496992</v>
      </c>
      <c r="G121" s="31" t="n">
        <f aca="false">CORREL(B$3:AQ$3,B19:AQ19)</f>
        <v>0.869194331863583</v>
      </c>
      <c r="H121" s="148" t="n">
        <f aca="false">MEDIAN(G121:G124)</f>
        <v>0.917308503361137</v>
      </c>
    </row>
    <row r="122" customFormat="false" ht="12.8" hidden="false" customHeight="false" outlineLevel="0" collapsed="false">
      <c r="A122" s="139" t="str">
        <f aca="false">A37</f>
        <v>BELEX</v>
      </c>
      <c r="B122" s="75" t="n">
        <f aca="false">CORREL(B$3:D$3,B20:D20)</f>
        <v>0.610432551813742</v>
      </c>
      <c r="C122" s="75" t="n">
        <f aca="false">CORREL(J$3:L$3,J20:L20)</f>
        <v>-0.115146101442103</v>
      </c>
      <c r="D122" s="75" t="n">
        <f aca="false">CORREL(V$3:X$3,V20:X20)</f>
        <v>0.145807489725711</v>
      </c>
      <c r="E122" s="147" t="n">
        <f aca="false">CORREL(AH$3:AJ$3,AH20:AJ20)</f>
        <v>0.981098332164282</v>
      </c>
      <c r="F122" s="31" t="n">
        <f aca="false">MEDIAN(B122:E122)</f>
        <v>0.378120020769726</v>
      </c>
      <c r="G122" s="31" t="n">
        <f aca="false">CORREL(B$3:AQ$3,B20:AQ20)</f>
        <v>0.961054798110657</v>
      </c>
      <c r="H122" s="148"/>
    </row>
    <row r="123" customFormat="false" ht="12.8" hidden="false" customHeight="false" outlineLevel="0" collapsed="false">
      <c r="A123" s="139" t="str">
        <f aca="false">A38</f>
        <v>ATHEX</v>
      </c>
      <c r="B123" s="75" t="n">
        <f aca="false">CORREL(B$3:D$3,B21:D21)</f>
        <v>0.85135788355569</v>
      </c>
      <c r="C123" s="75" t="n">
        <f aca="false">CORREL(J$3:L$3,J21:L21)</f>
        <v>-0.226029650696784</v>
      </c>
      <c r="D123" s="75" t="n">
        <f aca="false">CORREL(V$3:X$3,V21:X21)</f>
        <v>0.99953619577237</v>
      </c>
      <c r="E123" s="147" t="n">
        <f aca="false">CORREL(AH$3:AJ$3,AH21:AJ21)</f>
        <v>0.78042650964985</v>
      </c>
      <c r="F123" s="31" t="n">
        <f aca="false">MEDIAN(B123:E123)</f>
        <v>0.81589219660277</v>
      </c>
      <c r="G123" s="31" t="n">
        <f aca="false">CORREL(B$3:AQ$3,B21:AQ21)</f>
        <v>0.884311782896478</v>
      </c>
      <c r="H123" s="148"/>
    </row>
    <row r="124" customFormat="false" ht="12.8" hidden="false" customHeight="false" outlineLevel="0" collapsed="false">
      <c r="A124" s="139" t="str">
        <f aca="false">A39</f>
        <v>CROBEX</v>
      </c>
      <c r="B124" s="154" t="n">
        <f aca="false">CORREL(B$3:D$3,B22:D22)</f>
        <v>0.618190854004488</v>
      </c>
      <c r="C124" s="154" t="n">
        <f aca="false">CORREL(J$3:L$3,J22:L22)</f>
        <v>-0.127111140260124</v>
      </c>
      <c r="D124" s="154" t="n">
        <f aca="false">CORREL(V$3:X$3,V22:X22)</f>
        <v>0.953884213108435</v>
      </c>
      <c r="E124" s="155" t="n">
        <f aca="false">CORREL(AH$3:AJ$3,AH22:AJ22)</f>
        <v>0.876744859988425</v>
      </c>
      <c r="F124" s="31" t="n">
        <f aca="false">MEDIAN(B124:E124)</f>
        <v>0.747467856996456</v>
      </c>
      <c r="G124" s="31" t="n">
        <f aca="false">CORREL(B$3:AQ$3,B22:AQ22)</f>
        <v>0.950305223825796</v>
      </c>
      <c r="H124" s="148"/>
    </row>
    <row r="125" customFormat="false" ht="12.8" hidden="false" customHeight="false" outlineLevel="0" collapsed="false">
      <c r="A125" s="1" t="s">
        <v>100</v>
      </c>
      <c r="B125" s="31" t="n">
        <f aca="false">MEDIAN(B110:B124)</f>
        <v>0.952200050611794</v>
      </c>
      <c r="C125" s="31" t="n">
        <f aca="false">MEDIAN(C110:C124)</f>
        <v>0.21801219877656</v>
      </c>
      <c r="D125" s="31" t="n">
        <f aca="false">MEDIAN(D110:D124)</f>
        <v>0.936903370103123</v>
      </c>
      <c r="E125" s="31" t="n">
        <f aca="false">MEDIAN(E110:E124)</f>
        <v>0.852974490715116</v>
      </c>
      <c r="F125" s="31" t="n">
        <f aca="false">MEDIAN(F110:F124)</f>
        <v>0.81589219660277</v>
      </c>
      <c r="G125" s="31" t="n">
        <f aca="false">MEDIAN(G110:G124)</f>
        <v>0.890812665049555</v>
      </c>
    </row>
    <row r="126" customFormat="false" ht="35.4" hidden="false" customHeight="false" outlineLevel="0" collapsed="false">
      <c r="A126" s="144" t="s">
        <v>146</v>
      </c>
      <c r="B126" s="135" t="s">
        <v>139</v>
      </c>
      <c r="C126" s="135" t="s">
        <v>140</v>
      </c>
      <c r="D126" s="145" t="s">
        <v>141</v>
      </c>
      <c r="E126" s="135" t="s">
        <v>142</v>
      </c>
      <c r="F126" s="136" t="s">
        <v>100</v>
      </c>
      <c r="G126" s="146" t="s">
        <v>143</v>
      </c>
      <c r="H126" s="78" t="s">
        <v>144</v>
      </c>
    </row>
    <row r="127" customFormat="false" ht="12.8" hidden="false" customHeight="false" outlineLevel="0" collapsed="false">
      <c r="A127" s="139" t="str">
        <f aca="false">A25</f>
        <v>S&amp;P 500</v>
      </c>
      <c r="B127" s="75" t="n">
        <f aca="false">CORREL(B$5:D$5,B8:D8)</f>
        <v>0.998887332561784</v>
      </c>
      <c r="C127" s="75" t="n">
        <f aca="false">CORREL(J$5:L$5,J8:L8)</f>
        <v>0.754394788851161</v>
      </c>
      <c r="D127" s="75" t="n">
        <f aca="false">CORREL(V$5:X$5,V8:X8)</f>
        <v>-0.283596242816679</v>
      </c>
      <c r="E127" s="147" t="n">
        <f aca="false">CORREL(AH$5:AJ$5,AH8:AJ8)</f>
        <v>0.819122246481981</v>
      </c>
      <c r="F127" s="31" t="n">
        <f aca="false">MEDIAN(B127:E127)</f>
        <v>0.786758517666571</v>
      </c>
      <c r="G127" s="31" t="n">
        <f aca="false">CORREL(B$5:AQ$5,B8:AQ8)</f>
        <v>0.917698885855771</v>
      </c>
      <c r="H127" s="148" t="n">
        <f aca="false">MEDIAN(G127:G129)</f>
        <v>0.899367860336364</v>
      </c>
    </row>
    <row r="128" customFormat="false" ht="12.8" hidden="false" customHeight="false" outlineLevel="0" collapsed="false">
      <c r="A128" s="139" t="str">
        <f aca="false">A26</f>
        <v>DOW</v>
      </c>
      <c r="B128" s="75" t="n">
        <f aca="false">CORREL(B$5:D$5,B9:D9)</f>
        <v>0.996825686513439</v>
      </c>
      <c r="C128" s="75" t="n">
        <f aca="false">CORREL(J$5:L$5,J9:L9)</f>
        <v>0.708772125349236</v>
      </c>
      <c r="D128" s="75" t="n">
        <f aca="false">CORREL(V$5:X$5,V9:X9)</f>
        <v>0.0275360648582546</v>
      </c>
      <c r="E128" s="147" t="n">
        <f aca="false">CORREL(AH$5:AJ$5,AH9:AJ9)</f>
        <v>0.787515793068946</v>
      </c>
      <c r="F128" s="31" t="n">
        <f aca="false">MEDIAN(B128:E128)</f>
        <v>0.748143959209091</v>
      </c>
      <c r="G128" s="31" t="n">
        <f aca="false">CORREL(B$5:AQ$5,B9:AQ9)</f>
        <v>0.899367860336364</v>
      </c>
      <c r="H128" s="148"/>
    </row>
    <row r="129" customFormat="false" ht="12.8" hidden="false" customHeight="false" outlineLevel="0" collapsed="false">
      <c r="A129" s="139" t="str">
        <f aca="false">A27</f>
        <v>Russel 2000</v>
      </c>
      <c r="B129" s="75" t="n">
        <f aca="false">CORREL(B$5:D$5,B10:D10)</f>
        <v>0.820011159558777</v>
      </c>
      <c r="C129" s="75" t="n">
        <f aca="false">CORREL(J$5:L$5,J10:L10)</f>
        <v>0.628894975017942</v>
      </c>
      <c r="D129" s="75" t="n">
        <f aca="false">CORREL(V$5:X$5,V10:X10)</f>
        <v>-0.43260987264461</v>
      </c>
      <c r="E129" s="147" t="n">
        <f aca="false">CORREL(AH$5:AJ$5,AH10:AJ10)</f>
        <v>0.784043835657898</v>
      </c>
      <c r="F129" s="31" t="n">
        <f aca="false">MEDIAN(B129:E129)</f>
        <v>0.70646940533792</v>
      </c>
      <c r="G129" s="31" t="n">
        <f aca="false">CORREL(B$5:AQ$5,B10:AQ10)</f>
        <v>0.654365076087288</v>
      </c>
      <c r="H129" s="148"/>
    </row>
    <row r="130" customFormat="false" ht="12.8" hidden="false" customHeight="false" outlineLevel="0" collapsed="false">
      <c r="A130" s="139" t="str">
        <f aca="false">A28</f>
        <v>FTSE</v>
      </c>
      <c r="B130" s="149" t="n">
        <f aca="false">CORREL(B$5:D$5,B11:D11)</f>
        <v>0.861758462022743</v>
      </c>
      <c r="C130" s="149" t="n">
        <f aca="false">CORREL(J$5:L$5,J11:L11)</f>
        <v>0.238553447383085</v>
      </c>
      <c r="D130" s="149" t="n">
        <f aca="false">CORREL(V$5:X$5,V11:X11)</f>
        <v>0.928860554968887</v>
      </c>
      <c r="E130" s="150" t="n">
        <f aca="false">CORREL(AH$5:AJ$5,AH11:AJ11)</f>
        <v>0.710077305000798</v>
      </c>
      <c r="F130" s="151" t="n">
        <f aca="false">MEDIAN(B130:E130)</f>
        <v>0.78591788351177</v>
      </c>
      <c r="G130" s="31" t="n">
        <f aca="false">CORREL(B$5:AQ$5,B11:AQ11)</f>
        <v>0.752730446890464</v>
      </c>
      <c r="H130" s="148" t="n">
        <f aca="false">MEDIAN(G130:G133)</f>
        <v>0.83686170598124</v>
      </c>
    </row>
    <row r="131" customFormat="false" ht="12.8" hidden="false" customHeight="false" outlineLevel="0" collapsed="false">
      <c r="A131" s="139" t="str">
        <f aca="false">A29</f>
        <v>DAX 40</v>
      </c>
      <c r="B131" s="75" t="n">
        <f aca="false">CORREL(B$5:D$5,B12:D12)</f>
        <v>0.987493933469189</v>
      </c>
      <c r="C131" s="75" t="n">
        <f aca="false">CORREL(J$5:L$5,J12:L12)</f>
        <v>0.575925462113855</v>
      </c>
      <c r="D131" s="75" t="n">
        <f aca="false">CORREL(V$5:X$5,V12:X12)</f>
        <v>0.953953292953037</v>
      </c>
      <c r="E131" s="147" t="n">
        <f aca="false">CORREL(AH$5:AJ$5,AH12:AJ12)</f>
        <v>0.761763528146982</v>
      </c>
      <c r="F131" s="31" t="n">
        <f aca="false">MEDIAN(B131:E131)</f>
        <v>0.857858410550009</v>
      </c>
      <c r="G131" s="31" t="n">
        <f aca="false">CORREL(B$5:AQ$5,B12:AQ12)</f>
        <v>0.87699629978466</v>
      </c>
      <c r="H131" s="148"/>
    </row>
    <row r="132" customFormat="false" ht="12.8" hidden="false" customHeight="false" outlineLevel="0" collapsed="false">
      <c r="A132" s="139" t="str">
        <f aca="false">A30</f>
        <v>CAC 40</v>
      </c>
      <c r="B132" s="75" t="n">
        <f aca="false">CORREL(B$5:D$5,B13:D13)</f>
        <v>0.905808496293597</v>
      </c>
      <c r="C132" s="75" t="n">
        <f aca="false">CORREL(J$5:L$5,J13:L13)</f>
        <v>0.527220656381623</v>
      </c>
      <c r="D132" s="75" t="n">
        <f aca="false">CORREL(V$5:X$5,V13:X13)</f>
        <v>0.953394322206734</v>
      </c>
      <c r="E132" s="147" t="n">
        <f aca="false">CORREL(AH$5:AJ$5,AH13:AJ13)</f>
        <v>0.763283748228161</v>
      </c>
      <c r="F132" s="31" t="n">
        <f aca="false">MEDIAN(B132:E132)</f>
        <v>0.834546122260879</v>
      </c>
      <c r="G132" s="31" t="n">
        <f aca="false">CORREL(B$5:AQ$5,B13:AQ13)</f>
        <v>0.808392475777214</v>
      </c>
      <c r="H132" s="148"/>
    </row>
    <row r="133" customFormat="false" ht="12.8" hidden="false" customHeight="false" outlineLevel="0" collapsed="false">
      <c r="A133" s="139" t="str">
        <f aca="false">A31</f>
        <v>Eurostoxx 50</v>
      </c>
      <c r="B133" s="75" t="n">
        <f aca="false">CORREL(B$5:D$5,B14:D14)</f>
        <v>0.93520864565816</v>
      </c>
      <c r="C133" s="75" t="n">
        <f aca="false">CORREL(J$5:L$5,J14:L14)</f>
        <v>0.583864555772787</v>
      </c>
      <c r="D133" s="75" t="n">
        <f aca="false">CORREL(V$5:X$5,V14:X14)</f>
        <v>0.925176239278956</v>
      </c>
      <c r="E133" s="147" t="n">
        <f aca="false">CORREL(AH$5:AJ$5,AH14:AJ14)</f>
        <v>0.756870569000594</v>
      </c>
      <c r="F133" s="152" t="n">
        <f aca="false">MEDIAN(B133:E133)</f>
        <v>0.841023404139775</v>
      </c>
      <c r="G133" s="31" t="n">
        <f aca="false">CORREL(B$5:AQ$5,B14:AQ14)</f>
        <v>0.865330936185265</v>
      </c>
      <c r="H133" s="148"/>
    </row>
    <row r="134" customFormat="false" ht="12.8" hidden="false" customHeight="false" outlineLevel="0" collapsed="false">
      <c r="A134" s="139" t="str">
        <f aca="false">A32</f>
        <v>Nikkei</v>
      </c>
      <c r="B134" s="149" t="n">
        <f aca="false">CORREL(B$5:D$5,B15:D15)</f>
        <v>0.822952725581933</v>
      </c>
      <c r="C134" s="149" t="n">
        <f aca="false">CORREL(J$5:L$5,J15:L15)</f>
        <v>0.65349474756449</v>
      </c>
      <c r="D134" s="149" t="n">
        <f aca="false">CORREL(V$5:X$5,V15:X15)</f>
        <v>0.899121025915827</v>
      </c>
      <c r="E134" s="150" t="n">
        <f aca="false">CORREL(AH$5:AJ$5,AH15:AJ15)</f>
        <v>0.668538466198821</v>
      </c>
      <c r="F134" s="151" t="n">
        <f aca="false">MEDIAN(B134:E134)</f>
        <v>0.745745595890377</v>
      </c>
      <c r="G134" s="31" t="n">
        <f aca="false">CORREL(B$5:AQ$5,B15:AQ15)</f>
        <v>0.861233391427783</v>
      </c>
      <c r="H134" s="148" t="n">
        <f aca="false">MEDIAN(G134:G137)</f>
        <v>0.506914500086293</v>
      </c>
    </row>
    <row r="135" customFormat="false" ht="12.8" hidden="false" customHeight="false" outlineLevel="0" collapsed="false">
      <c r="A135" s="139" t="str">
        <f aca="false">A33</f>
        <v>MOEKS</v>
      </c>
      <c r="B135" s="75" t="n">
        <f aca="false">CORREL(B$5:D$5,B16:D16)</f>
        <v>-0.348205048619536</v>
      </c>
      <c r="C135" s="153" t="n">
        <f aca="false">CORREL(J$5:L$5,J16:L16)</f>
        <v>-0.167197350633169</v>
      </c>
      <c r="D135" s="75" t="n">
        <f aca="false">CORREL(V$5:X$5,V16:X16)</f>
        <v>0.973469164224491</v>
      </c>
      <c r="E135" s="147" t="n">
        <f aca="false">CORREL(AH$5:AJ$5,AH16:AJ16)</f>
        <v>0.736773211308338</v>
      </c>
      <c r="F135" s="31" t="n">
        <f aca="false">MEDIAN(B135:E135)</f>
        <v>0.284787930337584</v>
      </c>
      <c r="G135" s="31" t="n">
        <f aca="false">CORREL(B$5:AQ$5,B16:AQ16)</f>
        <v>0.152595608744804</v>
      </c>
      <c r="H135" s="148"/>
    </row>
    <row r="136" customFormat="false" ht="12.8" hidden="false" customHeight="false" outlineLevel="0" collapsed="false">
      <c r="A136" s="139" t="str">
        <f aca="false">A34</f>
        <v>CSI 300</v>
      </c>
      <c r="B136" s="75" t="n">
        <f aca="false">CORREL(B$5:D$5,B17:D17)</f>
        <v>-0.43243268589767</v>
      </c>
      <c r="C136" s="75" t="n">
        <f aca="false">CORREL(J$5:L$5,J17:L17)</f>
        <v>-0.705212077986545</v>
      </c>
      <c r="D136" s="75" t="n">
        <f aca="false">CORREL(V$5:X$5,V17:X17)</f>
        <v>0.988492417961264</v>
      </c>
      <c r="E136" s="147" t="n">
        <f aca="false">CORREL(AH$5:AJ$5,AH17:AJ17)</f>
        <v>0.997475861566871</v>
      </c>
      <c r="F136" s="31" t="n">
        <f aca="false">MEDIAN(B136:E136)</f>
        <v>0.278029866031797</v>
      </c>
      <c r="G136" s="31" t="n">
        <f aca="false">CORREL(B$5:AQ$5,B17:AQ17)</f>
        <v>-0.363352049312045</v>
      </c>
      <c r="H136" s="148"/>
    </row>
    <row r="137" customFormat="false" ht="12.8" hidden="false" customHeight="false" outlineLevel="0" collapsed="false">
      <c r="A137" s="139" t="str">
        <f aca="false">A35</f>
        <v>TWSE 50</v>
      </c>
      <c r="B137" s="75" t="n">
        <f aca="false">CORREL(B$5:D$5,B18:D18)</f>
        <v>0.930588939425121</v>
      </c>
      <c r="C137" s="75" t="n">
        <f aca="false">CORREL(J$5:L$5,J18:L18)</f>
        <v>0.881677680205971</v>
      </c>
      <c r="D137" s="75" t="n">
        <f aca="false">CORREL(V$5:X$5,V18:X18)</f>
        <v>0.836845443935675</v>
      </c>
      <c r="E137" s="147" t="n">
        <f aca="false">CORREL(AH$5:AJ$5,AH18:AJ18)</f>
        <v>0.864873768772978</v>
      </c>
      <c r="F137" s="152" t="n">
        <f aca="false">MEDIAN(B137:E137)</f>
        <v>0.873275724489474</v>
      </c>
      <c r="G137" s="31" t="n">
        <f aca="false">CORREL(B$5:AQ$5,B18:AQ18)</f>
        <v>0.902457184752019</v>
      </c>
      <c r="H137" s="148"/>
    </row>
    <row r="138" customFormat="false" ht="12.8" hidden="false" customHeight="false" outlineLevel="0" collapsed="false">
      <c r="A138" s="139" t="str">
        <f aca="false">A36</f>
        <v>SOFIX</v>
      </c>
      <c r="B138" s="149" t="n">
        <f aca="false">CORREL(B$5:D$5,B19:D19)</f>
        <v>0.953312978291662</v>
      </c>
      <c r="C138" s="149" t="n">
        <f aca="false">CORREL(J$5:L$5,J19:L19)</f>
        <v>-0.695255945459042</v>
      </c>
      <c r="D138" s="149" t="n">
        <f aca="false">CORREL(V$5:X$5,V19:X19)</f>
        <v>0.92465429284525</v>
      </c>
      <c r="E138" s="150" t="n">
        <f aca="false">CORREL(AH$5:AJ$5,AH19:AJ19)</f>
        <v>0.874078662178158</v>
      </c>
      <c r="F138" s="31" t="n">
        <f aca="false">MEDIAN(B138:E138)</f>
        <v>0.899366477511704</v>
      </c>
      <c r="G138" s="31" t="n">
        <f aca="false">CORREL(B$5:AQ$5,B19:AQ19)</f>
        <v>0.866830622015685</v>
      </c>
      <c r="H138" s="148" t="n">
        <f aca="false">MEDIAN(G138:G141)</f>
        <v>0.903784335523883</v>
      </c>
    </row>
    <row r="139" customFormat="false" ht="12.8" hidden="false" customHeight="false" outlineLevel="0" collapsed="false">
      <c r="A139" s="139" t="str">
        <f aca="false">A37</f>
        <v>BELEX</v>
      </c>
      <c r="B139" s="75" t="n">
        <f aca="false">CORREL(B$5:D$5,B20:D20)</f>
        <v>0.769616171718356</v>
      </c>
      <c r="C139" s="75" t="n">
        <f aca="false">CORREL(J$5:L$5,J20:L20)</f>
        <v>-0.482201211525436</v>
      </c>
      <c r="D139" s="75" t="n">
        <f aca="false">CORREL(V$5:X$5,V20:X20)</f>
        <v>0.17754769426064</v>
      </c>
      <c r="E139" s="147" t="n">
        <f aca="false">CORREL(AH$5:AJ$5,AH20:AJ20)</f>
        <v>0.950721376964173</v>
      </c>
      <c r="F139" s="31" t="n">
        <f aca="false">MEDIAN(B139:E139)</f>
        <v>0.473581932989498</v>
      </c>
      <c r="G139" s="31" t="n">
        <f aca="false">CORREL(B$5:AQ$5,B20:AQ20)</f>
        <v>0.952624459289166</v>
      </c>
      <c r="H139" s="148"/>
    </row>
    <row r="140" customFormat="false" ht="12.8" hidden="false" customHeight="false" outlineLevel="0" collapsed="false">
      <c r="A140" s="139" t="str">
        <f aca="false">A38</f>
        <v>ATHEX</v>
      </c>
      <c r="B140" s="75" t="n">
        <f aca="false">CORREL(B$5:D$5,B21:D21)</f>
        <v>0.715217425378412</v>
      </c>
      <c r="C140" s="75" t="n">
        <f aca="false">CORREL(J$5:L$5,J21:L21)</f>
        <v>0.159084835949555</v>
      </c>
      <c r="D140" s="75" t="n">
        <f aca="false">CORREL(V$5:X$5,V21:X21)</f>
        <v>0.999998543053373</v>
      </c>
      <c r="E140" s="147" t="n">
        <f aca="false">CORREL(AH$5:AJ$5,AH21:AJ21)</f>
        <v>0.699604646973226</v>
      </c>
      <c r="F140" s="31" t="n">
        <f aca="false">MEDIAN(B140:E140)</f>
        <v>0.707411036175819</v>
      </c>
      <c r="G140" s="31" t="n">
        <f aca="false">CORREL(B$5:AQ$5,B21:AQ21)</f>
        <v>0.861187922306568</v>
      </c>
      <c r="H140" s="148"/>
    </row>
    <row r="141" customFormat="false" ht="12.8" hidden="false" customHeight="false" outlineLevel="0" collapsed="false">
      <c r="A141" s="139" t="str">
        <f aca="false">A39</f>
        <v>CROBEX</v>
      </c>
      <c r="B141" s="154" t="n">
        <f aca="false">CORREL(B$5:D$5,B22:D22)</f>
        <v>0.43028255328013</v>
      </c>
      <c r="C141" s="154" t="n">
        <f aca="false">CORREL(J$5:L$5,J22:L22)</f>
        <v>0.257377781373167</v>
      </c>
      <c r="D141" s="154" t="n">
        <f aca="false">CORREL(V$5:X$5,V22:X22)</f>
        <v>0.963044236106322</v>
      </c>
      <c r="E141" s="155" t="n">
        <f aca="false">CORREL(AH$5:AJ$5,AH22:AJ22)</f>
        <v>0.812570147045231</v>
      </c>
      <c r="F141" s="31" t="n">
        <f aca="false">MEDIAN(B141:E141)</f>
        <v>0.621426350162681</v>
      </c>
      <c r="G141" s="31" t="n">
        <f aca="false">CORREL(B$5:AQ$5,B22:AQ22)</f>
        <v>0.94073804903208</v>
      </c>
      <c r="H141" s="148"/>
    </row>
    <row r="142" customFormat="false" ht="12.8" hidden="false" customHeight="false" outlineLevel="0" collapsed="false">
      <c r="B142" s="31" t="n">
        <f aca="false">MEDIAN(B127:B141)</f>
        <v>0.861758462022743</v>
      </c>
      <c r="C142" s="31" t="n">
        <f aca="false">MEDIAN(C127:C141)</f>
        <v>0.527220656381623</v>
      </c>
      <c r="D142" s="31" t="n">
        <f aca="false">MEDIAN(D127:D141)</f>
        <v>0.925176239278956</v>
      </c>
      <c r="E142" s="31" t="n">
        <f aca="false">MEDIAN(E127:E141)</f>
        <v>0.784043835657898</v>
      </c>
      <c r="F142" s="31" t="n">
        <f aca="false">MEDIAN(F127:F141)</f>
        <v>0.748143959209091</v>
      </c>
      <c r="G142" s="31" t="n">
        <f aca="false">MEDIAN(G127:G141)</f>
        <v>0.865330936185265</v>
      </c>
    </row>
    <row r="143" customFormat="false" ht="35.4" hidden="false" customHeight="false" outlineLevel="0" collapsed="false">
      <c r="A143" s="144" t="s">
        <v>147</v>
      </c>
      <c r="B143" s="135" t="s">
        <v>139</v>
      </c>
      <c r="C143" s="135" t="s">
        <v>140</v>
      </c>
      <c r="D143" s="145" t="s">
        <v>141</v>
      </c>
      <c r="E143" s="135" t="s">
        <v>142</v>
      </c>
      <c r="F143" s="136" t="s">
        <v>100</v>
      </c>
      <c r="G143" s="146" t="s">
        <v>143</v>
      </c>
      <c r="H143" s="78" t="s">
        <v>144</v>
      </c>
    </row>
    <row r="144" customFormat="false" ht="12.8" hidden="false" customHeight="false" outlineLevel="0" collapsed="false">
      <c r="A144" s="139" t="str">
        <f aca="false">A25</f>
        <v>S&amp;P 500</v>
      </c>
      <c r="B144" s="75" t="n">
        <f aca="false">CORREL(B$7:D$7,B8:D8)</f>
        <v>-0.682511119020329</v>
      </c>
      <c r="C144" s="75" t="n">
        <f aca="false">CORREL(J$7:L$7,J8:L8)</f>
        <v>0.864843423785828</v>
      </c>
      <c r="D144" s="75" t="n">
        <f aca="false">CORREL(V$7:X$7,V8:X8)</f>
        <v>0.613602127131651</v>
      </c>
      <c r="E144" s="147" t="n">
        <f aca="false">CORREL(AH$7:AJ$7,AH8:AJ8)</f>
        <v>0.979705598587859</v>
      </c>
      <c r="F144" s="31" t="n">
        <f aca="false">MEDIAN(B144:E144)</f>
        <v>0.739222775458739</v>
      </c>
      <c r="G144" s="31" t="n">
        <f aca="false">CORREL(B$7:AQ$7,B8:AQ8)</f>
        <v>0.883465939987088</v>
      </c>
      <c r="H144" s="148" t="n">
        <f aca="false">MEDIAN(G144:G146)</f>
        <v>0.864538575605651</v>
      </c>
    </row>
    <row r="145" customFormat="false" ht="12.8" hidden="false" customHeight="false" outlineLevel="0" collapsed="false">
      <c r="A145" s="139" t="str">
        <f aca="false">A26</f>
        <v>DOW</v>
      </c>
      <c r="B145" s="75" t="n">
        <f aca="false">CORREL(B$7:D$7,B9:D9)</f>
        <v>-0.658385229009832</v>
      </c>
      <c r="C145" s="75" t="n">
        <f aca="false">CORREL(J$7:L$7,J9:L9)</f>
        <v>0.896503807689772</v>
      </c>
      <c r="D145" s="75" t="n">
        <f aca="false">CORREL(V$7:X$7,V9:X9)</f>
        <v>0.828092386071882</v>
      </c>
      <c r="E145" s="147" t="n">
        <f aca="false">CORREL(AH$7:AJ$7,AH9:AJ9)</f>
        <v>0.967683376434173</v>
      </c>
      <c r="F145" s="31" t="n">
        <f aca="false">MEDIAN(B145:E145)</f>
        <v>0.862298096880827</v>
      </c>
      <c r="G145" s="31" t="n">
        <f aca="false">CORREL(B$7:AQ$7,B9:AQ9)</f>
        <v>0.864538575605651</v>
      </c>
      <c r="H145" s="148"/>
    </row>
    <row r="146" customFormat="false" ht="12.8" hidden="false" customHeight="false" outlineLevel="0" collapsed="false">
      <c r="A146" s="139" t="str">
        <f aca="false">A27</f>
        <v>Russel 2000</v>
      </c>
      <c r="B146" s="75" t="n">
        <f aca="false">CORREL(B$7:D$7,B10:D10)</f>
        <v>-0.187881645621472</v>
      </c>
      <c r="C146" s="75" t="n">
        <f aca="false">CORREL(J$7:L$7,J10:L10)</f>
        <v>0.938906399757985</v>
      </c>
      <c r="D146" s="75" t="n">
        <f aca="false">CORREL(V$7:X$7,V10:X10)</f>
        <v>0.48010212797159</v>
      </c>
      <c r="E146" s="147" t="n">
        <f aca="false">CORREL(AH$7:AJ$7,AH10:AJ10)</f>
        <v>0.966252590808428</v>
      </c>
      <c r="F146" s="31" t="n">
        <f aca="false">MEDIAN(B146:E146)</f>
        <v>0.709504263864788</v>
      </c>
      <c r="G146" s="31" t="n">
        <f aca="false">CORREL(B$7:AQ$7,B10:AQ10)</f>
        <v>0.75350955124943</v>
      </c>
      <c r="H146" s="148"/>
    </row>
    <row r="147" customFormat="false" ht="12.8" hidden="false" customHeight="false" outlineLevel="0" collapsed="false">
      <c r="A147" s="139" t="str">
        <f aca="false">A28</f>
        <v>FTSE</v>
      </c>
      <c r="B147" s="149" t="n">
        <f aca="false">CORREL(B$7:D$7,B11:D11)</f>
        <v>-0.263163804634879</v>
      </c>
      <c r="C147" s="149" t="n">
        <f aca="false">CORREL(J$7:L$7,J11:L11)</f>
        <v>0.996139483183779</v>
      </c>
      <c r="D147" s="149" t="n">
        <f aca="false">CORREL(V$7:X$7,V11:X11)</f>
        <v>0.842609741738682</v>
      </c>
      <c r="E147" s="150" t="n">
        <f aca="false">CORREL(AH$7:AJ$7,AH11:AJ11)</f>
        <v>0.931573146468891</v>
      </c>
      <c r="F147" s="151" t="n">
        <f aca="false">MEDIAN(B147:E147)</f>
        <v>0.887091444103787</v>
      </c>
      <c r="G147" s="31" t="n">
        <f aca="false">CORREL(B$7:AQ$7,B11:AQ11)</f>
        <v>0.725671974964983</v>
      </c>
      <c r="H147" s="148" t="n">
        <f aca="false">MEDIAN(G147:G150)</f>
        <v>0.776704841313321</v>
      </c>
    </row>
    <row r="148" customFormat="false" ht="12.8" hidden="false" customHeight="false" outlineLevel="0" collapsed="false">
      <c r="A148" s="139" t="str">
        <f aca="false">A29</f>
        <v>DAX 40</v>
      </c>
      <c r="B148" s="75" t="n">
        <f aca="false">CORREL(B$7:D$7,B12:D12)</f>
        <v>-0.597238122947969</v>
      </c>
      <c r="C148" s="75" t="n">
        <f aca="false">CORREL(J$7:L$7,J12:L12)</f>
        <v>0.959672327036576</v>
      </c>
      <c r="D148" s="75" t="n">
        <f aca="false">CORREL(V$7:X$7,V12:X12)</f>
        <v>0.799994065711459</v>
      </c>
      <c r="E148" s="147" t="n">
        <f aca="false">CORREL(AH$7:AJ$7,AH12:AJ12)</f>
        <v>0.956610868322751</v>
      </c>
      <c r="F148" s="31" t="n">
        <f aca="false">MEDIAN(B148:E148)</f>
        <v>0.878302467017105</v>
      </c>
      <c r="G148" s="31" t="n">
        <f aca="false">CORREL(B$7:AQ$7,B12:AQ12)</f>
        <v>0.793896322688859</v>
      </c>
      <c r="H148" s="148"/>
    </row>
    <row r="149" customFormat="false" ht="12.8" hidden="false" customHeight="false" outlineLevel="0" collapsed="false">
      <c r="A149" s="139" t="str">
        <f aca="false">A30</f>
        <v>CAC 40</v>
      </c>
      <c r="B149" s="75" t="n">
        <f aca="false">CORREL(B$7:D$7,B13:D13)</f>
        <v>-0.353077574997564</v>
      </c>
      <c r="C149" s="75" t="n">
        <f aca="false">CORREL(J$7:L$7,J13:L13)</f>
        <v>0.974446526939715</v>
      </c>
      <c r="D149" s="75" t="n">
        <f aca="false">CORREL(V$7:X$7,V13:X13)</f>
        <v>0.801107514242497</v>
      </c>
      <c r="E149" s="147" t="n">
        <f aca="false">CORREL(AH$7:AJ$7,AH13:AJ13)</f>
        <v>0.957292882097606</v>
      </c>
      <c r="F149" s="31" t="n">
        <f aca="false">MEDIAN(B149:E149)</f>
        <v>0.879200198170052</v>
      </c>
      <c r="G149" s="31" t="n">
        <f aca="false">CORREL(B$7:AQ$7,B13:AQ13)</f>
        <v>0.771171587071653</v>
      </c>
      <c r="H149" s="148"/>
    </row>
    <row r="150" customFormat="false" ht="12.8" hidden="false" customHeight="false" outlineLevel="0" collapsed="false">
      <c r="A150" s="139" t="str">
        <f aca="false">A31</f>
        <v>Eurostoxx 50</v>
      </c>
      <c r="B150" s="75" t="n">
        <f aca="false">CORREL(B$7:D$7,B14:D14)</f>
        <v>-0.422699779951036</v>
      </c>
      <c r="C150" s="75" t="n">
        <f aca="false">CORREL(J$7:L$7,J14:L14)</f>
        <v>0.956887276352836</v>
      </c>
      <c r="D150" s="75" t="n">
        <f aca="false">CORREL(V$7:X$7,V14:X14)</f>
        <v>0.847860094022904</v>
      </c>
      <c r="E150" s="147" t="n">
        <f aca="false">CORREL(AH$7:AJ$7,AH14:AJ14)</f>
        <v>0.954392933951359</v>
      </c>
      <c r="F150" s="152" t="n">
        <f aca="false">MEDIAN(B150:E150)</f>
        <v>0.901126513987132</v>
      </c>
      <c r="G150" s="31" t="n">
        <f aca="false">CORREL(B$7:AQ$7,B14:AQ14)</f>
        <v>0.78223809555499</v>
      </c>
      <c r="H150" s="148"/>
    </row>
    <row r="151" customFormat="false" ht="12.8" hidden="false" customHeight="false" outlineLevel="0" collapsed="false">
      <c r="A151" s="139" t="str">
        <f aca="false">A32</f>
        <v>Nikkei</v>
      </c>
      <c r="B151" s="149" t="n">
        <f aca="false">CORREL(B$7:D$7,B15:D15)</f>
        <v>-0.192945818972957</v>
      </c>
      <c r="C151" s="149" t="n">
        <f aca="false">CORREL(J$7:L$7,J15:L15)</f>
        <v>0.927391198724155</v>
      </c>
      <c r="D151" s="149" t="n">
        <f aca="false">CORREL(V$7:X$7,V15:X15)</f>
        <v>0.8799128683159</v>
      </c>
      <c r="E151" s="150" t="n">
        <f aca="false">CORREL(AH$7:AJ$7,AH15:AJ15)</f>
        <v>0.909196437248172</v>
      </c>
      <c r="F151" s="151" t="n">
        <f aca="false">MEDIAN(B151:E151)</f>
        <v>0.894554652782036</v>
      </c>
      <c r="G151" s="31" t="n">
        <f aca="false">CORREL(B$7:AQ$7,B15:AQ15)</f>
        <v>0.736277419805912</v>
      </c>
      <c r="H151" s="148" t="n">
        <f aca="false">MEDIAN(G151:G154)</f>
        <v>0.459585125829744</v>
      </c>
    </row>
    <row r="152" customFormat="false" ht="12.8" hidden="false" customHeight="false" outlineLevel="0" collapsed="false">
      <c r="A152" s="139" t="str">
        <f aca="false">A33</f>
        <v>MOEKS</v>
      </c>
      <c r="B152" s="75" t="n">
        <f aca="false">CORREL(B$7:D$7,B16:D16)</f>
        <v>0.903591858194035</v>
      </c>
      <c r="C152" s="153" t="n">
        <f aca="false">CORREL(J$7:L$7,J16:L16)</f>
        <v>-0.987101528478369</v>
      </c>
      <c r="D152" s="75" t="n">
        <f aca="false">CORREL(V$7:X$7,V16:X16)</f>
        <v>0.381830553524311</v>
      </c>
      <c r="E152" s="147" t="n">
        <f aca="false">CORREL(AH$7:AJ$7,AH16:AJ16)</f>
        <v>0.944934294508878</v>
      </c>
      <c r="F152" s="31" t="n">
        <f aca="false">MEDIAN(B152:E152)</f>
        <v>0.642711205859173</v>
      </c>
      <c r="G152" s="31" t="n">
        <f aca="false">CORREL(B$7:AQ$7,B16:AQ16)</f>
        <v>0.182892831853576</v>
      </c>
      <c r="H152" s="148"/>
    </row>
    <row r="153" customFormat="false" ht="12.8" hidden="false" customHeight="false" outlineLevel="0" collapsed="false">
      <c r="A153" s="139" t="str">
        <f aca="false">A34</f>
        <v>CSI 300</v>
      </c>
      <c r="B153" s="75" t="n">
        <f aca="false">CORREL(B$7:D$7,B17:D17)</f>
        <v>0.93896684744595</v>
      </c>
      <c r="C153" s="75" t="n">
        <f aca="false">CORREL(J$7:L$7,J17:L17)</f>
        <v>-0.898722626420291</v>
      </c>
      <c r="D153" s="75" t="n">
        <f aca="false">CORREL(V$7:X$7,V17:X17)</f>
        <v>0.453587179707553</v>
      </c>
      <c r="E153" s="147" t="n">
        <f aca="false">CORREL(AH$7:AJ$7,AH17:AJ17)</f>
        <v>0.943405795465009</v>
      </c>
      <c r="F153" s="31" t="n">
        <f aca="false">MEDIAN(B153:E153)</f>
        <v>0.696277013576751</v>
      </c>
      <c r="G153" s="31" t="n">
        <f aca="false">CORREL(B$7:AQ$7,B17:AQ17)</f>
        <v>-0.137031417491579</v>
      </c>
      <c r="H153" s="148"/>
    </row>
    <row r="154" customFormat="false" ht="12.8" hidden="false" customHeight="false" outlineLevel="0" collapsed="false">
      <c r="A154" s="139" t="str">
        <f aca="false">A35</f>
        <v>TWSE 50</v>
      </c>
      <c r="B154" s="75" t="n">
        <f aca="false">CORREL(B$7:D$7,B18:D18)</f>
        <v>-0.411038381939821</v>
      </c>
      <c r="C154" s="75" t="n">
        <f aca="false">CORREL(J$7:L$7,J18:L18)</f>
        <v>0.731257743298141</v>
      </c>
      <c r="D154" s="75" t="n">
        <f aca="false">CORREL(V$7:X$7,V18:X18)</f>
        <v>0.0433249550664955</v>
      </c>
      <c r="E154" s="147" t="n">
        <f aca="false">CORREL(AH$7:AJ$7,AH18:AJ18)</f>
        <v>0.993187889647591</v>
      </c>
      <c r="F154" s="152" t="n">
        <f aca="false">MEDIAN(B154:E154)</f>
        <v>0.387291349182318</v>
      </c>
      <c r="G154" s="31" t="n">
        <f aca="false">CORREL(B$7:AQ$7,B18:AQ18)</f>
        <v>0.9002261654467</v>
      </c>
      <c r="H154" s="148"/>
    </row>
    <row r="155" customFormat="false" ht="12.8" hidden="false" customHeight="false" outlineLevel="0" collapsed="false">
      <c r="A155" s="139" t="str">
        <f aca="false">A36</f>
        <v>SOFIX</v>
      </c>
      <c r="B155" s="149" t="n">
        <f aca="false">CORREL(B$7:D$7,B19:D19)</f>
        <v>-0.472034869863542</v>
      </c>
      <c r="C155" s="149" t="n">
        <f aca="false">CORREL(J$7:L$7,J19:L19)</f>
        <v>-0.904750723914891</v>
      </c>
      <c r="D155" s="149" t="n">
        <f aca="false">CORREL(V$7:X$7,V19:X19)</f>
        <v>0.848587243900216</v>
      </c>
      <c r="E155" s="150" t="n">
        <f aca="false">CORREL(AH$7:AJ$7,AH19:AJ19)</f>
        <v>0.995186949987584</v>
      </c>
      <c r="F155" s="31" t="n">
        <f aca="false">MEDIAN(B155:E155)</f>
        <v>0.188276187018337</v>
      </c>
      <c r="G155" s="31" t="n">
        <f aca="false">CORREL(B$7:AQ$7,B19:AQ19)</f>
        <v>0.758054249837963</v>
      </c>
      <c r="H155" s="148" t="n">
        <f aca="false">MEDIAN(G155:G158)</f>
        <v>0.783678096890565</v>
      </c>
    </row>
    <row r="156" customFormat="false" ht="12.8" hidden="false" customHeight="false" outlineLevel="0" collapsed="false">
      <c r="A156" s="139" t="str">
        <f aca="false">A37</f>
        <v>BELEX</v>
      </c>
      <c r="B156" s="75" t="n">
        <f aca="false">CORREL(B$7:D$7,B20:D20)</f>
        <v>-0.996812162425969</v>
      </c>
      <c r="C156" s="75" t="n">
        <f aca="false">CORREL(J$7:L$7,J20:L20)</f>
        <v>-0.984832235671133</v>
      </c>
      <c r="D156" s="75" t="n">
        <f aca="false">CORREL(V$7:X$7,V20:X20)</f>
        <v>-0.695893037824558</v>
      </c>
      <c r="E156" s="147" t="n">
        <f aca="false">CORREL(AH$7:AJ$7,AH20:AJ20)</f>
        <v>0.99559779474732</v>
      </c>
      <c r="F156" s="31" t="n">
        <f aca="false">MEDIAN(B156:E156)</f>
        <v>-0.840362636747846</v>
      </c>
      <c r="G156" s="31" t="n">
        <f aca="false">CORREL(B$7:AQ$7,B20:AQ20)</f>
        <v>0.846326810115185</v>
      </c>
      <c r="H156" s="148"/>
    </row>
    <row r="157" customFormat="false" ht="12.8" hidden="false" customHeight="false" outlineLevel="0" collapsed="false">
      <c r="A157" s="139" t="str">
        <f aca="false">A38</f>
        <v>ATHEX</v>
      </c>
      <c r="B157" s="75" t="n">
        <f aca="false">CORREL(B$7:D$7,B21:D21)</f>
        <v>-0.0245071195464071</v>
      </c>
      <c r="C157" s="75" t="n">
        <f aca="false">CORREL(J$7:L$7,J21:L21)</f>
        <v>0.985751755630932</v>
      </c>
      <c r="D157" s="75" t="n">
        <f aca="false">CORREL(V$7:X$7,V21:X21)</f>
        <v>0.584567315109792</v>
      </c>
      <c r="E157" s="147" t="n">
        <f aca="false">CORREL(AH$7:AJ$7,AH21:AJ21)</f>
        <v>0.92610432135775</v>
      </c>
      <c r="F157" s="31" t="n">
        <f aca="false">MEDIAN(B157:E157)</f>
        <v>0.755335818233771</v>
      </c>
      <c r="G157" s="31" t="n">
        <f aca="false">CORREL(B$7:AQ$7,B21:AQ21)</f>
        <v>0.719579869217166</v>
      </c>
      <c r="H157" s="148"/>
    </row>
    <row r="158" customFormat="false" ht="12.8" hidden="false" customHeight="false" outlineLevel="0" collapsed="false">
      <c r="A158" s="139" t="str">
        <f aca="false">A39</f>
        <v>CROBEX</v>
      </c>
      <c r="B158" s="154" t="n">
        <f aca="false">CORREL(B$7:D$7,B22:D22)</f>
        <v>0.321790356499928</v>
      </c>
      <c r="C158" s="154" t="n">
        <f aca="false">CORREL(J$7:L$7,J22:L22)</f>
        <v>0.99765710879855</v>
      </c>
      <c r="D158" s="154" t="n">
        <f aca="false">CORREL(V$7:X$7,V22:X22)</f>
        <v>0.342830744320335</v>
      </c>
      <c r="E158" s="155" t="n">
        <f aca="false">CORREL(AH$7:AJ$7,AH22:AJ22)</f>
        <v>0.97737155609683</v>
      </c>
      <c r="F158" s="31" t="n">
        <f aca="false">MEDIAN(B158:E158)</f>
        <v>0.660101150208582</v>
      </c>
      <c r="G158" s="31" t="n">
        <f aca="false">CORREL(B$7:AQ$7,B22:AQ22)</f>
        <v>0.809301943943167</v>
      </c>
      <c r="H158" s="148"/>
    </row>
    <row r="159" customFormat="false" ht="12.8" hidden="false" customHeight="false" outlineLevel="0" collapsed="false">
      <c r="B159" s="31" t="n">
        <f aca="false">MEDIAN(B144:B158)</f>
        <v>-0.353077574997564</v>
      </c>
      <c r="C159" s="31" t="n">
        <f aca="false">MEDIAN(C144:C158)</f>
        <v>0.927391198724155</v>
      </c>
      <c r="D159" s="31" t="n">
        <f aca="false">MEDIAN(D144:D158)</f>
        <v>0.613602127131651</v>
      </c>
      <c r="E159" s="31" t="n">
        <f aca="false">MEDIAN(E144:E158)</f>
        <v>0.957292882097606</v>
      </c>
      <c r="F159" s="31" t="n">
        <f aca="false">MEDIAN(F144:F158)</f>
        <v>0.739222775458739</v>
      </c>
      <c r="G159" s="31" t="n">
        <f aca="false">MEDIAN(G144:G158)</f>
        <v>0.771171587071653</v>
      </c>
    </row>
  </sheetData>
  <mergeCells count="29">
    <mergeCell ref="A23:I23"/>
    <mergeCell ref="J23:R23"/>
    <mergeCell ref="H24:H39"/>
    <mergeCell ref="Q24:Q39"/>
    <mergeCell ref="A40:I40"/>
    <mergeCell ref="J40:R40"/>
    <mergeCell ref="H41:H56"/>
    <mergeCell ref="Q41:Q56"/>
    <mergeCell ref="A57:I57"/>
    <mergeCell ref="J57:R57"/>
    <mergeCell ref="H58:H73"/>
    <mergeCell ref="Q58:Q73"/>
    <mergeCell ref="H75:H90"/>
    <mergeCell ref="H93:H95"/>
    <mergeCell ref="H96:H99"/>
    <mergeCell ref="H100:H103"/>
    <mergeCell ref="H104:H107"/>
    <mergeCell ref="H110:H112"/>
    <mergeCell ref="H113:H116"/>
    <mergeCell ref="H117:H120"/>
    <mergeCell ref="H121:H124"/>
    <mergeCell ref="H127:H129"/>
    <mergeCell ref="H130:H133"/>
    <mergeCell ref="H134:H137"/>
    <mergeCell ref="H138:H141"/>
    <mergeCell ref="H144:H146"/>
    <mergeCell ref="H147:H150"/>
    <mergeCell ref="H151:H154"/>
    <mergeCell ref="H155:H158"/>
  </mergeCells>
  <conditionalFormatting sqref="I42:I56">
    <cfRule type="colorScale" priority="2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H42:H52">
    <cfRule type="colorScale" priority="3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C42:F56">
    <cfRule type="colorScale" priority="4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42:B56">
    <cfRule type="colorScale" priority="5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I59:I73">
    <cfRule type="colorScale" priority="6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H59:H69">
    <cfRule type="colorScale" priority="7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C59:F73">
    <cfRule type="colorScale" priority="8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59:B73">
    <cfRule type="colorScale" priority="9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R59:R73">
    <cfRule type="colorScale" priority="10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Q59:Q69">
    <cfRule type="colorScale" priority="11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L59:P73">
    <cfRule type="colorScale" priority="12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K59:K73">
    <cfRule type="colorScale" priority="13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R59:R73">
    <cfRule type="colorScale" priority="14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Q59:Q69 K60:P73">
    <cfRule type="colorScale" priority="15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L59:P59 K60:P73">
    <cfRule type="colorScale" priority="16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K59:K73">
    <cfRule type="colorScale" priority="17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R25:R39">
    <cfRule type="colorScale" priority="18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Q25:Q35">
    <cfRule type="colorScale" priority="19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L25:P39">
    <cfRule type="colorScale" priority="20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K25:K39">
    <cfRule type="colorScale" priority="21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K40">
    <cfRule type="colorScale" priority="22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K57">
    <cfRule type="colorScale" priority="23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K23">
    <cfRule type="colorScale" priority="24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76">
    <cfRule type="colorScale" priority="25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I76:I90">
    <cfRule type="colorScale" priority="26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H76:H86 B76:F76">
    <cfRule type="colorScale" priority="27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I76:I90">
    <cfRule type="colorScale" priority="28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H76:H86 B76:F90">
    <cfRule type="colorScale" priority="29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H26:I39 B26:F39">
    <cfRule type="colorScale" priority="30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K42:R56">
    <cfRule type="colorScale" priority="31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H25:I25 I26:I39 B25:F25">
    <cfRule type="colorScale" priority="32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42:G56">
    <cfRule type="colorScale" priority="33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59:G73">
    <cfRule type="colorScale" priority="34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76">
    <cfRule type="colorScale" priority="35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76:G90">
    <cfRule type="colorScale" priority="36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26:G39">
    <cfRule type="colorScale" priority="37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25">
    <cfRule type="colorScale" priority="38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23">
    <cfRule type="colorScale" priority="39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40:I40">
    <cfRule type="colorScale" priority="40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57">
    <cfRule type="colorScale" priority="41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A144:A158">
    <cfRule type="colorScale" priority="42">
      <colorScale>
        <cfvo type="min" val="0"/>
        <cfvo type="num" val="1"/>
        <color rgb="FFFF0000"/>
        <color rgb="FF77BC65"/>
      </colorScale>
    </cfRule>
  </conditionalFormatting>
  <conditionalFormatting sqref="A144:A158">
    <cfRule type="colorScale" priority="43">
      <colorScale>
        <cfvo type="min" val="0"/>
        <cfvo type="num" val="1"/>
        <color rgb="FFFF0000"/>
        <color rgb="FF77BC65"/>
      </colorScale>
    </cfRule>
  </conditionalFormatting>
  <conditionalFormatting sqref="A144:A158">
    <cfRule type="colorScale" priority="44">
      <colorScale>
        <cfvo type="min" val="0"/>
        <cfvo type="num" val="1"/>
        <color rgb="FFFF0000"/>
        <color rgb="FF77BC65"/>
      </colorScale>
    </cfRule>
  </conditionalFormatting>
  <conditionalFormatting sqref="A144:A158">
    <cfRule type="colorScale" priority="45">
      <colorScale>
        <cfvo type="min" val="0"/>
        <cfvo type="num" val="1"/>
        <color rgb="FFFF0000"/>
        <color rgb="FF77BC65"/>
      </colorScale>
    </cfRule>
  </conditionalFormatting>
  <conditionalFormatting sqref="A144:A158">
    <cfRule type="colorScale" priority="46">
      <colorScale>
        <cfvo type="min" val="0"/>
        <cfvo type="num" val="1"/>
        <color rgb="FFFF0000"/>
        <color rgb="FF77BC65"/>
      </colorScale>
    </cfRule>
  </conditionalFormatting>
  <conditionalFormatting sqref="A144:A158">
    <cfRule type="colorScale" priority="47">
      <colorScale>
        <cfvo type="min" val="0"/>
        <cfvo type="num" val="1"/>
        <color rgb="FFFF0000"/>
        <color rgb="FF77BC65"/>
      </colorScale>
    </cfRule>
  </conditionalFormatting>
  <conditionalFormatting sqref="A144:A158">
    <cfRule type="colorScale" priority="48">
      <colorScale>
        <cfvo type="min" val="0"/>
        <cfvo type="num" val="1"/>
        <color rgb="FFFF0000"/>
        <color rgb="FF77BC65"/>
      </colorScale>
    </cfRule>
  </conditionalFormatting>
  <conditionalFormatting sqref="A99:H108">
    <cfRule type="colorScale" priority="49">
      <colorScale>
        <cfvo type="min" val="0"/>
        <cfvo type="num" val="1"/>
        <color rgb="FFFF0000"/>
        <color rgb="FF77BC65"/>
      </colorScale>
    </cfRule>
  </conditionalFormatting>
  <conditionalFormatting sqref="B93:H108">
    <cfRule type="colorScale" priority="50">
      <colorScale>
        <cfvo type="min" val="0"/>
        <cfvo type="max" val="0"/>
        <color rgb="FFFF0000"/>
        <color rgb="FF77BC65"/>
      </colorScale>
    </cfRule>
  </conditionalFormatting>
  <conditionalFormatting sqref="B116:H125">
    <cfRule type="colorScale" priority="51">
      <colorScale>
        <cfvo type="min" val="0"/>
        <cfvo type="num" val="1"/>
        <color rgb="FFFF0000"/>
        <color rgb="FF77BC65"/>
      </colorScale>
    </cfRule>
  </conditionalFormatting>
  <conditionalFormatting sqref="B110:H125">
    <cfRule type="colorScale" priority="52">
      <colorScale>
        <cfvo type="min" val="0"/>
        <cfvo type="max" val="0"/>
        <color rgb="FFFF0000"/>
        <color rgb="FF77BC65"/>
      </colorScale>
    </cfRule>
  </conditionalFormatting>
  <conditionalFormatting sqref="B133:H142">
    <cfRule type="colorScale" priority="53">
      <colorScale>
        <cfvo type="min" val="0"/>
        <cfvo type="num" val="1"/>
        <color rgb="FFFF0000"/>
        <color rgb="FF77BC65"/>
      </colorScale>
    </cfRule>
  </conditionalFormatting>
  <conditionalFormatting sqref="B127:H142">
    <cfRule type="colorScale" priority="54">
      <colorScale>
        <cfvo type="min" val="0"/>
        <cfvo type="max" val="0"/>
        <color rgb="FFFF0000"/>
        <color rgb="FF77BC65"/>
      </colorScale>
    </cfRule>
  </conditionalFormatting>
  <conditionalFormatting sqref="B150:H159">
    <cfRule type="colorScale" priority="55">
      <colorScale>
        <cfvo type="min" val="0"/>
        <cfvo type="num" val="1"/>
        <color rgb="FFFF0000"/>
        <color rgb="FF77BC65"/>
      </colorScale>
    </cfRule>
  </conditionalFormatting>
  <conditionalFormatting sqref="B144:H159">
    <cfRule type="colorScale" priority="56">
      <colorScale>
        <cfvo type="min" val="0"/>
        <cfvo type="max" val="0"/>
        <color rgb="FFFF0000"/>
        <color rgb="FF77BC65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0000"/>
    <pageSetUpPr fitToPage="false"/>
  </sheetPr>
  <dimension ref="A1:P50"/>
  <sheetViews>
    <sheetView showFormulas="false" showGridLines="true" showRowColHeaders="true" showZeros="true" rightToLeft="false" tabSelected="false" showOutlineSymbols="true" defaultGridColor="true" view="normal" topLeftCell="A46" colorId="64" zoomScale="55" zoomScaleNormal="55" zoomScalePageLayoutView="100" workbookViewId="0">
      <selection pane="topLeft" activeCell="J50" activeCellId="0" sqref="J50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B1" s="1" t="s">
        <v>81</v>
      </c>
      <c r="C1" s="1" t="s">
        <v>82</v>
      </c>
      <c r="D1" s="1" t="s">
        <v>83</v>
      </c>
      <c r="E1" s="1" t="s">
        <v>148</v>
      </c>
      <c r="F1" s="1" t="s">
        <v>149</v>
      </c>
      <c r="G1" s="1" t="s">
        <v>86</v>
      </c>
      <c r="H1" s="1" t="s">
        <v>87</v>
      </c>
      <c r="I1" s="1" t="s">
        <v>88</v>
      </c>
      <c r="J1" s="1" t="s">
        <v>150</v>
      </c>
    </row>
    <row r="2" customFormat="false" ht="12.8" hidden="false" customHeight="false" outlineLevel="0" collapsed="false">
      <c r="A2" s="1" t="s">
        <v>151</v>
      </c>
      <c r="B2" s="117" t="n">
        <v>-0.00592574137966784</v>
      </c>
      <c r="C2" s="117" t="n">
        <v>-0.00458202476889702</v>
      </c>
      <c r="D2" s="117" t="n">
        <v>0.00176562543395742</v>
      </c>
      <c r="E2" s="117" t="n">
        <v>0.0469542353370612</v>
      </c>
      <c r="F2" s="117" t="n">
        <v>-0.0361547100930437</v>
      </c>
      <c r="G2" s="117" t="n">
        <v>-0.0173087614396654</v>
      </c>
      <c r="H2" s="117" t="n">
        <v>-0.023569107528977</v>
      </c>
      <c r="I2" s="117" t="n">
        <v>-0.00908003171728566</v>
      </c>
      <c r="J2" s="117" t="n">
        <v>0.0111255148640055</v>
      </c>
    </row>
    <row r="3" customFormat="false" ht="12.8" hidden="false" customHeight="false" outlineLevel="0" collapsed="false">
      <c r="A3" s="1" t="s">
        <v>152</v>
      </c>
      <c r="B3" s="117" t="n">
        <v>-0.00200744777591733</v>
      </c>
      <c r="C3" s="117" t="n">
        <v>-0.00149836982159668</v>
      </c>
      <c r="D3" s="117" t="n">
        <v>-0.0331010632422106</v>
      </c>
      <c r="E3" s="117" t="n">
        <v>-0.00538761397229215</v>
      </c>
      <c r="F3" s="117" t="n">
        <v>-0.00910491027493876</v>
      </c>
      <c r="G3" s="117" t="n">
        <v>0.0250813688434479</v>
      </c>
      <c r="H3" s="117" t="n">
        <v>-0.0125736494118436</v>
      </c>
      <c r="I3" s="117" t="n">
        <v>-0.0016577129478581</v>
      </c>
      <c r="J3" s="117" t="n">
        <v>-0.0131873032788807</v>
      </c>
    </row>
    <row r="4" customFormat="false" ht="12.8" hidden="false" customHeight="false" outlineLevel="0" collapsed="false">
      <c r="A4" s="1" t="s">
        <v>153</v>
      </c>
      <c r="B4" s="117" t="n">
        <v>0.00166569067125832</v>
      </c>
      <c r="C4" s="117" t="n">
        <v>0.00101830770813705</v>
      </c>
      <c r="D4" s="117" t="n">
        <v>0.00993649201360158</v>
      </c>
      <c r="E4" s="117" t="n">
        <v>-0.034407349423196</v>
      </c>
      <c r="F4" s="117" t="n">
        <v>0.014027103561481</v>
      </c>
      <c r="G4" s="117" t="n">
        <v>0.00223654720493627</v>
      </c>
      <c r="H4" s="117" t="n">
        <v>0.0095817280003031</v>
      </c>
      <c r="I4" s="117" t="n">
        <v>0.00396551062584905</v>
      </c>
      <c r="J4" s="117" t="n">
        <v>-0.000367711717758512</v>
      </c>
    </row>
    <row r="5" customFormat="false" ht="12.8" hidden="false" customHeight="false" outlineLevel="0" collapsed="false">
      <c r="A5" s="1" t="s">
        <v>154</v>
      </c>
      <c r="B5" s="117" t="n">
        <v>0.00626749848432728</v>
      </c>
      <c r="C5" s="117" t="n">
        <v>0.00506208688235676</v>
      </c>
      <c r="D5" s="117" t="n">
        <v>0.0213989457946521</v>
      </c>
      <c r="E5" s="117" t="n">
        <v>-0.00715927194157318</v>
      </c>
      <c r="F5" s="117" t="n">
        <v>0.0312325168065013</v>
      </c>
      <c r="G5" s="117" t="n">
        <v>-0.0100091546087184</v>
      </c>
      <c r="H5" s="117" t="n">
        <v>0.0265610289405173</v>
      </c>
      <c r="I5" s="117" t="n">
        <v>0.00677223403929461</v>
      </c>
      <c r="J5" s="117" t="n">
        <v>0.00242950013263388</v>
      </c>
    </row>
    <row r="6" customFormat="false" ht="12.8" hidden="false" customHeight="false" outlineLevel="0" collapsed="false">
      <c r="B6" s="1" t="s">
        <v>117</v>
      </c>
      <c r="C6" s="1" t="s">
        <v>118</v>
      </c>
      <c r="D6" s="1" t="s">
        <v>155</v>
      </c>
      <c r="E6" s="1" t="s">
        <v>120</v>
      </c>
      <c r="F6" s="1" t="s">
        <v>121</v>
      </c>
      <c r="G6" s="1" t="s">
        <v>122</v>
      </c>
      <c r="H6" s="1" t="s">
        <v>156</v>
      </c>
      <c r="I6" s="1" t="s">
        <v>157</v>
      </c>
      <c r="J6" s="1" t="s">
        <v>158</v>
      </c>
      <c r="K6" s="1" t="s">
        <v>159</v>
      </c>
      <c r="L6" s="1" t="s">
        <v>127</v>
      </c>
      <c r="M6" s="1" t="s">
        <v>128</v>
      </c>
      <c r="N6" s="1" t="s">
        <v>160</v>
      </c>
      <c r="O6" s="1" t="s">
        <v>130</v>
      </c>
      <c r="P6" s="1" t="s">
        <v>131</v>
      </c>
    </row>
    <row r="7" customFormat="false" ht="12.8" hidden="false" customHeight="false" outlineLevel="0" collapsed="false">
      <c r="A7" s="1" t="s">
        <v>151</v>
      </c>
      <c r="B7" s="117" t="n">
        <v>-0.0116874992937901</v>
      </c>
      <c r="C7" s="117" t="n">
        <v>-0.0148021507253966</v>
      </c>
      <c r="D7" s="117" t="n">
        <v>-0.0190306272527836</v>
      </c>
      <c r="E7" s="117" t="n">
        <v>-0.0149273992158836</v>
      </c>
      <c r="F7" s="117" t="n">
        <v>-0.0170647897311675</v>
      </c>
      <c r="G7" s="117" t="n">
        <v>-0.00734350099956882</v>
      </c>
      <c r="H7" s="117" t="n">
        <v>-0.00742999244379483</v>
      </c>
      <c r="I7" s="117" t="n">
        <v>-0.0221316949878907</v>
      </c>
      <c r="J7" s="117" t="n">
        <v>-0.0364040029624639</v>
      </c>
      <c r="K7" s="117" t="n">
        <v>-0.0134862005298291</v>
      </c>
      <c r="L7" s="117" t="n">
        <v>0.0142225566448165</v>
      </c>
      <c r="M7" s="117" t="n">
        <v>-0.0342938418430518</v>
      </c>
      <c r="N7" s="117" t="n">
        <v>-0.00925263911229202</v>
      </c>
      <c r="O7" s="117" t="n">
        <v>-0.0393896760207793</v>
      </c>
      <c r="P7" s="117" t="n">
        <v>-0.0181672729048727</v>
      </c>
    </row>
    <row r="8" customFormat="false" ht="12.8" hidden="false" customHeight="false" outlineLevel="0" collapsed="false">
      <c r="A8" s="1" t="s">
        <v>152</v>
      </c>
      <c r="B8" s="117" t="n">
        <v>0.00369097743315627</v>
      </c>
      <c r="C8" s="117" t="n">
        <v>-0.000400306473546275</v>
      </c>
      <c r="D8" s="117" t="n">
        <v>0.00132884773981534</v>
      </c>
      <c r="E8" s="117" t="n">
        <v>0.00248386962049607</v>
      </c>
      <c r="F8" s="117" t="n">
        <v>0.012995394330485</v>
      </c>
      <c r="G8" s="117" t="n">
        <v>0.000865138354436468</v>
      </c>
      <c r="H8" s="117" t="n">
        <v>0.00485768738489356</v>
      </c>
      <c r="I8" s="117" t="n">
        <v>0.0156862460971746</v>
      </c>
      <c r="J8" s="117" t="n">
        <v>-0.00523935659480168</v>
      </c>
      <c r="K8" s="117" t="n">
        <v>0.0200367815495629</v>
      </c>
      <c r="L8" s="117" t="n">
        <v>0.00394183650917845</v>
      </c>
      <c r="M8" s="117" t="n">
        <v>0.0135730978882993</v>
      </c>
      <c r="N8" s="117" t="n">
        <v>-0.00605612803716227</v>
      </c>
      <c r="O8" s="117" t="n">
        <v>0.028581587271131</v>
      </c>
      <c r="P8" s="117" t="n">
        <v>0.00696953377706766</v>
      </c>
    </row>
    <row r="9" customFormat="false" ht="12.8" hidden="false" customHeight="false" outlineLevel="0" collapsed="false">
      <c r="A9" s="1" t="s">
        <v>153</v>
      </c>
      <c r="B9" s="117" t="n">
        <v>-0.0269595160884075</v>
      </c>
      <c r="C9" s="117" t="n">
        <v>-0.0303663809087871</v>
      </c>
      <c r="D9" s="117" t="n">
        <v>-0.0414178903525504</v>
      </c>
      <c r="E9" s="117" t="n">
        <v>-0.0188453825634938</v>
      </c>
      <c r="F9" s="117" t="n">
        <v>-0.027532497855113</v>
      </c>
      <c r="G9" s="117" t="n">
        <v>-0.0355524770135394</v>
      </c>
      <c r="H9" s="117" t="n">
        <v>-0.0334270062528088</v>
      </c>
      <c r="I9" s="117" t="n">
        <v>-0.00870875318662057</v>
      </c>
      <c r="J9" s="117" t="n">
        <v>0.00446923724252657</v>
      </c>
      <c r="K9" s="117" t="n">
        <v>-0.017718407704298</v>
      </c>
      <c r="L9" s="117" t="n">
        <v>-0.0419187121577651</v>
      </c>
      <c r="M9" s="117" t="n">
        <v>0.00682821037556236</v>
      </c>
      <c r="N9" s="117" t="n">
        <v>0.0028306153264217</v>
      </c>
      <c r="O9" s="117" t="n">
        <v>-0.0349367956739413</v>
      </c>
      <c r="P9" s="117" t="n">
        <v>-0.00181542027917025</v>
      </c>
    </row>
    <row r="10" customFormat="false" ht="12.8" hidden="false" customHeight="false" outlineLevel="0" collapsed="false">
      <c r="A10" s="1" t="s">
        <v>154</v>
      </c>
      <c r="B10" s="117" t="n">
        <v>0.0349560379490415</v>
      </c>
      <c r="C10" s="117" t="n">
        <v>0.0455688381077298</v>
      </c>
      <c r="D10" s="117" t="n">
        <v>0.0591196698655191</v>
      </c>
      <c r="E10" s="117" t="n">
        <v>0.031288912158881</v>
      </c>
      <c r="F10" s="117" t="n">
        <v>0.0316018932557955</v>
      </c>
      <c r="G10" s="117" t="n">
        <v>0.0420308396586715</v>
      </c>
      <c r="H10" s="117" t="n">
        <v>0.0359993113117098</v>
      </c>
      <c r="I10" s="117" t="n">
        <v>0.0151542020773364</v>
      </c>
      <c r="J10" s="117" t="n">
        <v>0.0371741223147387</v>
      </c>
      <c r="K10" s="117" t="n">
        <v>0.0111678266845644</v>
      </c>
      <c r="L10" s="117" t="n">
        <v>0.0237543190037698</v>
      </c>
      <c r="M10" s="117" t="n">
        <v>0.0138925335791904</v>
      </c>
      <c r="N10" s="117" t="n">
        <v>0.0124781518230319</v>
      </c>
      <c r="O10" s="117" t="n">
        <v>0.0457448844235894</v>
      </c>
      <c r="P10" s="117" t="n">
        <v>0.0130131594069755</v>
      </c>
    </row>
    <row r="32" customFormat="false" ht="12.8" hidden="false" customHeight="false" outlineLevel="0" collapsed="false">
      <c r="A32" s="16" t="s">
        <v>161</v>
      </c>
      <c r="B32" s="16"/>
      <c r="C32" s="16"/>
      <c r="D32" s="16"/>
      <c r="E32" s="16"/>
      <c r="F32" s="16"/>
      <c r="G32" s="16"/>
      <c r="H32" s="16"/>
      <c r="I32" s="16"/>
      <c r="J32" s="16"/>
    </row>
    <row r="33" customFormat="false" ht="12.8" hidden="false" customHeight="false" outlineLevel="0" collapsed="false">
      <c r="B33" s="1" t="s">
        <v>81</v>
      </c>
      <c r="C33" s="1" t="s">
        <v>82</v>
      </c>
      <c r="D33" s="1" t="s">
        <v>83</v>
      </c>
      <c r="E33" s="1" t="s">
        <v>162</v>
      </c>
      <c r="F33" s="1" t="s">
        <v>86</v>
      </c>
      <c r="G33" s="1" t="s">
        <v>163</v>
      </c>
      <c r="H33" s="1" t="s">
        <v>164</v>
      </c>
      <c r="I33" s="1" t="s">
        <v>150</v>
      </c>
      <c r="J33" s="1" t="s">
        <v>116</v>
      </c>
    </row>
    <row r="34" customFormat="false" ht="12.8" hidden="false" customHeight="false" outlineLevel="0" collapsed="false">
      <c r="A34" s="1" t="s">
        <v>151</v>
      </c>
      <c r="B34" s="117" t="n">
        <v>-0.00787834383428221</v>
      </c>
      <c r="C34" s="117" t="n">
        <v>-0.00611204602735205</v>
      </c>
      <c r="D34" s="117" t="n">
        <v>-0.00127194422287369</v>
      </c>
      <c r="E34" s="117" t="n">
        <v>0.0550568137927914</v>
      </c>
      <c r="F34" s="117" t="n">
        <v>-0.0220662560508684</v>
      </c>
      <c r="G34" s="117" t="n">
        <v>-0.0225323666936008</v>
      </c>
      <c r="H34" s="117" t="n">
        <v>-0.0111221073355254</v>
      </c>
      <c r="I34" s="117" t="n">
        <v>0.0155808633570613</v>
      </c>
      <c r="J34" s="117" t="n">
        <v>0.0550568137927914</v>
      </c>
    </row>
    <row r="35" customFormat="false" ht="12.8" hidden="false" customHeight="false" outlineLevel="0" collapsed="false">
      <c r="A35" s="1" t="s">
        <v>152</v>
      </c>
      <c r="B35" s="117" t="n">
        <v>0.00163980297972044</v>
      </c>
      <c r="C35" s="117" t="n">
        <v>0.00210971017526163</v>
      </c>
      <c r="D35" s="117" t="n">
        <v>-0.0291550888227095</v>
      </c>
      <c r="E35" s="117" t="n">
        <v>0.00771519937372001</v>
      </c>
      <c r="F35" s="117" t="n">
        <v>0.0240236987491611</v>
      </c>
      <c r="G35" s="117" t="n">
        <v>-0.00517902278320359</v>
      </c>
      <c r="H35" s="117" t="n">
        <v>0.00138695849348747</v>
      </c>
      <c r="I35" s="117" t="n">
        <v>-0.00663153185805276</v>
      </c>
      <c r="J35" s="117" t="n">
        <v>0.00771519937372001</v>
      </c>
    </row>
    <row r="36" customFormat="false" ht="12.8" hidden="false" customHeight="false" outlineLevel="0" collapsed="false">
      <c r="A36" s="1" t="s">
        <v>165</v>
      </c>
      <c r="B36" s="117" t="n">
        <v>0.0273562461339791</v>
      </c>
      <c r="C36" s="117" t="n">
        <v>0.0251841491262202</v>
      </c>
      <c r="D36" s="117" t="n">
        <v>0.0407016922276267</v>
      </c>
      <c r="E36" s="117" t="n">
        <v>-0.0277507161147963</v>
      </c>
      <c r="F36" s="117" t="n">
        <v>0.0225413176376804</v>
      </c>
      <c r="G36" s="117" t="n">
        <v>0.0233975815826644</v>
      </c>
      <c r="H36" s="117" t="n">
        <v>0.0274734614674771</v>
      </c>
      <c r="I36" s="117" t="n">
        <v>-0.00535866624231307</v>
      </c>
      <c r="J36" s="117" t="n">
        <v>-0.0277507161147963</v>
      </c>
    </row>
    <row r="37" customFormat="false" ht="12.8" hidden="false" customHeight="false" outlineLevel="0" collapsed="false">
      <c r="A37" s="1" t="s">
        <v>153</v>
      </c>
      <c r="B37" s="117" t="n">
        <v>-0.0172392971187438</v>
      </c>
      <c r="C37" s="117" t="n">
        <v>-0.0167827576346331</v>
      </c>
      <c r="D37" s="117" t="n">
        <v>-0.0161103304247485</v>
      </c>
      <c r="E37" s="117" t="n">
        <v>-0.0301273508437936</v>
      </c>
      <c r="F37" s="117" t="n">
        <v>-0.0116038414784982</v>
      </c>
      <c r="G37" s="117" t="n">
        <v>-0.00420498595512964</v>
      </c>
      <c r="H37" s="117" t="n">
        <v>-0.0144784253386581</v>
      </c>
      <c r="I37" s="117" t="n">
        <v>-0.000897221204523513</v>
      </c>
      <c r="J37" s="117" t="n">
        <v>-0.0301273508437936</v>
      </c>
    </row>
    <row r="38" customFormat="false" ht="12.8" hidden="false" customHeight="false" outlineLevel="0" collapsed="false">
      <c r="A38" s="1" t="s">
        <v>154</v>
      </c>
      <c r="B38" s="117" t="n">
        <v>-0.00387840816066154</v>
      </c>
      <c r="C38" s="117" t="n">
        <v>-0.00439905563949661</v>
      </c>
      <c r="D38" s="117" t="n">
        <v>0.00583567124270501</v>
      </c>
      <c r="E38" s="117" t="n">
        <v>-0.00489394620792139</v>
      </c>
      <c r="F38" s="117" t="n">
        <v>-0.0128949188574747</v>
      </c>
      <c r="G38" s="117" t="n">
        <v>0.00851879384926946</v>
      </c>
      <c r="H38" s="117" t="n">
        <v>-0.00325988728678062</v>
      </c>
      <c r="I38" s="117" t="n">
        <v>-0.00269344405217176</v>
      </c>
      <c r="J38" s="117" t="n">
        <v>-0.00489394620792139</v>
      </c>
    </row>
    <row r="39" customFormat="false" ht="12.8" hidden="false" customHeight="false" outlineLevel="0" collapsed="false">
      <c r="A39" s="16" t="s">
        <v>166</v>
      </c>
      <c r="B39" s="16"/>
      <c r="C39" s="16"/>
      <c r="D39" s="16"/>
      <c r="E39" s="16"/>
      <c r="F39" s="16"/>
      <c r="G39" s="16"/>
      <c r="H39" s="16"/>
      <c r="I39" s="16"/>
      <c r="J39" s="16"/>
    </row>
    <row r="40" customFormat="false" ht="12.8" hidden="false" customHeight="false" outlineLevel="0" collapsed="false">
      <c r="B40" s="1" t="s">
        <v>81</v>
      </c>
      <c r="C40" s="1" t="s">
        <v>82</v>
      </c>
      <c r="D40" s="1" t="s">
        <v>83</v>
      </c>
      <c r="E40" s="1" t="s">
        <v>162</v>
      </c>
      <c r="F40" s="1" t="s">
        <v>86</v>
      </c>
      <c r="G40" s="1" t="s">
        <v>163</v>
      </c>
      <c r="H40" s="1" t="s">
        <v>164</v>
      </c>
      <c r="I40" s="1" t="s">
        <v>150</v>
      </c>
      <c r="J40" s="1" t="s">
        <v>116</v>
      </c>
    </row>
    <row r="41" customFormat="false" ht="12.8" hidden="false" customHeight="false" outlineLevel="0" collapsed="false">
      <c r="A41" s="1" t="s">
        <v>151</v>
      </c>
      <c r="B41" s="117" t="n">
        <v>0.0315367284507099</v>
      </c>
      <c r="C41" s="117" t="n">
        <v>0.0304865224068652</v>
      </c>
      <c r="D41" s="117" t="n">
        <v>0.0401680826667853</v>
      </c>
      <c r="E41" s="117" t="n">
        <v>0.0867649312516965</v>
      </c>
      <c r="F41" s="117" t="n">
        <v>0.00372317676758716</v>
      </c>
      <c r="G41" s="117" t="n">
        <v>0.015287283883975</v>
      </c>
      <c r="H41" s="117" t="n">
        <v>0.0245326708776581</v>
      </c>
      <c r="I41" s="117" t="n">
        <v>0.0321562359724622</v>
      </c>
      <c r="J41" s="117" t="n">
        <v>0.0204420904521192</v>
      </c>
    </row>
    <row r="42" customFormat="false" ht="12.8" hidden="false" customHeight="false" outlineLevel="0" collapsed="false">
      <c r="A42" s="1" t="s">
        <v>152</v>
      </c>
      <c r="B42" s="117" t="n">
        <v>0.0118419173727639</v>
      </c>
      <c r="C42" s="117" t="n">
        <v>0.0128226909379454</v>
      </c>
      <c r="D42" s="117" t="n">
        <v>-0.0104015335182743</v>
      </c>
      <c r="E42" s="117" t="n">
        <v>0.00462665969955878</v>
      </c>
      <c r="F42" s="117" t="n">
        <v>0.0363521553215805</v>
      </c>
      <c r="G42" s="117" t="n">
        <v>0.0029239128119728</v>
      </c>
      <c r="H42" s="117" t="n">
        <v>0.0113500555085149</v>
      </c>
      <c r="I42" s="117" t="n">
        <v>-0.00801964724737569</v>
      </c>
      <c r="J42" s="117" t="n">
        <v>-0.000877141752498201</v>
      </c>
    </row>
    <row r="43" customFormat="false" ht="12.8" hidden="false" customHeight="false" outlineLevel="0" collapsed="false">
      <c r="A43" s="1" t="s">
        <v>165</v>
      </c>
      <c r="B43" s="117" t="n">
        <v>0.0226447671002726</v>
      </c>
      <c r="C43" s="117" t="n">
        <v>0.0208960606516576</v>
      </c>
      <c r="D43" s="117" t="n">
        <v>0.0308794642938772</v>
      </c>
      <c r="E43" s="117" t="n">
        <v>-0.0449058419376909</v>
      </c>
      <c r="F43" s="117" t="n">
        <v>0.0245379806606389</v>
      </c>
      <c r="G43" s="117" t="n">
        <v>0.0184321226486347</v>
      </c>
      <c r="H43" s="117" t="n">
        <v>0.0254237635840968</v>
      </c>
      <c r="I43" s="117" t="n">
        <v>-0.00541616987098204</v>
      </c>
      <c r="J43" s="117" t="n">
        <v>0.026051933674256</v>
      </c>
    </row>
    <row r="44" customFormat="false" ht="12.8" hidden="false" customHeight="false" outlineLevel="0" collapsed="false">
      <c r="A44" s="1" t="s">
        <v>153</v>
      </c>
      <c r="B44" s="117" t="n">
        <v>-0.0393758275822225</v>
      </c>
      <c r="C44" s="117" t="n">
        <v>-0.0378164566317354</v>
      </c>
      <c r="D44" s="117" t="n">
        <v>-0.0416719914710488</v>
      </c>
      <c r="E44" s="117" t="n">
        <v>-0.0247260481335145</v>
      </c>
      <c r="F44" s="117" t="n">
        <v>-0.0300558613472017</v>
      </c>
      <c r="G44" s="117" t="n">
        <v>-0.0261086942383015</v>
      </c>
      <c r="H44" s="117" t="n">
        <v>-0.0364565753500725</v>
      </c>
      <c r="I44" s="117" t="n">
        <v>-0.00330004356271041</v>
      </c>
      <c r="J44" s="117" t="n">
        <v>-0.0374864451250192</v>
      </c>
    </row>
    <row r="45" customFormat="false" ht="12.8" hidden="false" customHeight="false" outlineLevel="0" collapsed="false">
      <c r="A45" s="1" t="s">
        <v>154</v>
      </c>
      <c r="B45" s="117" t="n">
        <v>-0.0266475853415245</v>
      </c>
      <c r="C45" s="117" t="n">
        <v>-0.0263888173647329</v>
      </c>
      <c r="D45" s="117" t="n">
        <v>-0.018974021971339</v>
      </c>
      <c r="E45" s="117" t="n">
        <v>-0.021759700880049</v>
      </c>
      <c r="F45" s="117" t="n">
        <v>-0.0345574514026044</v>
      </c>
      <c r="G45" s="117" t="n">
        <v>-0.0105346251062806</v>
      </c>
      <c r="H45" s="117" t="n">
        <v>-0.0248499146201968</v>
      </c>
      <c r="I45" s="117" t="n">
        <v>-0.0154203752913942</v>
      </c>
      <c r="J45" s="117" t="n">
        <v>-0.0081304372488582</v>
      </c>
    </row>
    <row r="46" customFormat="false" ht="12.8" hidden="false" customHeight="false" outlineLevel="0" collapsed="false">
      <c r="A46" s="16" t="s">
        <v>167</v>
      </c>
      <c r="B46" s="16"/>
      <c r="C46" s="16"/>
      <c r="D46" s="16"/>
      <c r="E46" s="16"/>
      <c r="F46" s="16"/>
      <c r="G46" s="16"/>
      <c r="H46" s="16"/>
      <c r="I46" s="16"/>
      <c r="J46" s="16"/>
    </row>
    <row r="47" customFormat="false" ht="12.8" hidden="false" customHeight="false" outlineLevel="0" collapsed="false">
      <c r="B47" s="1" t="s">
        <v>81</v>
      </c>
      <c r="C47" s="1" t="s">
        <v>82</v>
      </c>
      <c r="D47" s="1" t="s">
        <v>83</v>
      </c>
      <c r="E47" s="1" t="s">
        <v>162</v>
      </c>
      <c r="F47" s="1" t="s">
        <v>86</v>
      </c>
      <c r="G47" s="1" t="s">
        <v>163</v>
      </c>
      <c r="H47" s="1" t="s">
        <v>164</v>
      </c>
      <c r="I47" s="1" t="s">
        <v>150</v>
      </c>
      <c r="J47" s="1" t="s">
        <v>116</v>
      </c>
    </row>
    <row r="48" customFormat="false" ht="12.8" hidden="false" customHeight="false" outlineLevel="0" collapsed="false">
      <c r="A48" s="1" t="s">
        <v>168</v>
      </c>
      <c r="B48" s="117" t="n">
        <f aca="false">B36</f>
        <v>0.0273562461339791</v>
      </c>
      <c r="C48" s="117" t="n">
        <f aca="false">C36</f>
        <v>0.0251841491262202</v>
      </c>
      <c r="D48" s="117" t="n">
        <f aca="false">D36</f>
        <v>0.0407016922276267</v>
      </c>
      <c r="E48" s="117" t="n">
        <f aca="false">E36</f>
        <v>-0.0277507161147963</v>
      </c>
      <c r="F48" s="117" t="n">
        <f aca="false">F36</f>
        <v>0.0225413176376804</v>
      </c>
      <c r="G48" s="117" t="n">
        <f aca="false">G36</f>
        <v>0.0233975815826644</v>
      </c>
      <c r="H48" s="117" t="n">
        <f aca="false">H36</f>
        <v>0.0274734614674771</v>
      </c>
      <c r="I48" s="117" t="n">
        <f aca="false">I36</f>
        <v>-0.00535866624231307</v>
      </c>
      <c r="J48" s="117" t="n">
        <f aca="false">J36</f>
        <v>-0.0277507161147963</v>
      </c>
    </row>
    <row r="49" customFormat="false" ht="12.8" hidden="false" customHeight="false" outlineLevel="0" collapsed="false">
      <c r="A49" s="1" t="s">
        <v>169</v>
      </c>
      <c r="B49" s="117" t="n">
        <f aca="false">B43</f>
        <v>0.0226447671002726</v>
      </c>
      <c r="C49" s="117" t="n">
        <f aca="false">C43</f>
        <v>0.0208960606516576</v>
      </c>
      <c r="D49" s="117" t="n">
        <f aca="false">D43</f>
        <v>0.0308794642938772</v>
      </c>
      <c r="E49" s="117" t="n">
        <f aca="false">E43</f>
        <v>-0.0449058419376909</v>
      </c>
      <c r="F49" s="117" t="n">
        <f aca="false">F43</f>
        <v>0.0245379806606389</v>
      </c>
      <c r="G49" s="117" t="n">
        <f aca="false">G43</f>
        <v>0.0184321226486347</v>
      </c>
      <c r="H49" s="117" t="n">
        <f aca="false">H43</f>
        <v>0.0254237635840968</v>
      </c>
      <c r="I49" s="117" t="n">
        <f aca="false">I43</f>
        <v>-0.00541616987098204</v>
      </c>
      <c r="J49" s="117" t="n">
        <f aca="false">J43</f>
        <v>0.026051933674256</v>
      </c>
    </row>
    <row r="50" customFormat="false" ht="12.8" hidden="false" customHeight="false" outlineLevel="0" collapsed="false">
      <c r="A50" s="1" t="s">
        <v>170</v>
      </c>
      <c r="B50" s="117" t="n">
        <f aca="false">IF(B48&gt;0,-B48+B49,B48-B49)</f>
        <v>-0.0047114790337065</v>
      </c>
      <c r="C50" s="117" t="n">
        <f aca="false">IF(C48&gt;0,-C48+C49,C48-C49)</f>
        <v>-0.0042880884745626</v>
      </c>
      <c r="D50" s="117" t="n">
        <f aca="false">IF(D48&gt;0,-D48+D49,D48-D49)</f>
        <v>-0.0098222279337495</v>
      </c>
      <c r="E50" s="117" t="n">
        <f aca="false">-E48+E49</f>
        <v>-0.0171551258228946</v>
      </c>
      <c r="F50" s="117" t="n">
        <f aca="false">-F48+F49</f>
        <v>0.0019966630229585</v>
      </c>
      <c r="G50" s="117" t="n">
        <f aca="false">IF(G48&gt;0,-G48+G49,G48-G49)</f>
        <v>-0.0049654589340297</v>
      </c>
      <c r="H50" s="117" t="n">
        <f aca="false">IF(H48&gt;0,-H48+H49,H48-H49)</f>
        <v>-0.00204969788338028</v>
      </c>
      <c r="I50" s="117" t="n">
        <f aca="false">IF(I48&gt;0,-I48+I49,I48-I49)</f>
        <v>5.75036286689697E-005</v>
      </c>
      <c r="J50" s="117" t="n">
        <f aca="false">ABS(IF(J48&gt;0,-J48+J49,J48-J49))</f>
        <v>0.0538026497890523</v>
      </c>
    </row>
  </sheetData>
  <mergeCells count="3">
    <mergeCell ref="A32:J32"/>
    <mergeCell ref="A39:J39"/>
    <mergeCell ref="A46:J46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00"/>
    <pageSetUpPr fitToPage="false"/>
  </sheetPr>
  <dimension ref="A1:CK65"/>
  <sheetViews>
    <sheetView showFormulas="false" showGridLines="true" showRowColHeaders="true" showZeros="true" rightToLeft="false" tabSelected="false" showOutlineSymbols="true" defaultGridColor="true" view="normal" topLeftCell="AH7" colorId="64" zoomScale="55" zoomScaleNormal="55" zoomScalePageLayoutView="100" workbookViewId="0">
      <selection pane="topLeft" activeCell="AU28" activeCellId="0" sqref="AU2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3"/>
    <col collapsed="false" customWidth="true" hidden="false" outlineLevel="0" max="7" min="7" style="1" width="12.88"/>
    <col collapsed="false" customWidth="true" hidden="false" outlineLevel="0" max="13" min="13" style="1" width="12.88"/>
  </cols>
  <sheetData>
    <row r="1" customFormat="false" ht="12.8" hidden="false" customHeight="false" outlineLevel="0" collapsed="false">
      <c r="A1" s="1" t="s">
        <v>81</v>
      </c>
      <c r="B1" s="1" t="s">
        <v>171</v>
      </c>
      <c r="C1" s="1" t="s">
        <v>172</v>
      </c>
      <c r="D1" s="23" t="s">
        <v>173</v>
      </c>
      <c r="E1" s="23" t="s">
        <v>174</v>
      </c>
      <c r="G1" s="1" t="s">
        <v>82</v>
      </c>
      <c r="H1" s="1" t="s">
        <v>171</v>
      </c>
      <c r="I1" s="1" t="s">
        <v>172</v>
      </c>
      <c r="J1" s="23" t="s">
        <v>173</v>
      </c>
      <c r="K1" s="23" t="s">
        <v>174</v>
      </c>
      <c r="M1" s="1" t="s">
        <v>83</v>
      </c>
      <c r="N1" s="1" t="s">
        <v>171</v>
      </c>
      <c r="O1" s="1" t="s">
        <v>172</v>
      </c>
      <c r="P1" s="23" t="s">
        <v>173</v>
      </c>
      <c r="Q1" s="23" t="s">
        <v>174</v>
      </c>
      <c r="S1" s="1" t="s">
        <v>148</v>
      </c>
      <c r="T1" s="1" t="s">
        <v>171</v>
      </c>
      <c r="U1" s="1" t="s">
        <v>172</v>
      </c>
      <c r="V1" s="23" t="s">
        <v>173</v>
      </c>
      <c r="W1" s="23" t="s">
        <v>174</v>
      </c>
      <c r="Y1" s="1" t="s">
        <v>149</v>
      </c>
      <c r="Z1" s="1" t="s">
        <v>171</v>
      </c>
      <c r="AA1" s="1" t="s">
        <v>172</v>
      </c>
      <c r="AB1" s="23" t="s">
        <v>173</v>
      </c>
      <c r="AC1" s="23" t="s">
        <v>174</v>
      </c>
      <c r="AE1" s="1" t="s">
        <v>86</v>
      </c>
      <c r="AF1" s="1" t="s">
        <v>171</v>
      </c>
      <c r="AG1" s="1" t="s">
        <v>172</v>
      </c>
      <c r="AH1" s="23" t="s">
        <v>173</v>
      </c>
      <c r="AI1" s="23" t="s">
        <v>174</v>
      </c>
      <c r="AK1" s="1" t="s">
        <v>87</v>
      </c>
      <c r="AL1" s="1" t="s">
        <v>171</v>
      </c>
      <c r="AM1" s="1" t="s">
        <v>172</v>
      </c>
      <c r="AN1" s="23" t="s">
        <v>173</v>
      </c>
      <c r="AO1" s="23" t="s">
        <v>174</v>
      </c>
      <c r="AQ1" s="1" t="s">
        <v>88</v>
      </c>
      <c r="AR1" s="1" t="s">
        <v>171</v>
      </c>
      <c r="AS1" s="1" t="s">
        <v>172</v>
      </c>
      <c r="AT1" s="23" t="s">
        <v>173</v>
      </c>
      <c r="AU1" s="23" t="s">
        <v>174</v>
      </c>
      <c r="AW1" s="1" t="s">
        <v>150</v>
      </c>
      <c r="AX1" s="1" t="s">
        <v>171</v>
      </c>
      <c r="AY1" s="1" t="s">
        <v>172</v>
      </c>
      <c r="AZ1" s="23" t="s">
        <v>173</v>
      </c>
      <c r="BA1" s="23" t="s">
        <v>174</v>
      </c>
    </row>
    <row r="2" customFormat="false" ht="12.8" hidden="false" customHeight="false" outlineLevel="0" collapsed="false">
      <c r="A2" s="1" t="s">
        <v>78</v>
      </c>
      <c r="B2" s="53" t="n">
        <v>1007.49769856477</v>
      </c>
      <c r="C2" s="53"/>
      <c r="D2" s="53"/>
      <c r="E2" s="53" t="n">
        <f aca="false">$C$30*B2</f>
        <v>1005.81951904696</v>
      </c>
      <c r="F2" s="53"/>
      <c r="G2" s="53" t="s">
        <v>78</v>
      </c>
      <c r="H2" s="53" t="n">
        <v>1007.5505004377</v>
      </c>
      <c r="I2" s="53"/>
      <c r="J2" s="53"/>
      <c r="K2" s="53" t="n">
        <f aca="false">$C$30*H2</f>
        <v>1005.8722329683</v>
      </c>
      <c r="L2" s="53"/>
      <c r="M2" s="53" t="s">
        <v>78</v>
      </c>
      <c r="N2" s="53" t="n">
        <v>1018.39909504945</v>
      </c>
      <c r="O2" s="53"/>
      <c r="P2" s="53"/>
      <c r="Q2" s="53" t="n">
        <f aca="false">$C$30*N2</f>
        <v>1016.70275717721</v>
      </c>
      <c r="R2" s="53"/>
      <c r="S2" s="53" t="s">
        <v>78</v>
      </c>
      <c r="T2" s="53" t="n">
        <v>991.97300854958</v>
      </c>
      <c r="U2" s="53"/>
      <c r="V2" s="53"/>
      <c r="W2" s="53" t="n">
        <f aca="false">$C$30*T2</f>
        <v>990.320688363099</v>
      </c>
      <c r="X2" s="53"/>
      <c r="Y2" s="53" t="s">
        <v>78</v>
      </c>
      <c r="Z2" s="53" t="n">
        <v>1043.08020190526</v>
      </c>
      <c r="AA2" s="53"/>
      <c r="AB2" s="53"/>
      <c r="AC2" s="53" t="n">
        <f aca="false">$C$30*Z2</f>
        <v>1041.34275294357</v>
      </c>
      <c r="AD2" s="53"/>
      <c r="AE2" s="53" t="s">
        <v>78</v>
      </c>
      <c r="AF2" s="53" t="n">
        <v>1001.33283078723</v>
      </c>
      <c r="AG2" s="53"/>
      <c r="AH2" s="53"/>
      <c r="AI2" s="53" t="n">
        <f aca="false">$C$30*AF2</f>
        <v>999.664920032163</v>
      </c>
      <c r="AJ2" s="53"/>
      <c r="AK2" s="53" t="s">
        <v>78</v>
      </c>
      <c r="AL2" s="53" t="n">
        <v>1030.9030272234</v>
      </c>
      <c r="AM2" s="53"/>
      <c r="AN2" s="53"/>
      <c r="AO2" s="53" t="n">
        <f aca="false">$C$30*AL2</f>
        <v>1029.18586166798</v>
      </c>
      <c r="AP2" s="53"/>
      <c r="AQ2" s="53" t="s">
        <v>78</v>
      </c>
      <c r="AR2" s="1" t="n">
        <v>1009.53421052523</v>
      </c>
      <c r="AS2" s="53"/>
      <c r="AT2" s="53"/>
      <c r="AU2" s="53" t="n">
        <f aca="false">$C$30*AR2</f>
        <v>1007.85263880844</v>
      </c>
      <c r="AV2" s="53"/>
      <c r="AW2" s="53" t="s">
        <v>78</v>
      </c>
      <c r="AX2" s="53" t="n">
        <v>1026.8993497</v>
      </c>
      <c r="AY2" s="53"/>
      <c r="AZ2" s="53"/>
      <c r="BA2" s="53" t="n">
        <f aca="false">$C$30*AX2</f>
        <v>1025.18885303288</v>
      </c>
    </row>
    <row r="3" customFormat="false" ht="12.8" hidden="false" customHeight="false" outlineLevel="0" collapsed="false">
      <c r="A3" s="156" t="s">
        <v>77</v>
      </c>
      <c r="B3" s="157" t="n">
        <v>1023.46907751266</v>
      </c>
      <c r="C3" s="53"/>
      <c r="D3" s="53"/>
      <c r="E3" s="53" t="n">
        <f aca="false">$C$31*B3</f>
        <v>1017.05448662059</v>
      </c>
      <c r="F3" s="53"/>
      <c r="G3" s="157" t="s">
        <v>77</v>
      </c>
      <c r="H3" s="157" t="n">
        <v>1023.37286583693</v>
      </c>
      <c r="I3" s="53"/>
      <c r="J3" s="53"/>
      <c r="K3" s="53" t="n">
        <f aca="false">$C$31*H3</f>
        <v>1016.9588779514</v>
      </c>
      <c r="L3" s="53"/>
      <c r="M3" s="157" t="s">
        <v>77</v>
      </c>
      <c r="N3" s="157" t="n">
        <v>1043.44597520819</v>
      </c>
      <c r="O3" s="53"/>
      <c r="P3" s="53"/>
      <c r="Q3" s="53" t="n">
        <f aca="false">$C$31*N3</f>
        <v>1036.9061791401</v>
      </c>
      <c r="R3" s="53"/>
      <c r="S3" s="157" t="s">
        <v>77</v>
      </c>
      <c r="T3" s="157" t="n">
        <v>968.504172137741</v>
      </c>
      <c r="U3" s="53"/>
      <c r="V3" s="53"/>
      <c r="W3" s="53" t="n">
        <f aca="false">$C$31*T3</f>
        <v>962.434073706803</v>
      </c>
      <c r="X3" s="53"/>
      <c r="Y3" s="157" t="s">
        <v>77</v>
      </c>
      <c r="Z3" s="157" t="n">
        <v>1021.7719939654</v>
      </c>
      <c r="AA3" s="53"/>
      <c r="AB3" s="53"/>
      <c r="AC3" s="53" t="n">
        <f aca="false">$C$31*Z3</f>
        <v>1015.36803954189</v>
      </c>
      <c r="AD3" s="53"/>
      <c r="AE3" s="157" t="s">
        <v>77</v>
      </c>
      <c r="AF3" s="157" t="n">
        <v>1009.15699410474</v>
      </c>
      <c r="AG3" s="53"/>
      <c r="AH3" s="53"/>
      <c r="AI3" s="53" t="n">
        <f aca="false">$C$31*AF3</f>
        <v>1002.83210417374</v>
      </c>
      <c r="AJ3" s="53"/>
      <c r="AK3" s="157" t="s">
        <v>77</v>
      </c>
      <c r="AL3" s="157" t="n">
        <v>1013.07435767144</v>
      </c>
      <c r="AM3" s="53"/>
      <c r="AN3" s="53"/>
      <c r="AO3" s="53" t="n">
        <f aca="false">$C$31*AL3</f>
        <v>1006.72491567022</v>
      </c>
      <c r="AP3" s="53"/>
      <c r="AQ3" s="157" t="s">
        <v>77</v>
      </c>
      <c r="AR3" s="1" t="n">
        <v>1024.21623283919</v>
      </c>
      <c r="AS3" s="53"/>
      <c r="AT3" s="53"/>
      <c r="AU3" s="53" t="n">
        <f aca="false">$C$31*AR3</f>
        <v>1017.79695915225</v>
      </c>
      <c r="AV3" s="53"/>
      <c r="AW3" s="157" t="s">
        <v>77</v>
      </c>
      <c r="AX3" s="157" t="n">
        <v>973.983459501735</v>
      </c>
      <c r="AY3" s="53"/>
      <c r="AZ3" s="53"/>
      <c r="BA3" s="53" t="n">
        <f aca="false">$C$31*AX3</f>
        <v>967.879019645548</v>
      </c>
    </row>
    <row r="4" customFormat="false" ht="12.8" hidden="false" customHeight="false" outlineLevel="0" collapsed="false">
      <c r="A4" s="158" t="s">
        <v>76</v>
      </c>
      <c r="B4" s="159" t="n">
        <v>1031.37167369587</v>
      </c>
      <c r="C4" s="159" t="n">
        <f aca="false">SUM(B2/2,B3:B5,B6/2)/4</f>
        <v>1027.21402349985</v>
      </c>
      <c r="D4" s="160" t="n">
        <f aca="false">C4/B4</f>
        <v>0.995968814829752</v>
      </c>
      <c r="E4" s="159" t="n">
        <f aca="false">B4*$C$28</f>
        <v>1037.48331550051</v>
      </c>
      <c r="F4" s="53"/>
      <c r="G4" s="159" t="s">
        <v>76</v>
      </c>
      <c r="H4" s="159" t="n">
        <v>1032.72512704403</v>
      </c>
      <c r="I4" s="159" t="n">
        <f aca="false">SUM(H2/2,H3:H5,H6/2)/4</f>
        <v>1026.06853121987</v>
      </c>
      <c r="J4" s="160" t="n">
        <f aca="false">I4/H4</f>
        <v>0.993554339242998</v>
      </c>
      <c r="K4" s="159" t="n">
        <f aca="false">H4*$C$28</f>
        <v>1038.84478906318</v>
      </c>
      <c r="L4" s="53"/>
      <c r="M4" s="159" t="s">
        <v>76</v>
      </c>
      <c r="N4" s="159" t="n">
        <v>1055.31509503673</v>
      </c>
      <c r="O4" s="159" t="n">
        <f aca="false">SUM(N2/2,N3:N5,N6/2)/4</f>
        <v>1030.17727885184</v>
      </c>
      <c r="P4" s="160" t="n">
        <f aca="false">O4/N4</f>
        <v>0.976179800418743</v>
      </c>
      <c r="Q4" s="159" t="n">
        <f aca="false">N4*$C$28</f>
        <v>1061.56861936398</v>
      </c>
      <c r="R4" s="53"/>
      <c r="S4" s="159" t="s">
        <v>76</v>
      </c>
      <c r="T4" s="159" t="n">
        <v>992.882484477134</v>
      </c>
      <c r="U4" s="159" t="n">
        <f aca="false">SUM(T2/2,T3:T5,T6/2)/4</f>
        <v>975.26906728935</v>
      </c>
      <c r="V4" s="160" t="n">
        <f aca="false">U4/T4</f>
        <v>0.982260320367058</v>
      </c>
      <c r="W4" s="159" t="n">
        <f aca="false">T4*$C$28</f>
        <v>998.766049300548</v>
      </c>
      <c r="X4" s="53"/>
      <c r="Y4" s="159" t="s">
        <v>76</v>
      </c>
      <c r="Z4" s="159" t="n">
        <v>1057.13951054373</v>
      </c>
      <c r="AA4" s="159" t="n">
        <f aca="false">SUM(Z2/2,Z3:Z5,Z6/2)/4</f>
        <v>1124.58115511481</v>
      </c>
      <c r="AB4" s="159" t="n">
        <f aca="false">AA4/Z4</f>
        <v>1.06379635223018</v>
      </c>
      <c r="AC4" s="159" t="n">
        <f aca="false">Z4*$C$28</f>
        <v>1063.40384588544</v>
      </c>
      <c r="AD4" s="53"/>
      <c r="AE4" s="159" t="s">
        <v>76</v>
      </c>
      <c r="AF4" s="159" t="n">
        <v>1006.21862527815</v>
      </c>
      <c r="AG4" s="159" t="n">
        <f aca="false">SUM(AF2/2,AF3:AF5,AF6/2)/4</f>
        <v>1008.78174939541</v>
      </c>
      <c r="AH4" s="159" t="n">
        <f aca="false">AG4/AF4</f>
        <v>1.0025472835156</v>
      </c>
      <c r="AI4" s="159" t="n">
        <f aca="false">AF4*$C$28</f>
        <v>1012.18121662295</v>
      </c>
      <c r="AJ4" s="53"/>
      <c r="AK4" s="159" t="s">
        <v>76</v>
      </c>
      <c r="AL4" s="159" t="n">
        <v>1070.20494939053</v>
      </c>
      <c r="AM4" s="159" t="n">
        <f aca="false">SUM(AL2/2,AL3:AL5,AL6/2)/4</f>
        <v>1086.68624753962</v>
      </c>
      <c r="AN4" s="160" t="n">
        <f aca="false">AM4/AL4</f>
        <v>1.01540013261803</v>
      </c>
      <c r="AO4" s="159" t="n">
        <f aca="false">AL4*$C$28</f>
        <v>1076.54670714386</v>
      </c>
      <c r="AP4" s="53"/>
      <c r="AQ4" s="159" t="s">
        <v>76</v>
      </c>
      <c r="AR4" s="1" t="n">
        <v>1030.59024208396</v>
      </c>
      <c r="AS4" s="159" t="n">
        <f aca="false">SUM(AR2/2,AR3:AR5,AR6/2)/4</f>
        <v>1025.83429425256</v>
      </c>
      <c r="AT4" s="160" t="n">
        <f aca="false">AS4/AR4</f>
        <v>0.995385219423599</v>
      </c>
      <c r="AU4" s="159" t="n">
        <f aca="false">AR4*$C$28</f>
        <v>1036.69725332696</v>
      </c>
      <c r="AV4" s="53"/>
      <c r="AW4" s="159" t="s">
        <v>76</v>
      </c>
      <c r="AX4" s="159" t="n">
        <v>1003.15926106259</v>
      </c>
      <c r="AY4" s="159" t="n">
        <f aca="false">SUM(AX2/2,AX3:AX5,AX6/2)/4</f>
        <v>995.94525007179</v>
      </c>
      <c r="AZ4" s="160" t="n">
        <f aca="false">AY4/AX4</f>
        <v>0.992808708177444</v>
      </c>
      <c r="BA4" s="159" t="n">
        <f aca="false">AX4*$C$28</f>
        <v>1009.10372340627</v>
      </c>
    </row>
    <row r="5" customFormat="false" ht="12.8" hidden="false" customHeight="false" outlineLevel="0" collapsed="false">
      <c r="A5" s="1" t="s">
        <v>75</v>
      </c>
      <c r="B5" s="53" t="n">
        <v>1001.9714396309</v>
      </c>
      <c r="C5" s="157" t="n">
        <f aca="false">SUM(B3/2,B4:B6,B7/2)/4</f>
        <v>1053.44874950409</v>
      </c>
      <c r="D5" s="1" t="n">
        <f aca="false">C5/B5</f>
        <v>1.05137602514115</v>
      </c>
      <c r="E5" s="53" t="n">
        <f aca="false">B5*$C$29</f>
        <v>1003.98284496892</v>
      </c>
      <c r="F5" s="53"/>
      <c r="G5" s="53" t="s">
        <v>75</v>
      </c>
      <c r="H5" s="53" t="n">
        <v>1001.13234218746</v>
      </c>
      <c r="I5" s="157" t="n">
        <f aca="false">SUM(H3/2,H4:H6,H7/2)/4</f>
        <v>1049.32753387751</v>
      </c>
      <c r="J5" s="1" t="n">
        <f aca="false">I5/H5</f>
        <v>1.04814067996719</v>
      </c>
      <c r="K5" s="53" t="n">
        <f aca="false">H5*$C$29</f>
        <v>1003.14206308118</v>
      </c>
      <c r="L5" s="53"/>
      <c r="M5" s="53" t="s">
        <v>75</v>
      </c>
      <c r="N5" s="53" t="n">
        <v>967.355085415258</v>
      </c>
      <c r="O5" s="157" t="n">
        <f aca="false">SUM(N3/2,N4:N6,N7/2)/4</f>
        <v>908.793841545364</v>
      </c>
      <c r="P5" s="1" t="n">
        <f aca="false">O5/N5</f>
        <v>0.939462515106586</v>
      </c>
      <c r="Q5" s="53" t="n">
        <f aca="false">N5*$C$29</f>
        <v>969.297000229997</v>
      </c>
      <c r="R5" s="53"/>
      <c r="S5" s="53" t="s">
        <v>75</v>
      </c>
      <c r="T5" s="53" t="n">
        <v>964.450747154384</v>
      </c>
      <c r="U5" s="157" t="n">
        <f aca="false">SUM(T3/2,T4:T6,T7/2)/4</f>
        <v>982.710696952464</v>
      </c>
      <c r="V5" s="1" t="n">
        <f aca="false">U5/T5</f>
        <v>1.01893300394235</v>
      </c>
      <c r="W5" s="53" t="n">
        <f aca="false">T5*$C$29</f>
        <v>966.386831661741</v>
      </c>
      <c r="X5" s="53"/>
      <c r="Y5" s="53" t="s">
        <v>75</v>
      </c>
      <c r="Z5" s="53" t="n">
        <v>1148.45507637991</v>
      </c>
      <c r="AA5" s="157" t="n">
        <f aca="false">SUM(Z3/2,Z4:Z6,Z7/2)/4</f>
        <v>1254.6777307311</v>
      </c>
      <c r="AB5" s="53" t="n">
        <f aca="false">AA5/Z5</f>
        <v>1.09249178007556</v>
      </c>
      <c r="AC5" s="53" t="n">
        <f aca="false">Z5*$C$29</f>
        <v>1150.76053996873</v>
      </c>
      <c r="AD5" s="53"/>
      <c r="AE5" s="53" t="s">
        <v>75</v>
      </c>
      <c r="AF5" s="53" t="n">
        <v>995.553513927524</v>
      </c>
      <c r="AG5" s="157" t="n">
        <f aca="false">SUM(AF3/2,AF4:AF6,AF7/2)/4</f>
        <v>1023.74935933796</v>
      </c>
      <c r="AH5" s="53" t="n">
        <f aca="false">AG5/AF5</f>
        <v>1.02832177780097</v>
      </c>
      <c r="AI5" s="53" t="n">
        <f aca="false">AF5*$C$29</f>
        <v>997.552035614865</v>
      </c>
      <c r="AJ5" s="53"/>
      <c r="AK5" s="53" t="s">
        <v>75</v>
      </c>
      <c r="AL5" s="53" t="n">
        <v>1116.03966988488</v>
      </c>
      <c r="AM5" s="157" t="n">
        <f aca="false">SUM(AL3/2,AL4:AL6,AL7/2)/4</f>
        <v>1158.88688358945</v>
      </c>
      <c r="AN5" s="1" t="n">
        <f aca="false">AM5/AL5</f>
        <v>1.0383921959593</v>
      </c>
      <c r="AO5" s="53" t="n">
        <f aca="false">AL5*$C$29</f>
        <v>1118.28006123803</v>
      </c>
      <c r="AP5" s="53"/>
      <c r="AQ5" s="53" t="s">
        <v>75</v>
      </c>
      <c r="AR5" s="1" t="n">
        <v>999.647773779699</v>
      </c>
      <c r="AS5" s="157" t="n">
        <f aca="false">SUM(AR3/2,AR4:AR6,AR7/2)/4</f>
        <v>1048.31347423485</v>
      </c>
      <c r="AT5" s="1" t="n">
        <f aca="false">AS5/AR5</f>
        <v>1.04868284783063</v>
      </c>
      <c r="AU5" s="53" t="n">
        <f aca="false">AR5*$C$29</f>
        <v>1001.65451447987</v>
      </c>
      <c r="AV5" s="53"/>
      <c r="AW5" s="53" t="s">
        <v>75</v>
      </c>
      <c r="AX5" s="53" t="n">
        <v>992.253811546543</v>
      </c>
      <c r="AY5" s="157" t="n">
        <f aca="false">SUM(AX3/2,AX4:AX6,AX7/2)/4</f>
        <v>1000.60928073326</v>
      </c>
      <c r="AZ5" s="1" t="n">
        <f aca="false">AY5/AX5</f>
        <v>1.00842069749644</v>
      </c>
      <c r="BA5" s="53" t="n">
        <f aca="false">AX5*$C$29</f>
        <v>994.245709253678</v>
      </c>
    </row>
    <row r="6" customFormat="false" ht="12.8" hidden="false" customHeight="false" outlineLevel="0" collapsed="false">
      <c r="A6" s="1" t="s">
        <v>73</v>
      </c>
      <c r="B6" s="53" t="n">
        <v>1096.5901077552</v>
      </c>
      <c r="C6" s="157" t="n">
        <f aca="false">SUM(B4/2,B5:B7,B8/2)/4</f>
        <v>1057.70769640938</v>
      </c>
      <c r="D6" s="1" t="n">
        <f aca="false">C6/B6</f>
        <v>0.964542438354274</v>
      </c>
      <c r="E6" s="53" t="n">
        <f aca="false">$C$30*B6</f>
        <v>1094.76352784252</v>
      </c>
      <c r="F6" s="53"/>
      <c r="G6" s="53" t="s">
        <v>73</v>
      </c>
      <c r="H6" s="53" t="n">
        <v>1086.53707918444</v>
      </c>
      <c r="I6" s="157" t="n">
        <f aca="false">SUM(H4/2,H5:H7,H8/2)/4</f>
        <v>1051.41116928671</v>
      </c>
      <c r="J6" s="1" t="n">
        <f aca="false">I6/H6</f>
        <v>0.967671687813824</v>
      </c>
      <c r="K6" s="53" t="n">
        <f aca="false">$C$30*H6</f>
        <v>1084.72724450767</v>
      </c>
      <c r="L6" s="53"/>
      <c r="M6" s="53" t="s">
        <v>73</v>
      </c>
      <c r="N6" s="53" t="n">
        <v>1090.78682444493</v>
      </c>
      <c r="O6" s="157" t="n">
        <f aca="false">SUM(N4/2,N5:N7,N8/2)/4</f>
        <v>646.446794168856</v>
      </c>
      <c r="P6" s="1" t="n">
        <f aca="false">O6/N6</f>
        <v>0.592642649949328</v>
      </c>
      <c r="Q6" s="53" t="n">
        <f aca="false">$C$30*N6</f>
        <v>1088.96991100712</v>
      </c>
      <c r="R6" s="53"/>
      <c r="S6" s="53" t="s">
        <v>73</v>
      </c>
      <c r="T6" s="53" t="n">
        <v>958.504722226702</v>
      </c>
      <c r="U6" s="157" t="n">
        <f aca="false">SUM(T4/2,T5:T7,T8/2)/4</f>
        <v>996.811792113653</v>
      </c>
      <c r="V6" s="1" t="n">
        <f aca="false">U6/T6</f>
        <v>1.03996544722071</v>
      </c>
      <c r="W6" s="53" t="n">
        <f aca="false">$C$30*T6</f>
        <v>956.908149852532</v>
      </c>
      <c r="X6" s="53"/>
      <c r="Y6" s="53" t="s">
        <v>73</v>
      </c>
      <c r="Z6" s="53" t="n">
        <v>1498.83587723517</v>
      </c>
      <c r="AA6" s="157" t="n">
        <f aca="false">SUM(Z4/2,Z5:Z7,Z8/2)/4</f>
        <v>1350.42069902177</v>
      </c>
      <c r="AB6" s="53" t="n">
        <f aca="false">AA6/Z6</f>
        <v>0.900979700000792</v>
      </c>
      <c r="AC6" s="53" t="n">
        <f aca="false">$C$30*Z6</f>
        <v>1496.33928029671</v>
      </c>
      <c r="AD6" s="53"/>
      <c r="AE6" s="53" t="s">
        <v>73</v>
      </c>
      <c r="AF6" s="53" t="n">
        <v>1047.06289775526</v>
      </c>
      <c r="AG6" s="157" t="n">
        <f aca="false">SUM(AF4/2,AF5:AF7,AF8/2)/4</f>
        <v>1023.38502073409</v>
      </c>
      <c r="AH6" s="53" t="n">
        <f aca="false">AG6/AF6</f>
        <v>0.97738638521914</v>
      </c>
      <c r="AI6" s="53" t="n">
        <f aca="false">$C$30*AF6</f>
        <v>1045.31881485425</v>
      </c>
      <c r="AJ6" s="53"/>
      <c r="AK6" s="53" t="s">
        <v>73</v>
      </c>
      <c r="AL6" s="53" t="n">
        <v>1263.94899919983</v>
      </c>
      <c r="AM6" s="157" t="n">
        <f aca="false">SUM(AL4/2,AL5:AL7,AL8/2)/4</f>
        <v>1200.44440258625</v>
      </c>
      <c r="AN6" s="1" t="n">
        <f aca="false">AM6/AL6</f>
        <v>0.94975699442479</v>
      </c>
      <c r="AO6" s="53" t="n">
        <f aca="false">$C$30*AL6</f>
        <v>1261.84365114292</v>
      </c>
      <c r="AP6" s="53"/>
      <c r="AQ6" s="53" t="s">
        <v>73</v>
      </c>
      <c r="AR6" s="1" t="n">
        <v>1088.23164608957</v>
      </c>
      <c r="AS6" s="157" t="n">
        <f aca="false">SUM(AR4/2,AR5:AR7,AR8/2)/4</f>
        <v>1048.72687478277</v>
      </c>
      <c r="AT6" s="1" t="n">
        <f aca="false">AS6/AR6</f>
        <v>0.963698196566189</v>
      </c>
      <c r="AU6" s="53" t="n">
        <f aca="false">$C$30*AR6</f>
        <v>1086.41898878851</v>
      </c>
      <c r="AV6" s="53"/>
      <c r="AW6" s="53" t="s">
        <v>73</v>
      </c>
      <c r="AX6" s="53" t="n">
        <v>1001.86958665258</v>
      </c>
      <c r="AY6" s="157" t="n">
        <f aca="false">SUM(AX4/2,AX5:AX7,AX8/2)/4</f>
        <v>999.751635726455</v>
      </c>
      <c r="AZ6" s="1" t="n">
        <f aca="false">AY6/AX6</f>
        <v>0.997886001377484</v>
      </c>
      <c r="BA6" s="53" t="n">
        <f aca="false">$C$30*AX6</f>
        <v>1000.20078182828</v>
      </c>
    </row>
    <row r="7" customFormat="false" ht="12.8" hidden="false" customHeight="false" outlineLevel="0" collapsed="false">
      <c r="A7" s="161" t="s">
        <v>72</v>
      </c>
      <c r="B7" s="162" t="n">
        <v>1144.25447635615</v>
      </c>
      <c r="C7" s="162" t="n">
        <f aca="false">SUM(B5/2,B6:B8,B9/2)/4</f>
        <v>1059.55886480653</v>
      </c>
      <c r="D7" s="163" t="n">
        <f aca="false">C7/B7</f>
        <v>0.925981839442454</v>
      </c>
      <c r="E7" s="162" t="n">
        <f aca="false">$C$31*B7</f>
        <v>1137.0828631599</v>
      </c>
      <c r="F7" s="53"/>
      <c r="G7" s="162" t="s">
        <v>72</v>
      </c>
      <c r="H7" s="157" t="n">
        <v>1130.45830835129</v>
      </c>
      <c r="I7" s="162" t="n">
        <f aca="false">SUM(H5/2,H6:H8,H9/2)/4</f>
        <v>1050.72754497778</v>
      </c>
      <c r="J7" s="163" t="n">
        <f aca="false">I7/H7</f>
        <v>0.9294704079005</v>
      </c>
      <c r="K7" s="162" t="n">
        <f aca="false">$C$31*H7</f>
        <v>1123.3731626171</v>
      </c>
      <c r="L7" s="117" t="n">
        <f aca="false">1-J7</f>
        <v>0.0705295920994997</v>
      </c>
      <c r="M7" s="117" t="n">
        <v>-0.0342938418430518</v>
      </c>
      <c r="N7" s="117" t="n">
        <v>-0.00925263911229202</v>
      </c>
      <c r="O7" s="117" t="n">
        <v>-0.0393896760207793</v>
      </c>
      <c r="P7" s="117" t="n">
        <v>-0.0181672729048727</v>
      </c>
      <c r="Q7" s="162" t="n">
        <f aca="false">$C$31*N7</f>
        <v>-0.0091946482106797</v>
      </c>
      <c r="R7" s="53"/>
      <c r="S7" s="162" t="s">
        <v>72</v>
      </c>
      <c r="T7" s="157" t="n">
        <v>1061.50549576553</v>
      </c>
      <c r="U7" s="162" t="n">
        <f aca="false">SUM(T5/2,T6:T8,T9/2)/4</f>
        <v>1013.57146772989</v>
      </c>
      <c r="V7" s="163" t="n">
        <f aca="false">U7/T7</f>
        <v>0.954843353871599</v>
      </c>
      <c r="W7" s="162" t="n">
        <f aca="false">$C$31*T7</f>
        <v>1054.85251167971</v>
      </c>
      <c r="X7" s="53"/>
      <c r="Y7" s="162" t="s">
        <v>72</v>
      </c>
      <c r="Z7" s="157" t="n">
        <v>1606.7889235658</v>
      </c>
      <c r="AA7" s="162" t="n">
        <f aca="false">SUM(Z5/2,Z6:Z8,Z9/2)/4</f>
        <v>1431.64223165265</v>
      </c>
      <c r="AB7" s="162" t="n">
        <f aca="false">AA7/Z7</f>
        <v>0.890995830663017</v>
      </c>
      <c r="AC7" s="162" t="n">
        <f aca="false">$C$31*Z7</f>
        <v>1596.71837642272</v>
      </c>
      <c r="AD7" s="53"/>
      <c r="AE7" s="162" t="s">
        <v>72</v>
      </c>
      <c r="AF7" s="157" t="n">
        <v>1083.16780667706</v>
      </c>
      <c r="AG7" s="162" t="n">
        <f aca="false">SUM(AF5/2,AF6:AF8,AF9/2)/4</f>
        <v>1024.77781046389</v>
      </c>
      <c r="AH7" s="162" t="n">
        <f aca="false">AG7/AF7</f>
        <v>0.946093305346383</v>
      </c>
      <c r="AI7" s="162" t="n">
        <f aca="false">$C$31*AF7</f>
        <v>1076.37905409044</v>
      </c>
      <c r="AJ7" s="53"/>
      <c r="AK7" s="162" t="s">
        <v>72</v>
      </c>
      <c r="AL7" s="157" t="n">
        <v>1357.63347409367</v>
      </c>
      <c r="AM7" s="162" t="n">
        <f aca="false">SUM(AL5/2,AL6:AL8,AL9/2)/4</f>
        <v>1209.70260727865</v>
      </c>
      <c r="AN7" s="163" t="n">
        <f aca="false">AM7/AL7</f>
        <v>0.891037699321775</v>
      </c>
      <c r="AO7" s="162" t="n">
        <f aca="false">$C$31*AL7</f>
        <v>1349.12450835252</v>
      </c>
      <c r="AP7" s="53"/>
      <c r="AQ7" s="162" t="s">
        <v>72</v>
      </c>
      <c r="AR7" s="1" t="n">
        <v>1125.35223713314</v>
      </c>
      <c r="AS7" s="162" t="n">
        <f aca="false">SUM(AR5/2,AR6:AR8,AR9/2)/4</f>
        <v>1046.6623761883</v>
      </c>
      <c r="AT7" s="163" t="n">
        <f aca="false">AS7/AR7</f>
        <v>0.930075350322935</v>
      </c>
      <c r="AU7" s="162" t="n">
        <f aca="false">$C$31*AR7</f>
        <v>1118.29909369257</v>
      </c>
      <c r="AV7" s="53"/>
      <c r="AW7" s="162" t="s">
        <v>72</v>
      </c>
      <c r="AX7" s="157" t="n">
        <v>1036.32546784094</v>
      </c>
      <c r="AY7" s="162" t="n">
        <f aca="false">SUM(AX5/2,AX6:AX8,AX9/2)/4</f>
        <v>985.795955657886</v>
      </c>
      <c r="AZ7" s="163" t="n">
        <f aca="false">AY7/AX7</f>
        <v>0.951241657422232</v>
      </c>
      <c r="BA7" s="162" t="n">
        <f aca="false">$C$31*AX7</f>
        <v>1029.83029954198</v>
      </c>
    </row>
    <row r="8" customFormat="false" ht="12.8" hidden="false" customHeight="false" outlineLevel="0" collapsed="false">
      <c r="A8" s="158" t="s">
        <v>70</v>
      </c>
      <c r="B8" s="159" t="n">
        <v>944.657850094641</v>
      </c>
      <c r="C8" s="159" t="n">
        <f aca="false">SUM(B6/2,B7:B9,B10/2)/4</f>
        <v>1079.86152954708</v>
      </c>
      <c r="D8" s="160" t="n">
        <f aca="false">C8/B8</f>
        <v>1.14312449681003</v>
      </c>
      <c r="E8" s="159" t="n">
        <f aca="false">B8*$C$28</f>
        <v>950.255648206575</v>
      </c>
      <c r="F8" s="53"/>
      <c r="G8" s="159" t="s">
        <v>70</v>
      </c>
      <c r="H8" s="159" t="n">
        <v>942.308767803262</v>
      </c>
      <c r="I8" s="159" t="n">
        <f aca="false">SUM(H6/2,H7:H9,H10/2)/4</f>
        <v>1067.66603388286</v>
      </c>
      <c r="J8" s="160" t="n">
        <f aca="false">I8/H8</f>
        <v>1.13303204890243</v>
      </c>
      <c r="K8" s="159" t="n">
        <f aca="false">H8*$C$28</f>
        <v>947.892645861058</v>
      </c>
      <c r="L8" s="117" t="n">
        <f aca="false">1-J8</f>
        <v>-0.133032048902432</v>
      </c>
      <c r="M8" s="117" t="n">
        <v>0.0135730978882993</v>
      </c>
      <c r="N8" s="117" t="n">
        <v>-0.00605612803716227</v>
      </c>
      <c r="O8" s="117" t="n">
        <v>0.028581587271131</v>
      </c>
      <c r="P8" s="117" t="n">
        <v>0.00696953377706766</v>
      </c>
      <c r="Q8" s="159" t="n">
        <f aca="false">N8*$C$28</f>
        <v>-0.00609201508567265</v>
      </c>
      <c r="R8" s="53"/>
      <c r="S8" s="159" t="s">
        <v>70</v>
      </c>
      <c r="T8" s="159" t="n">
        <v>1012.68992213886</v>
      </c>
      <c r="U8" s="159" t="n">
        <f aca="false">SUM(T6/2,T7:T9,T10/2)/4</f>
        <v>1043.99750892535</v>
      </c>
      <c r="V8" s="160" t="n">
        <f aca="false">U8/T8</f>
        <v>1.03091527436193</v>
      </c>
      <c r="W8" s="159" t="n">
        <f aca="false">T8*$C$28</f>
        <v>1018.69086071525</v>
      </c>
      <c r="X8" s="53"/>
      <c r="Y8" s="159" t="s">
        <v>70</v>
      </c>
      <c r="Z8" s="159" t="n">
        <v>1238.06632726865</v>
      </c>
      <c r="AA8" s="159" t="n">
        <f aca="false">SUM(Z6/2,Z7:Z9,Z10/2)/4</f>
        <v>1516.40307785588</v>
      </c>
      <c r="AB8" s="159" t="n">
        <f aca="false">AA8/Z8</f>
        <v>1.22481570208058</v>
      </c>
      <c r="AC8" s="159" t="n">
        <f aca="false">Z8*$C$28</f>
        <v>1245.40278813492</v>
      </c>
      <c r="AD8" s="53"/>
      <c r="AE8" s="159" t="s">
        <v>70</v>
      </c>
      <c r="AF8" s="159" t="n">
        <v>929.293103874896</v>
      </c>
      <c r="AG8" s="159" t="n">
        <f aca="false">SUM(AF6/2,AF7:AF9,AF10/2)/4</f>
        <v>1042.85870449969</v>
      </c>
      <c r="AH8" s="159" t="n">
        <f aca="false">AG8/AF8</f>
        <v>1.12220643858354</v>
      </c>
      <c r="AI8" s="159" t="n">
        <f aca="false">AF8*$C$28</f>
        <v>934.799854474367</v>
      </c>
      <c r="AJ8" s="53"/>
      <c r="AK8" s="159" t="s">
        <v>70</v>
      </c>
      <c r="AL8" s="159" t="n">
        <v>1058.10598494273</v>
      </c>
      <c r="AM8" s="159" t="n">
        <f aca="false">SUM(AL6/2,AL7:AL9,AL10/2)/4</f>
        <v>1226.20763318206</v>
      </c>
      <c r="AN8" s="160" t="n">
        <f aca="false">AM8/AL8</f>
        <v>1.1588703311686</v>
      </c>
      <c r="AO8" s="159" t="n">
        <f aca="false">AL8*$C$28</f>
        <v>1064.37604736178</v>
      </c>
      <c r="AP8" s="53"/>
      <c r="AQ8" s="159" t="s">
        <v>70</v>
      </c>
      <c r="AR8" s="1" t="n">
        <v>932.761442173415</v>
      </c>
      <c r="AS8" s="159" t="n">
        <f aca="false">SUM(AR6/2,AR7:AR9,AR10/2)/4</f>
        <v>1062.3679658085</v>
      </c>
      <c r="AT8" s="160" t="n">
        <f aca="false">AS8/AR8</f>
        <v>1.13894927231671</v>
      </c>
      <c r="AU8" s="159" t="n">
        <f aca="false">AR8*$C$28</f>
        <v>938.288745248661</v>
      </c>
      <c r="AV8" s="53"/>
      <c r="AW8" s="159" t="s">
        <v>70</v>
      </c>
      <c r="AX8" s="159" t="n">
        <v>933.956092668926</v>
      </c>
      <c r="AY8" s="159" t="n">
        <f aca="false">SUM(AX6/2,AX7:AX9,AX10/2)/4</f>
        <v>977.584632977176</v>
      </c>
      <c r="AZ8" s="160" t="n">
        <f aca="false">AY8/AX8</f>
        <v>1.04671369526974</v>
      </c>
      <c r="BA8" s="159" t="n">
        <f aca="false">AX8*$C$28</f>
        <v>939.490474934047</v>
      </c>
    </row>
    <row r="9" customFormat="false" ht="12.8" hidden="false" customHeight="false" outlineLevel="0" collapsed="false">
      <c r="A9" s="1" t="s">
        <v>69</v>
      </c>
      <c r="B9" s="53" t="n">
        <v>1103.49461040936</v>
      </c>
      <c r="C9" s="157" t="n">
        <f aca="false">SUM(B7/2,B8:B10,B11/2)/4</f>
        <v>1091.03783505832</v>
      </c>
      <c r="D9" s="1" t="n">
        <f aca="false">C9/B9</f>
        <v>0.98871152134905</v>
      </c>
      <c r="E9" s="53" t="n">
        <f aca="false">B9*$C$29</f>
        <v>1105.70981821076</v>
      </c>
      <c r="F9" s="53"/>
      <c r="G9" s="53" t="s">
        <v>69</v>
      </c>
      <c r="H9" s="53" t="n">
        <v>1086.07970695682</v>
      </c>
      <c r="I9" s="157" t="n">
        <f aca="false">SUM(H7/2,H8:H10,H11/2)/4</f>
        <v>1076.16812049464</v>
      </c>
      <c r="J9" s="1" t="n">
        <f aca="false">I9/H9</f>
        <v>0.990873978770901</v>
      </c>
      <c r="K9" s="53" t="n">
        <f aca="false">H9*$C$29</f>
        <v>1088.25995524902</v>
      </c>
      <c r="L9" s="117" t="n">
        <f aca="false">1-J9</f>
        <v>0.00912602122909934</v>
      </c>
      <c r="M9" s="117" t="n">
        <v>0.00682821037556236</v>
      </c>
      <c r="N9" s="117" t="n">
        <v>0.0028306153264217</v>
      </c>
      <c r="O9" s="117" t="n">
        <v>-0.0349367956739413</v>
      </c>
      <c r="P9" s="117" t="n">
        <v>-0.00181542027917025</v>
      </c>
      <c r="Q9" s="53" t="n">
        <f aca="false">N9*$C$29</f>
        <v>0.0028362976388632</v>
      </c>
      <c r="R9" s="53"/>
      <c r="S9" s="53" t="s">
        <v>69</v>
      </c>
      <c r="T9" s="53" t="n">
        <v>1078.72071442258</v>
      </c>
      <c r="U9" s="157" t="n">
        <f aca="false">SUM(T7/2,T8:T10,T11/2)/4</f>
        <v>1070.02809346881</v>
      </c>
      <c r="V9" s="1" t="n">
        <f aca="false">U9/T9</f>
        <v>0.991941731684999</v>
      </c>
      <c r="W9" s="53" t="n">
        <f aca="false">T9*$C$29</f>
        <v>1080.88618992158</v>
      </c>
      <c r="X9" s="53"/>
      <c r="Y9" s="53" t="s">
        <v>69</v>
      </c>
      <c r="Z9" s="53" t="n">
        <v>1617.30052070201</v>
      </c>
      <c r="AA9" s="157" t="n">
        <f aca="false">SUM(Z7/2,Z8:Z10,Z11/2)/4</f>
        <v>1567.15258254187</v>
      </c>
      <c r="AB9" s="53" t="n">
        <f aca="false">AA9/Z9</f>
        <v>0.968992813940125</v>
      </c>
      <c r="AC9" s="53" t="n">
        <f aca="false">Z9*$C$29</f>
        <v>1620.54716703528</v>
      </c>
      <c r="AD9" s="53"/>
      <c r="AE9" s="53" t="s">
        <v>69</v>
      </c>
      <c r="AF9" s="53" t="n">
        <v>1083.62135316918</v>
      </c>
      <c r="AG9" s="157" t="n">
        <f aca="false">SUM(AF7/2,AF8:AF10,AF11/2)/4</f>
        <v>1050.02825901666</v>
      </c>
      <c r="AH9" s="53" t="n">
        <f aca="false">AG9/AF9</f>
        <v>0.968999232015616</v>
      </c>
      <c r="AI9" s="53" t="n">
        <f aca="false">AF9*$C$29</f>
        <v>1085.79666644454</v>
      </c>
      <c r="AJ9" s="53"/>
      <c r="AK9" s="53" t="s">
        <v>69</v>
      </c>
      <c r="AL9" s="53" t="n">
        <v>1202.20427187188</v>
      </c>
      <c r="AM9" s="157" t="n">
        <f aca="false">SUM(AL7/2,AL8:AL10,AL11/2)/4</f>
        <v>1233.98486096266</v>
      </c>
      <c r="AN9" s="1" t="n">
        <f aca="false">AM9/AL9</f>
        <v>1.02643526548221</v>
      </c>
      <c r="AO9" s="53" t="n">
        <f aca="false">AL9*$C$29</f>
        <v>1204.61763416365</v>
      </c>
      <c r="AP9" s="53"/>
      <c r="AQ9" s="53" t="s">
        <v>69</v>
      </c>
      <c r="AR9" s="1" t="n">
        <v>1080.96058493448</v>
      </c>
      <c r="AS9" s="157" t="n">
        <f aca="false">SUM(AR7/2,AR8:AR10,AR11/2)/4</f>
        <v>1069.90513349219</v>
      </c>
      <c r="AT9" s="1" t="n">
        <f aca="false">AS9/AR9</f>
        <v>0.98977256747714</v>
      </c>
      <c r="AU9" s="53" t="n">
        <f aca="false">AR9*$C$29</f>
        <v>1083.13055685656</v>
      </c>
      <c r="AV9" s="53"/>
      <c r="AW9" s="53" t="s">
        <v>69</v>
      </c>
      <c r="AX9" s="53" t="n">
        <v>949.811539391652</v>
      </c>
      <c r="AY9" s="157" t="n">
        <f aca="false">SUM(AX7/2,AX8:AX10,AX11/2)/4</f>
        <v>969.505319125625</v>
      </c>
      <c r="AZ9" s="1" t="n">
        <f aca="false">AY9/AX9</f>
        <v>1.02073440774007</v>
      </c>
      <c r="BA9" s="53" t="n">
        <f aca="false">AX9*$C$29</f>
        <v>951.718236453944</v>
      </c>
    </row>
    <row r="10" customFormat="false" ht="12.8" hidden="false" customHeight="false" outlineLevel="0" collapsed="false">
      <c r="A10" s="1" t="s">
        <v>67</v>
      </c>
      <c r="B10" s="53" t="n">
        <v>1157.48825490115</v>
      </c>
      <c r="C10" s="157" t="n">
        <f aca="false">SUM(B8/2,B9:B11,B12/2)/4</f>
        <v>1131.61893581536</v>
      </c>
      <c r="D10" s="1" t="n">
        <f aca="false">C10/B10</f>
        <v>0.977650469474523</v>
      </c>
      <c r="E10" s="53" t="n">
        <f aca="false">$C$30*B10</f>
        <v>1155.56023751287</v>
      </c>
      <c r="F10" s="53"/>
      <c r="G10" s="53" t="s">
        <v>67</v>
      </c>
      <c r="H10" s="53" t="n">
        <v>1137.09762565566</v>
      </c>
      <c r="I10" s="157" t="n">
        <f aca="false">SUM(H8/2,H9:H11,H12/2)/4</f>
        <v>1112.43440890184</v>
      </c>
      <c r="J10" s="1" t="n">
        <f aca="false">I10/H10</f>
        <v>0.978310378812378</v>
      </c>
      <c r="K10" s="53" t="n">
        <f aca="false">$C$30*H10</f>
        <v>1135.2035727483</v>
      </c>
      <c r="L10" s="117" t="n">
        <f aca="false">1-J10</f>
        <v>0.0216896211876224</v>
      </c>
      <c r="M10" s="117" t="n">
        <v>0.0138925335791904</v>
      </c>
      <c r="N10" s="117" t="n">
        <v>0.0124781518230319</v>
      </c>
      <c r="O10" s="117" t="n">
        <v>0.0457448844235894</v>
      </c>
      <c r="P10" s="117" t="n">
        <v>0.0130131594069755</v>
      </c>
      <c r="Q10" s="53" t="n">
        <f aca="false">$C$30*N10</f>
        <v>0.0124573670819457</v>
      </c>
      <c r="R10" s="53"/>
      <c r="S10" s="53" t="s">
        <v>67</v>
      </c>
      <c r="T10" s="53" t="n">
        <v>1087.64308452214</v>
      </c>
      <c r="U10" s="157" t="n">
        <f aca="false">SUM(T8/2,T9:T11,T12/2)/4</f>
        <v>1116.35417780657</v>
      </c>
      <c r="V10" s="1" t="n">
        <f aca="false">U10/T10</f>
        <v>1.02639753214359</v>
      </c>
      <c r="W10" s="53" t="n">
        <f aca="false">$C$30*T10</f>
        <v>1085.83140758259</v>
      </c>
      <c r="X10" s="53"/>
      <c r="Y10" s="53" t="s">
        <v>67</v>
      </c>
      <c r="Z10" s="53" t="n">
        <v>1708.07720253894</v>
      </c>
      <c r="AA10" s="157" t="n">
        <f aca="false">SUM(Z8/2,Z9:Z11,Z12/2)/4</f>
        <v>1682.7558822649</v>
      </c>
      <c r="AB10" s="53" t="n">
        <f aca="false">AA10/Z10</f>
        <v>0.985175541107627</v>
      </c>
      <c r="AC10" s="53" t="n">
        <f aca="false">$C$30*Z10</f>
        <v>1705.23207427688</v>
      </c>
      <c r="AD10" s="53"/>
      <c r="AE10" s="53" t="s">
        <v>67</v>
      </c>
      <c r="AF10" s="53" t="n">
        <v>1103.64221079996</v>
      </c>
      <c r="AG10" s="157" t="n">
        <f aca="false">SUM(AF8/2,AF9:AF11,AF12/2)/4</f>
        <v>1075.12350470933</v>
      </c>
      <c r="AH10" s="53" t="n">
        <f aca="false">AG10/AF10</f>
        <v>0.974159464170949</v>
      </c>
      <c r="AI10" s="53" t="n">
        <f aca="false">$C$30*AF10</f>
        <v>1101.80388426502</v>
      </c>
      <c r="AJ10" s="53"/>
      <c r="AK10" s="53" t="s">
        <v>67</v>
      </c>
      <c r="AL10" s="53" t="n">
        <v>1309.82460444008</v>
      </c>
      <c r="AM10" s="157" t="n">
        <f aca="false">SUM(AL8/2,AL9:AL11,AL12/2)/4</f>
        <v>1280.62924544281</v>
      </c>
      <c r="AN10" s="1" t="n">
        <f aca="false">AM10/AL10</f>
        <v>0.977710482076529</v>
      </c>
      <c r="AO10" s="53" t="n">
        <f aca="false">$C$30*AL10</f>
        <v>1307.64284181548</v>
      </c>
      <c r="AP10" s="53"/>
      <c r="AQ10" s="53" t="s">
        <v>67</v>
      </c>
      <c r="AR10" s="1" t="n">
        <v>1132.56355189635</v>
      </c>
      <c r="AS10" s="157" t="n">
        <f aca="false">SUM(AR8/2,AR9:AR11,AR12/2)/4</f>
        <v>1105.49547622348</v>
      </c>
      <c r="AT10" s="1" t="n">
        <f aca="false">AS10/AR10</f>
        <v>0.976100170601868</v>
      </c>
      <c r="AU10" s="53" t="n">
        <f aca="false">$C$30*AR10</f>
        <v>1130.67705135335</v>
      </c>
      <c r="AV10" s="53"/>
      <c r="AW10" s="53" t="s">
        <v>67</v>
      </c>
      <c r="AX10" s="53" t="n">
        <v>978.621277361791</v>
      </c>
      <c r="AY10" s="157" t="n">
        <f aca="false">SUM(AX8/2,AX9:AX11,AX12/2)/4</f>
        <v>980.846284844174</v>
      </c>
      <c r="AZ10" s="1" t="n">
        <f aca="false">AY10/AX10</f>
        <v>1.00227361445521</v>
      </c>
      <c r="BA10" s="53" t="n">
        <f aca="false">$C$30*AX10</f>
        <v>976.991197029395</v>
      </c>
    </row>
    <row r="11" customFormat="false" ht="12.8" hidden="false" customHeight="false" outlineLevel="0" collapsed="false">
      <c r="A11" s="161" t="s">
        <v>66</v>
      </c>
      <c r="B11" s="162" t="n">
        <v>1172.76677330007</v>
      </c>
      <c r="C11" s="162" t="n">
        <f aca="false">SUM(B9/2,B10:B12,B13/2)/4</f>
        <v>1195.83652265405</v>
      </c>
      <c r="D11" s="163" t="n">
        <f aca="false">C11/B11</f>
        <v>1.0196712167152</v>
      </c>
      <c r="E11" s="162" t="n">
        <f aca="false">$C$31*B11</f>
        <v>1165.41645932594</v>
      </c>
      <c r="F11" s="53"/>
      <c r="G11" s="162" t="s">
        <v>66</v>
      </c>
      <c r="H11" s="157" t="n">
        <v>1147.91445477433</v>
      </c>
      <c r="I11" s="162" t="n">
        <f aca="false">SUM(H9/2,H10:H12,H13/2)/4</f>
        <v>1172.22747738094</v>
      </c>
      <c r="J11" s="163" t="n">
        <f aca="false">I11/H11</f>
        <v>1.02118016939806</v>
      </c>
      <c r="K11" s="162" t="n">
        <f aca="false">$C$31*H11</f>
        <v>1140.71990266889</v>
      </c>
      <c r="L11" s="53"/>
      <c r="M11" s="162" t="s">
        <v>66</v>
      </c>
      <c r="N11" s="157" t="n">
        <v>1151.37942220665</v>
      </c>
      <c r="O11" s="162" t="n">
        <f aca="false">SUM(N9/2,N10:N12,N13/2)/4</f>
        <v>753.377162257382</v>
      </c>
      <c r="P11" s="163" t="n">
        <f aca="false">O11/N11</f>
        <v>0.654325713771672</v>
      </c>
      <c r="Q11" s="162" t="n">
        <f aca="false">$C$31*N11</f>
        <v>1144.16315342308</v>
      </c>
      <c r="R11" s="53"/>
      <c r="S11" s="162" t="s">
        <v>66</v>
      </c>
      <c r="T11" s="157" t="n">
        <v>1140.61180981782</v>
      </c>
      <c r="U11" s="162" t="n">
        <f aca="false">SUM(T9/2,T10:T12,T13/2)/4</f>
        <v>1177.45166708184</v>
      </c>
      <c r="V11" s="163" t="n">
        <f aca="false">U11/T11</f>
        <v>1.03229833055113</v>
      </c>
      <c r="W11" s="162" t="n">
        <f aca="false">$C$31*T11</f>
        <v>1133.46302702858</v>
      </c>
      <c r="X11" s="53"/>
      <c r="Y11" s="162" t="s">
        <v>66</v>
      </c>
      <c r="Z11" s="157" t="n">
        <v>1803.54363574996</v>
      </c>
      <c r="AA11" s="162" t="n">
        <f aca="false">SUM(Z9/2,Z10:Z12,Z13/2)/4</f>
        <v>1841.58186033878</v>
      </c>
      <c r="AB11" s="162" t="n">
        <f aca="false">AA11/Z11</f>
        <v>1.02109082576924</v>
      </c>
      <c r="AC11" s="162" t="n">
        <f aca="false">$C$31*Z11</f>
        <v>1792.23992874648</v>
      </c>
      <c r="AD11" s="53"/>
      <c r="AE11" s="162" t="s">
        <v>66</v>
      </c>
      <c r="AF11" s="157" t="n">
        <v>1083.94492976813</v>
      </c>
      <c r="AG11" s="162" t="n">
        <f aca="false">SUM(AF9/2,AF10:AF12,AF13/2)/4</f>
        <v>1113.7246754623</v>
      </c>
      <c r="AH11" s="162" t="n">
        <f aca="false">AG11/AF11</f>
        <v>1.02747348585369</v>
      </c>
      <c r="AI11" s="162" t="n">
        <f aca="false">$C$31*AF11</f>
        <v>1077.15130656371</v>
      </c>
      <c r="AJ11" s="53"/>
      <c r="AK11" s="162" t="s">
        <v>66</v>
      </c>
      <c r="AL11" s="157" t="n">
        <v>1373.97569109822</v>
      </c>
      <c r="AM11" s="162" t="n">
        <f aca="false">SUM(AL9/2,AL10:AL12,AL13/2)/4</f>
        <v>1367.73930717878</v>
      </c>
      <c r="AN11" s="163" t="n">
        <f aca="false">AM11/AL11</f>
        <v>0.995461066771525</v>
      </c>
      <c r="AO11" s="162" t="n">
        <f aca="false">$C$31*AL11</f>
        <v>1365.36430053676</v>
      </c>
      <c r="AP11" s="53"/>
      <c r="AQ11" s="162" t="s">
        <v>66</v>
      </c>
      <c r="AR11" s="1" t="n">
        <v>1141.3176727959</v>
      </c>
      <c r="AS11" s="162" t="n">
        <f aca="false">SUM(AR9/2,AR10:AR12,AR13/2)/4</f>
        <v>1164.22341929851</v>
      </c>
      <c r="AT11" s="163" t="n">
        <f aca="false">AS11/AR11</f>
        <v>1.02006956261923</v>
      </c>
      <c r="AU11" s="162" t="n">
        <f aca="false">$C$31*AR11</f>
        <v>1134.16446601152</v>
      </c>
      <c r="AV11" s="53"/>
      <c r="AW11" s="162" t="s">
        <v>66</v>
      </c>
      <c r="AX11" s="157" t="n">
        <v>994.939266319325</v>
      </c>
      <c r="AY11" s="162" t="n">
        <f aca="false">SUM(AX9/2,AX10:AX12,AX13/2)/4</f>
        <v>1014.59401118721</v>
      </c>
      <c r="AZ11" s="163" t="n">
        <f aca="false">AY11/AX11</f>
        <v>1.01975471823581</v>
      </c>
      <c r="BA11" s="162" t="n">
        <f aca="false">$C$31*AX11</f>
        <v>988.703485975671</v>
      </c>
    </row>
    <row r="12" customFormat="false" ht="12.8" hidden="false" customHeight="false" outlineLevel="0" collapsed="false">
      <c r="A12" s="158" t="s">
        <v>65</v>
      </c>
      <c r="B12" s="159" t="n">
        <v>1240.79435920704</v>
      </c>
      <c r="C12" s="159" t="n">
        <f aca="false">SUM(B10/2,B11:B13,B14/2)/4</f>
        <v>1257.06940991045</v>
      </c>
      <c r="D12" s="160" t="n">
        <f aca="false">C12/B12</f>
        <v>1.01311663821055</v>
      </c>
      <c r="E12" s="159" t="n">
        <f aca="false">B12*$C$28</f>
        <v>1248.14698568505</v>
      </c>
      <c r="F12" s="53"/>
      <c r="G12" s="159" t="s">
        <v>65</v>
      </c>
      <c r="H12" s="159" t="n">
        <v>1214.98292863787</v>
      </c>
      <c r="I12" s="159" t="n">
        <f aca="false">SUM(H10/2,H11:H13,H14/2)/4</f>
        <v>1229.2376945353</v>
      </c>
      <c r="J12" s="160" t="n">
        <f aca="false">I12/H12</f>
        <v>1.01173248245835</v>
      </c>
      <c r="K12" s="159" t="n">
        <f aca="false">H12*$C$28</f>
        <v>1222.18260325369</v>
      </c>
      <c r="L12" s="53"/>
      <c r="M12" s="159" t="s">
        <v>65</v>
      </c>
      <c r="N12" s="159" t="n">
        <v>1208.11163120715</v>
      </c>
      <c r="O12" s="159" t="n">
        <f aca="false">SUM(N10/2,N11:N13,N14/2)/4</f>
        <v>1105.2911237925</v>
      </c>
      <c r="P12" s="160" t="n">
        <f aca="false">O12/N12</f>
        <v>0.914891550781688</v>
      </c>
      <c r="Q12" s="159" t="n">
        <f aca="false">N12*$C$28</f>
        <v>1215.27058829145</v>
      </c>
      <c r="R12" s="53"/>
      <c r="S12" s="159" t="s">
        <v>65</v>
      </c>
      <c r="T12" s="159" t="n">
        <v>1304.1922827886</v>
      </c>
      <c r="U12" s="159" t="n">
        <f aca="false">SUM(T10/2,T11:T13,T14/2)/4</f>
        <v>1264.91762755859</v>
      </c>
      <c r="V12" s="160" t="n">
        <f aca="false">U12/T12</f>
        <v>0.969885839880883</v>
      </c>
      <c r="W12" s="159" t="n">
        <f aca="false">T12*$C$28</f>
        <v>1311.92058896576</v>
      </c>
      <c r="X12" s="53"/>
      <c r="Y12" s="159" t="s">
        <v>65</v>
      </c>
      <c r="Z12" s="159" t="n">
        <v>1966.13801286875</v>
      </c>
      <c r="AA12" s="159" t="n">
        <f aca="false">SUM(Z10/2,Z11:Z13,Z14/2)/4</f>
        <v>2000.00279971018</v>
      </c>
      <c r="AB12" s="159" t="n">
        <f aca="false">AA12/Z12</f>
        <v>1.01722401307527</v>
      </c>
      <c r="AC12" s="159" t="n">
        <f aca="false">Z12*$C$28</f>
        <v>1977.78883824974</v>
      </c>
      <c r="AD12" s="53"/>
      <c r="AE12" s="159" t="s">
        <v>65</v>
      </c>
      <c r="AF12" s="159" t="n">
        <v>1129.27794632521</v>
      </c>
      <c r="AG12" s="159" t="n">
        <f aca="false">SUM(AF10/2,AF11:AF13,AF14/2)/4</f>
        <v>1134.45778636741</v>
      </c>
      <c r="AH12" s="159" t="n">
        <f aca="false">AG12/AF12</f>
        <v>1.00458686017827</v>
      </c>
      <c r="AI12" s="159" t="n">
        <f aca="false">AF12*$C$28</f>
        <v>1135.9697553809</v>
      </c>
      <c r="AJ12" s="53"/>
      <c r="AK12" s="159" t="s">
        <v>65</v>
      </c>
      <c r="AL12" s="159" t="n">
        <v>1414.91884377939</v>
      </c>
      <c r="AM12" s="159" t="n">
        <f aca="false">SUM(AL10/2,AL11:AL13,AL14/2)/4</f>
        <v>1454.49345259998</v>
      </c>
      <c r="AN12" s="160" t="n">
        <f aca="false">AM12/AL12</f>
        <v>1.02796952559829</v>
      </c>
      <c r="AO12" s="159" t="n">
        <f aca="false">AL12*$C$28</f>
        <v>1423.30328692085</v>
      </c>
      <c r="AP12" s="53"/>
      <c r="AQ12" s="159" t="s">
        <v>65</v>
      </c>
      <c r="AR12" s="1" t="n">
        <v>1201.518748361</v>
      </c>
      <c r="AS12" s="159" t="n">
        <f aca="false">SUM(AR10/2,AR11:AR13,AR14/2)/4</f>
        <v>1218.20443127105</v>
      </c>
      <c r="AT12" s="160" t="n">
        <f aca="false">AS12/AR12</f>
        <v>1.01388715984067</v>
      </c>
      <c r="AU12" s="159" t="n">
        <f aca="false">AR12*$C$28</f>
        <v>1208.63863772661</v>
      </c>
      <c r="AV12" s="53"/>
      <c r="AW12" s="159" t="s">
        <v>65</v>
      </c>
      <c r="AX12" s="159" t="n">
        <v>1066.07001993893</v>
      </c>
      <c r="AY12" s="159" t="n">
        <f aca="false">SUM(AX10/2,AX11:AX13,AX14/2)/4</f>
        <v>1060.19160357429</v>
      </c>
      <c r="AZ12" s="160" t="n">
        <f aca="false">AY12/AX12</f>
        <v>0.994485900311714</v>
      </c>
      <c r="BA12" s="159" t="n">
        <f aca="false">AX12*$C$28</f>
        <v>1072.38727516971</v>
      </c>
    </row>
    <row r="13" customFormat="false" ht="12.8" hidden="false" customHeight="false" outlineLevel="0" collapsed="false">
      <c r="A13" s="1" t="s">
        <v>64</v>
      </c>
      <c r="B13" s="53" t="n">
        <v>1321.09879600648</v>
      </c>
      <c r="C13" s="157" t="n">
        <f aca="false">SUM(B11/2,B12:B14,B15/2)/4</f>
        <v>1336.72195916499</v>
      </c>
      <c r="D13" s="1" t="n">
        <f aca="false">C13/B13</f>
        <v>1.0118258855475</v>
      </c>
      <c r="E13" s="53" t="n">
        <f aca="false">B13*$C$29</f>
        <v>1323.75083284629</v>
      </c>
      <c r="F13" s="53"/>
      <c r="G13" s="53" t="s">
        <v>64</v>
      </c>
      <c r="H13" s="53" t="n">
        <v>1291.75009395494</v>
      </c>
      <c r="I13" s="157" t="n">
        <f aca="false">SUM(H11/2,H12:H14,H15/2)/4</f>
        <v>1302.70899454339</v>
      </c>
      <c r="J13" s="1" t="n">
        <f aca="false">I13/H13</f>
        <v>1.00848376217639</v>
      </c>
      <c r="K13" s="53" t="n">
        <f aca="false">H13*$C$29</f>
        <v>1294.34321480809</v>
      </c>
      <c r="L13" s="53"/>
      <c r="M13" s="53" t="s">
        <v>64</v>
      </c>
      <c r="N13" s="53" t="n">
        <v>1308.00740431248</v>
      </c>
      <c r="O13" s="157" t="n">
        <f aca="false">SUM(N11/2,N12:N14,N15/2)/4</f>
        <v>1359.95376522293</v>
      </c>
      <c r="P13" s="1" t="n">
        <f aca="false">O13/N13</f>
        <v>1.03971411839045</v>
      </c>
      <c r="Q13" s="53" t="n">
        <f aca="false">N13*$C$29</f>
        <v>1310.63316086715</v>
      </c>
      <c r="R13" s="53"/>
      <c r="S13" s="53" t="s">
        <v>64</v>
      </c>
      <c r="T13" s="53" t="n">
        <v>1275.99826797498</v>
      </c>
      <c r="U13" s="157" t="n">
        <f aca="false">SUM(T11/2,T12:T14,T15/2)/4</f>
        <v>1382.07214157749</v>
      </c>
      <c r="V13" s="1" t="n">
        <f aca="false">U13/T13</f>
        <v>1.08313010782597</v>
      </c>
      <c r="W13" s="53" t="n">
        <f aca="false">T13*$C$29</f>
        <v>1278.5597678601</v>
      </c>
      <c r="X13" s="53"/>
      <c r="Y13" s="53" t="s">
        <v>64</v>
      </c>
      <c r="Z13" s="53" t="n">
        <v>2159.83665969291</v>
      </c>
      <c r="AA13" s="157" t="n">
        <f aca="false">SUM(Z11/2,Z12:Z14,Z15/2)/4</f>
        <v>2199.63449355154</v>
      </c>
      <c r="AB13" s="53" t="n">
        <f aca="false">AA13/Z13</f>
        <v>1.0184263164902</v>
      </c>
      <c r="AC13" s="53" t="n">
        <f aca="false">Z13*$C$29</f>
        <v>2164.17241899176</v>
      </c>
      <c r="AD13" s="53"/>
      <c r="AE13" s="53" t="s">
        <v>64</v>
      </c>
      <c r="AF13" s="53" t="n">
        <v>1192.44587674258</v>
      </c>
      <c r="AG13" s="157" t="n">
        <f aca="false">SUM(AF11/2,AF12:AF14,AF15/2)/4</f>
        <v>1155.31843535808</v>
      </c>
      <c r="AH13" s="53" t="n">
        <f aca="false">AG13/AF13</f>
        <v>0.968864464116455</v>
      </c>
      <c r="AI13" s="53" t="n">
        <f aca="false">AF13*$C$29</f>
        <v>1194.83964956575</v>
      </c>
      <c r="AJ13" s="53"/>
      <c r="AK13" s="53" t="s">
        <v>64</v>
      </c>
      <c r="AL13" s="53" t="n">
        <v>1542.27190692296</v>
      </c>
      <c r="AM13" s="157" t="n">
        <f aca="false">SUM(AL11/2,AL12:AL14,AL15/2)/4</f>
        <v>1551.62027708177</v>
      </c>
      <c r="AN13" s="1" t="n">
        <f aca="false">AM13/AL13</f>
        <v>1.00606142802501</v>
      </c>
      <c r="AO13" s="53" t="n">
        <f aca="false">AL13*$C$29</f>
        <v>1545.36793723237</v>
      </c>
      <c r="AP13" s="53"/>
      <c r="AQ13" s="53" t="s">
        <v>64</v>
      </c>
      <c r="AR13" s="1" t="n">
        <v>1282.0268233471</v>
      </c>
      <c r="AS13" s="157" t="n">
        <f aca="false">SUM(AR11/2,AR12:AR14,AR15/2)/4</f>
        <v>1287.5909298988</v>
      </c>
      <c r="AT13" s="1" t="n">
        <f aca="false">AS13/AR13</f>
        <v>1.00434008590957</v>
      </c>
      <c r="AU13" s="53" t="n">
        <f aca="false">AR13*$C$29</f>
        <v>1284.60042524229</v>
      </c>
      <c r="AV13" s="53"/>
      <c r="AW13" s="53" t="s">
        <v>64</v>
      </c>
      <c r="AX13" s="53" t="n">
        <v>1087.67942286592</v>
      </c>
      <c r="AY13" s="157" t="n">
        <f aca="false">SUM(AX11/2,AX12:AX14,AX15/2)/4</f>
        <v>1114.40618200512</v>
      </c>
      <c r="AZ13" s="1" t="n">
        <f aca="false">AY13/AX13</f>
        <v>1.02457227614804</v>
      </c>
      <c r="BA13" s="53" t="n">
        <f aca="false">AX13*$C$29</f>
        <v>1089.86288250426</v>
      </c>
    </row>
    <row r="14" customFormat="false" ht="12.8" hidden="false" customHeight="false" outlineLevel="0" collapsed="false">
      <c r="A14" s="1" t="s">
        <v>62</v>
      </c>
      <c r="B14" s="53" t="n">
        <v>1429.74716735523</v>
      </c>
      <c r="C14" s="157" t="n">
        <f aca="false">SUM(B12/2,B13:B15,B16/2)/4</f>
        <v>1430.00156304394</v>
      </c>
      <c r="D14" s="1" t="n">
        <f aca="false">C14/B14</f>
        <v>1.00017793054221</v>
      </c>
      <c r="E14" s="53" t="n">
        <f aca="false">$C$30*B14</f>
        <v>1427.36565083631</v>
      </c>
      <c r="F14" s="53"/>
      <c r="G14" s="53" t="s">
        <v>62</v>
      </c>
      <c r="H14" s="53" t="n">
        <v>1387.5089758925</v>
      </c>
      <c r="I14" s="157" t="n">
        <f aca="false">SUM(H12/2,H13:H15,H16/2)/4</f>
        <v>1388.34676880482</v>
      </c>
      <c r="J14" s="1" t="n">
        <f aca="false">I14/H14</f>
        <v>1.00060381080546</v>
      </c>
      <c r="K14" s="53" t="n">
        <f aca="false">$C$30*H14</f>
        <v>1385.19781513507</v>
      </c>
      <c r="L14" s="53"/>
      <c r="M14" s="53" t="s">
        <v>62</v>
      </c>
      <c r="N14" s="53" t="n">
        <v>1507.31959673565</v>
      </c>
      <c r="O14" s="157" t="n">
        <f aca="false">SUM(N12/2,N13:N15,N16/2)/4</f>
        <v>1496.00405367994</v>
      </c>
      <c r="P14" s="1" t="n">
        <f aca="false">O14/N14</f>
        <v>0.992492937078366</v>
      </c>
      <c r="Q14" s="53" t="n">
        <f aca="false">$C$30*N14</f>
        <v>1504.80886854476</v>
      </c>
      <c r="R14" s="53"/>
      <c r="S14" s="53" t="s">
        <v>62</v>
      </c>
      <c r="T14" s="53" t="n">
        <v>1590.09321478376</v>
      </c>
      <c r="U14" s="157" t="n">
        <f aca="false">SUM(T12/2,T13:T15,T16/2)/4</f>
        <v>1510.33783952215</v>
      </c>
      <c r="V14" s="1" t="n">
        <f aca="false">U14/T14</f>
        <v>0.949842327154097</v>
      </c>
      <c r="W14" s="53" t="n">
        <f aca="false">$C$30*T14</f>
        <v>1587.44461134946</v>
      </c>
      <c r="X14" s="53"/>
      <c r="Y14" s="53" t="s">
        <v>62</v>
      </c>
      <c r="Z14" s="53" t="n">
        <v>2432.90857851927</v>
      </c>
      <c r="AA14" s="157" t="n">
        <f aca="false">SUM(Z12/2,Z13:Z15,Z16/2)/4</f>
        <v>2392.82670131284</v>
      </c>
      <c r="AB14" s="53" t="n">
        <f aca="false">AA14/Z14</f>
        <v>0.983525119866679</v>
      </c>
      <c r="AC14" s="53" t="n">
        <f aca="false">$C$30*Z14</f>
        <v>2428.85610539601</v>
      </c>
      <c r="AD14" s="53"/>
      <c r="AE14" s="53" t="s">
        <v>62</v>
      </c>
      <c r="AF14" s="53" t="n">
        <v>1160.68257446748</v>
      </c>
      <c r="AG14" s="157" t="n">
        <f aca="false">SUM(AF12/2,AF13:AF15,AF16/2)/4</f>
        <v>1185.58827647252</v>
      </c>
      <c r="AH14" s="53" t="n">
        <f aca="false">AG14/AF14</f>
        <v>1.02145780642607</v>
      </c>
      <c r="AI14" s="53" t="n">
        <f aca="false">$C$30*AF14</f>
        <v>1158.7492363309</v>
      </c>
      <c r="AJ14" s="53"/>
      <c r="AK14" s="53" t="s">
        <v>62</v>
      </c>
      <c r="AL14" s="53" t="n">
        <v>1663.79013275861</v>
      </c>
      <c r="AM14" s="157" t="n">
        <f aca="false">SUM(AL12/2,AL13:AL15,AL16/2)/4</f>
        <v>1650.21530199226</v>
      </c>
      <c r="AN14" s="1" t="n">
        <f aca="false">AM14/AL14</f>
        <v>0.991841019790251</v>
      </c>
      <c r="AO14" s="53" t="n">
        <f aca="false">$C$30*AL14</f>
        <v>1661.01877305554</v>
      </c>
      <c r="AP14" s="53"/>
      <c r="AQ14" s="53" t="s">
        <v>62</v>
      </c>
      <c r="AR14" s="1" t="n">
        <v>1363.34540926402</v>
      </c>
      <c r="AS14" s="157" t="n">
        <f aca="false">SUM(AR12/2,AR13:AR15,AR16/2)/4</f>
        <v>1368.38925271734</v>
      </c>
      <c r="AT14" s="1" t="n">
        <f aca="false">AS14/AR14</f>
        <v>1.00369960790497</v>
      </c>
      <c r="AU14" s="53" t="n">
        <f aca="false">$C$30*AR14</f>
        <v>1361.07449753411</v>
      </c>
      <c r="AV14" s="53"/>
      <c r="AW14" s="53" t="s">
        <v>62</v>
      </c>
      <c r="AX14" s="53" t="n">
        <v>1205.53413298421</v>
      </c>
      <c r="AY14" s="157" t="n">
        <f aca="false">SUM(AX12/2,AX13:AX15,AX16/2)/4</f>
        <v>1169.14151238833</v>
      </c>
      <c r="AZ14" s="1" t="n">
        <f aca="false">AY14/AX14</f>
        <v>0.969812036341276</v>
      </c>
      <c r="BA14" s="53" t="n">
        <f aca="false">$C$30*AX14</f>
        <v>1203.52608602501</v>
      </c>
    </row>
    <row r="15" customFormat="false" ht="12.8" hidden="false" customHeight="false" outlineLevel="0" collapsed="false">
      <c r="A15" s="161" t="s">
        <v>61</v>
      </c>
      <c r="B15" s="162" t="n">
        <v>1537.72825488232</v>
      </c>
      <c r="C15" s="162" t="n">
        <f aca="false">SUM(B13/2,B14:B16,B17/2)/4</f>
        <v>1503.39937304221</v>
      </c>
      <c r="D15" s="163" t="n">
        <f aca="false">C15/B15</f>
        <v>0.977675586222</v>
      </c>
      <c r="E15" s="162" t="n">
        <f aca="false">$C$31*B15</f>
        <v>1528.09054537554</v>
      </c>
      <c r="F15" s="53"/>
      <c r="G15" s="162" t="s">
        <v>61</v>
      </c>
      <c r="H15" s="157" t="n">
        <v>1485.27350460214</v>
      </c>
      <c r="I15" s="162" t="n">
        <f aca="false">SUM(H13/2,H14:H16,H17/2)/4</f>
        <v>1455.32285756535</v>
      </c>
      <c r="J15" s="163" t="n">
        <f aca="false">I15/H15</f>
        <v>0.979834928082952</v>
      </c>
      <c r="K15" s="162" t="n">
        <f aca="false">$C$31*H15</f>
        <v>1475.96455516323</v>
      </c>
      <c r="L15" s="53"/>
      <c r="M15" s="162" t="s">
        <v>61</v>
      </c>
      <c r="N15" s="157" t="n">
        <v>1681.37343506626</v>
      </c>
      <c r="O15" s="162" t="n">
        <f aca="false">SUM(N13/2,N14:N16,N17/2)/4</f>
        <v>1601.57873207215</v>
      </c>
      <c r="P15" s="163" t="n">
        <f aca="false">O15/N15</f>
        <v>0.952541950925398</v>
      </c>
      <c r="Q15" s="162" t="n">
        <f aca="false">$C$31*N15</f>
        <v>1670.83542961039</v>
      </c>
      <c r="R15" s="53"/>
      <c r="S15" s="162" t="s">
        <v>61</v>
      </c>
      <c r="T15" s="157" t="n">
        <v>1575.39779170744</v>
      </c>
      <c r="U15" s="162" t="n">
        <f aca="false">SUM(T13/2,T14:T16,T17/2)/4</f>
        <v>1620.76347427667</v>
      </c>
      <c r="V15" s="163" t="n">
        <f aca="false">U15/T15</f>
        <v>1.02879633500061</v>
      </c>
      <c r="W15" s="162" t="n">
        <f aca="false">$C$31*T15</f>
        <v>1565.5239884357</v>
      </c>
      <c r="X15" s="53"/>
      <c r="Y15" s="162" t="s">
        <v>61</v>
      </c>
      <c r="Z15" s="157" t="n">
        <v>2675.76581050053</v>
      </c>
      <c r="AA15" s="162" t="n">
        <f aca="false">SUM(Z13/2,Z14:Z16,Z17/2)/4</f>
        <v>2510.2809598922</v>
      </c>
      <c r="AB15" s="162" t="n">
        <f aca="false">AA15/Z15</f>
        <v>0.938154209924159</v>
      </c>
      <c r="AC15" s="162" t="n">
        <f aca="false">$C$31*Z15</f>
        <v>2658.9954523388</v>
      </c>
      <c r="AD15" s="53"/>
      <c r="AE15" s="162" t="s">
        <v>61</v>
      </c>
      <c r="AF15" s="157" t="n">
        <v>1193.78975802594</v>
      </c>
      <c r="AG15" s="162" t="n">
        <f aca="false">SUM(AF13/2,AF14:AF16,AF17/2)/4</f>
        <v>1217.19234814845</v>
      </c>
      <c r="AH15" s="162" t="n">
        <f aca="false">AG15/AF15</f>
        <v>1.01960361107572</v>
      </c>
      <c r="AI15" s="162" t="n">
        <f aca="false">$C$31*AF15</f>
        <v>1186.30768252691</v>
      </c>
      <c r="AJ15" s="53"/>
      <c r="AK15" s="162" t="s">
        <v>61</v>
      </c>
      <c r="AL15" s="157" t="n">
        <v>1797.02475863398</v>
      </c>
      <c r="AM15" s="162" t="n">
        <f aca="false">SUM(AL13/2,AL14:AL16,AL17/2)/4</f>
        <v>1714.40362297256</v>
      </c>
      <c r="AN15" s="163" t="n">
        <f aca="false">AM15/AL15</f>
        <v>0.954023373765741</v>
      </c>
      <c r="AO15" s="162" t="n">
        <f aca="false">$C$31*AL15</f>
        <v>1785.76190868294</v>
      </c>
      <c r="AP15" s="53"/>
      <c r="AQ15" s="162" t="s">
        <v>61</v>
      </c>
      <c r="AR15" s="1" t="n">
        <v>1465.62780445024</v>
      </c>
      <c r="AS15" s="162" t="n">
        <f aca="false">SUM(AR13/2,AR14:AR16,AR17/2)/4</f>
        <v>1430.54850754532</v>
      </c>
      <c r="AT15" s="163" t="n">
        <f aca="false">AS15/AR15</f>
        <v>0.976065344285636</v>
      </c>
      <c r="AU15" s="162" t="n">
        <f aca="false">$C$31*AR15</f>
        <v>1456.44198440726</v>
      </c>
      <c r="AV15" s="53"/>
      <c r="AW15" s="162" t="s">
        <v>61</v>
      </c>
      <c r="AX15" s="157" t="n">
        <v>1201.7430381435</v>
      </c>
      <c r="AY15" s="162" t="n">
        <f aca="false">SUM(AX13/2,AX14:AX16,AX17/2)/4</f>
        <v>1209.43366189443</v>
      </c>
      <c r="AZ15" s="163" t="n">
        <f aca="false">AY15/AX15</f>
        <v>1.006399557565</v>
      </c>
      <c r="BA15" s="162" t="n">
        <f aca="false">$C$31*AX15</f>
        <v>1194.21111547338</v>
      </c>
    </row>
    <row r="16" customFormat="false" ht="12.8" hidden="false" customHeight="false" outlineLevel="0" collapsed="false">
      <c r="A16" s="158" t="s">
        <v>57</v>
      </c>
      <c r="B16" s="159" t="n">
        <v>1622.06970865643</v>
      </c>
      <c r="C16" s="159" t="n">
        <f aca="false">SUM(B14/2,B15:B17,B18/2)/4</f>
        <v>1528.60365580068</v>
      </c>
      <c r="D16" s="160" t="n">
        <f aca="false">C16/B16</f>
        <v>0.942378522725039</v>
      </c>
      <c r="E16" s="159" t="n">
        <f aca="false">B16*$C$28</f>
        <v>1631.68167424972</v>
      </c>
      <c r="F16" s="53"/>
      <c r="G16" s="159" t="s">
        <v>57</v>
      </c>
      <c r="H16" s="159" t="n">
        <v>1562.72607290149</v>
      </c>
      <c r="I16" s="159" t="n">
        <f aca="false">SUM(H14/2,H15:H17,H18/2)/4</f>
        <v>1478.73003974201</v>
      </c>
      <c r="J16" s="160" t="n">
        <f aca="false">I16/H16</f>
        <v>0.946250315640078</v>
      </c>
      <c r="K16" s="159" t="n">
        <f aca="false">H16*$C$28</f>
        <v>1571.98638345677</v>
      </c>
      <c r="L16" s="53"/>
      <c r="M16" s="159" t="s">
        <v>57</v>
      </c>
      <c r="N16" s="159" t="n">
        <v>1766.51992600362</v>
      </c>
      <c r="O16" s="159" t="n">
        <f aca="false">SUM(N14/2,N15:N17,N18/2)/4</f>
        <v>1639.06330713006</v>
      </c>
      <c r="P16" s="160" t="n">
        <f aca="false">O16/N16</f>
        <v>0.927848751096793</v>
      </c>
      <c r="Q16" s="159" t="n">
        <f aca="false">N16*$C$28</f>
        <v>1776.98786622715</v>
      </c>
      <c r="R16" s="53"/>
      <c r="S16" s="159" t="s">
        <v>57</v>
      </c>
      <c r="T16" s="159" t="n">
        <v>1895.53188445621</v>
      </c>
      <c r="U16" s="159" t="n">
        <f aca="false">SUM(T14/2,T15:T17,T18/2)/4</f>
        <v>1611.02824264882</v>
      </c>
      <c r="V16" s="160" t="n">
        <f aca="false">U16/T16</f>
        <v>0.849908279496441</v>
      </c>
      <c r="W16" s="159" t="n">
        <f aca="false">T16*$C$28</f>
        <v>1906.76431618041</v>
      </c>
      <c r="X16" s="53"/>
      <c r="Y16" s="159" t="s">
        <v>57</v>
      </c>
      <c r="Z16" s="159" t="n">
        <v>2639.45350020853</v>
      </c>
      <c r="AA16" s="159" t="n">
        <f aca="false">SUM(Z14/2,Z15:Z17,Z18/2)/4</f>
        <v>2526.84803263921</v>
      </c>
      <c r="AB16" s="159" t="n">
        <f aca="false">AA16/Z16</f>
        <v>0.957337582359218</v>
      </c>
      <c r="AC16" s="159" t="n">
        <f aca="false">Z16*$C$28</f>
        <v>2655.09421903443</v>
      </c>
      <c r="AD16" s="53"/>
      <c r="AE16" s="159" t="s">
        <v>57</v>
      </c>
      <c r="AF16" s="159" t="n">
        <v>1261.59184698293</v>
      </c>
      <c r="AG16" s="159" t="n">
        <f aca="false">SUM(AF14/2,AF15:AF17,AF18/2)/4</f>
        <v>1241.46877906063</v>
      </c>
      <c r="AH16" s="159" t="n">
        <f aca="false">AG16/AF16</f>
        <v>0.984049462613106</v>
      </c>
      <c r="AI16" s="159" t="n">
        <f aca="false">AF16*$C$28</f>
        <v>1269.06771399485</v>
      </c>
      <c r="AJ16" s="53"/>
      <c r="AK16" s="159" t="s">
        <v>57</v>
      </c>
      <c r="AL16" s="159" t="n">
        <v>1780.62997552756</v>
      </c>
      <c r="AM16" s="159" t="n">
        <f aca="false">SUM(AL14/2,AL15:AL17,AL18/2)/4</f>
        <v>1728.82936751298</v>
      </c>
      <c r="AN16" s="160" t="n">
        <f aca="false">AM16/AL16</f>
        <v>0.970908830736026</v>
      </c>
      <c r="AO16" s="159" t="n">
        <f aca="false">AL16*$C$28</f>
        <v>1791.18152825542</v>
      </c>
      <c r="AP16" s="53"/>
      <c r="AQ16" s="159" t="s">
        <v>57</v>
      </c>
      <c r="AR16" s="1" t="n">
        <v>1523.59519925498</v>
      </c>
      <c r="AS16" s="159" t="n">
        <f aca="false">SUM(AR14/2,AR15:AR17,AR18/2)/4</f>
        <v>1454.58721822597</v>
      </c>
      <c r="AT16" s="160" t="n">
        <f aca="false">AS16/AR16</f>
        <v>0.954707141987087</v>
      </c>
      <c r="AU16" s="159" t="n">
        <f aca="false">AR16*$C$28</f>
        <v>1532.62363037307</v>
      </c>
      <c r="AV16" s="53"/>
      <c r="AW16" s="159" t="s">
        <v>57</v>
      </c>
      <c r="AX16" s="159" t="n">
        <v>1297.14889118046</v>
      </c>
      <c r="AY16" s="159" t="n">
        <f aca="false">SUM(AX14/2,AX15:AX17,AX18/2)/4</f>
        <v>1202.93553938333</v>
      </c>
      <c r="AZ16" s="160" t="n">
        <f aca="false">AY16/AX16</f>
        <v>0.927368899254587</v>
      </c>
      <c r="BA16" s="159" t="n">
        <f aca="false">AX16*$C$28</f>
        <v>1304.83546004052</v>
      </c>
    </row>
    <row r="17" customFormat="false" ht="12.8" hidden="false" customHeight="false" outlineLevel="0" collapsed="false">
      <c r="A17" s="1" t="s">
        <v>56</v>
      </c>
      <c r="B17" s="53" t="n">
        <v>1527.0059265432</v>
      </c>
      <c r="C17" s="157" t="n">
        <f aca="false">SUM(B15/2,B16:B18,B19/2)/4</f>
        <v>1522.06079624426</v>
      </c>
      <c r="D17" s="1" t="n">
        <f aca="false">C17/B17</f>
        <v>0.996761551338486</v>
      </c>
      <c r="E17" s="53" t="n">
        <f aca="false">B17*$C$29</f>
        <v>1530.07131119425</v>
      </c>
      <c r="F17" s="53"/>
      <c r="G17" s="53" t="s">
        <v>56</v>
      </c>
      <c r="H17" s="53" t="n">
        <v>1479.81565977561</v>
      </c>
      <c r="I17" s="157" t="n">
        <f aca="false">SUM(H15/2,H16:H18,H19/2)/4</f>
        <v>1474.04514524972</v>
      </c>
      <c r="J17" s="1" t="n">
        <f aca="false">I17/H17</f>
        <v>0.996100518001837</v>
      </c>
      <c r="K17" s="53" t="n">
        <f aca="false">H17*$C$29</f>
        <v>1482.78631243059</v>
      </c>
      <c r="L17" s="53"/>
      <c r="M17" s="53" t="s">
        <v>56</v>
      </c>
      <c r="N17" s="53" t="n">
        <v>1594.19653665369</v>
      </c>
      <c r="O17" s="157" t="n">
        <f aca="false">SUM(N15/2,N16:N18,N19/2)/4</f>
        <v>1626.42596535796</v>
      </c>
      <c r="P17" s="1" t="n">
        <f aca="false">O17/N17</f>
        <v>1.02021672231952</v>
      </c>
      <c r="Q17" s="53" t="n">
        <f aca="false">N17*$C$29</f>
        <v>1597.39680294557</v>
      </c>
      <c r="R17" s="53"/>
      <c r="S17" s="53" t="s">
        <v>56</v>
      </c>
      <c r="T17" s="53" t="n">
        <v>1568.06374434358</v>
      </c>
      <c r="U17" s="157" t="n">
        <f aca="false">SUM(T15/2,T16:T18,T19/2)/4</f>
        <v>1522.67603973537</v>
      </c>
      <c r="V17" s="1" t="n">
        <f aca="false">U17/T17</f>
        <v>0.971054936527971</v>
      </c>
      <c r="W17" s="53" t="n">
        <f aca="false">T17*$C$29</f>
        <v>1571.21155041966</v>
      </c>
      <c r="X17" s="53"/>
      <c r="Y17" s="53" t="s">
        <v>56</v>
      </c>
      <c r="Z17" s="53" t="n">
        <v>2426.15524098804</v>
      </c>
      <c r="AA17" s="157" t="n">
        <f aca="false">SUM(Z15/2,Z16:Z18,Z19/2)/4</f>
        <v>2486.97161340715</v>
      </c>
      <c r="AB17" s="53" t="n">
        <f aca="false">AA17/Z17</f>
        <v>1.02506697485456</v>
      </c>
      <c r="AC17" s="53" t="n">
        <f aca="false">Z17*$C$29</f>
        <v>2431.02562093059</v>
      </c>
      <c r="AD17" s="53"/>
      <c r="AE17" s="53" t="s">
        <v>56</v>
      </c>
      <c r="AF17" s="53" t="n">
        <v>1312.96454949235</v>
      </c>
      <c r="AG17" s="157" t="n">
        <f aca="false">SUM(AF15/2,AF16:AF18,AF19/2)/4</f>
        <v>1263.14024018432</v>
      </c>
      <c r="AH17" s="53" t="n">
        <f aca="false">AG17/AF17</f>
        <v>0.962052052869746</v>
      </c>
      <c r="AI17" s="53" t="n">
        <f aca="false">AF17*$C$29</f>
        <v>1315.60025725709</v>
      </c>
      <c r="AJ17" s="53"/>
      <c r="AK17" s="53" t="s">
        <v>56</v>
      </c>
      <c r="AL17" s="53" t="n">
        <v>1690.06734301718</v>
      </c>
      <c r="AM17" s="157" t="n">
        <f aca="false">SUM(AL15/2,AL16:AL18,AL19/2)/4</f>
        <v>1706.48658396267</v>
      </c>
      <c r="AN17" s="1" t="n">
        <f aca="false">AM17/AL17</f>
        <v>1.00971514005837</v>
      </c>
      <c r="AO17" s="53" t="n">
        <f aca="false">AL17*$C$29</f>
        <v>1693.46006494607</v>
      </c>
      <c r="AP17" s="53"/>
      <c r="AQ17" s="53" t="s">
        <v>56</v>
      </c>
      <c r="AR17" s="1" t="n">
        <v>1457.22441107701</v>
      </c>
      <c r="AS17" s="157" t="n">
        <f aca="false">SUM(AR15/2,AR16:AR18,AR19/2)/4</f>
        <v>1454.396093083</v>
      </c>
      <c r="AT17" s="1" t="n">
        <f aca="false">AS17/AR17</f>
        <v>0.998059106083794</v>
      </c>
      <c r="AU17" s="53" t="n">
        <f aca="false">AR17*$C$29</f>
        <v>1460.14971298004</v>
      </c>
      <c r="AV17" s="53"/>
      <c r="AW17" s="53" t="s">
        <v>56</v>
      </c>
      <c r="AX17" s="53" t="n">
        <v>1178.9377476732</v>
      </c>
      <c r="AY17" s="157" t="n">
        <f aca="false">SUM(AX15/2,AX16:AX18,AX19/2)/4</f>
        <v>1170.40184442368</v>
      </c>
      <c r="AZ17" s="1" t="n">
        <f aca="false">AY17/AX17</f>
        <v>0.992759665837859</v>
      </c>
      <c r="BA17" s="53" t="n">
        <f aca="false">AX17*$C$29</f>
        <v>1181.30440363271</v>
      </c>
    </row>
    <row r="18" customFormat="false" ht="12.8" hidden="false" customHeight="false" outlineLevel="0" collapsed="false">
      <c r="A18" s="1" t="s">
        <v>54</v>
      </c>
      <c r="B18" s="53" t="n">
        <v>1425.47429888632</v>
      </c>
      <c r="C18" s="157" t="n">
        <f aca="false">SUM(B16/2,B17:B19,B20/2)/4</f>
        <v>1509.87364469195</v>
      </c>
      <c r="D18" s="1" t="n">
        <f aca="false">C18/B18</f>
        <v>1.05920790425444</v>
      </c>
      <c r="E18" s="53" t="n">
        <f aca="false">$C$30*B18</f>
        <v>1423.09989964455</v>
      </c>
      <c r="F18" s="53"/>
      <c r="G18" s="53" t="s">
        <v>54</v>
      </c>
      <c r="H18" s="53" t="n">
        <v>1386.70086748513</v>
      </c>
      <c r="I18" s="157" t="n">
        <f aca="false">SUM(H16/2,H17:H19,H20/2)/4</f>
        <v>1464.87195882125</v>
      </c>
      <c r="J18" s="1" t="n">
        <f aca="false">I18/H18</f>
        <v>1.05637199281334</v>
      </c>
      <c r="K18" s="53" t="n">
        <f aca="false">$C$30*H18</f>
        <v>1384.39105278633</v>
      </c>
      <c r="L18" s="53"/>
      <c r="M18" s="53" t="s">
        <v>54</v>
      </c>
      <c r="N18" s="53" t="n">
        <v>1521.00706485767</v>
      </c>
      <c r="O18" s="157" t="n">
        <f aca="false">SUM(N16/2,N17:N19,N20/2)/4</f>
        <v>1596.09031781427</v>
      </c>
      <c r="P18" s="1" t="n">
        <f aca="false">O18/N18</f>
        <v>1.04936417107545</v>
      </c>
      <c r="Q18" s="53" t="n">
        <f aca="false">$C$30*N18</f>
        <v>1518.47353757882</v>
      </c>
      <c r="R18" s="53"/>
      <c r="S18" s="53" t="s">
        <v>54</v>
      </c>
      <c r="T18" s="53" t="n">
        <v>1220.14588539237</v>
      </c>
      <c r="U18" s="157" t="n">
        <f aca="false">SUM(T16/2,T17:T19,T20/2)/4</f>
        <v>1404.66900863444</v>
      </c>
      <c r="V18" s="1" t="n">
        <f aca="false">U18/T18</f>
        <v>1.1512303778189</v>
      </c>
      <c r="W18" s="53" t="n">
        <f aca="false">$C$30*T18</f>
        <v>1218.1134997735</v>
      </c>
      <c r="X18" s="53"/>
      <c r="Y18" s="53" t="s">
        <v>54</v>
      </c>
      <c r="Z18" s="53" t="n">
        <v>2299.1265792002</v>
      </c>
      <c r="AA18" s="157" t="n">
        <f aca="false">SUM(Z16/2,Z17:Z19,Z20/2)/4</f>
        <v>2462.77547466784</v>
      </c>
      <c r="AB18" s="53" t="n">
        <f aca="false">AA18/Z18</f>
        <v>1.07117872367191</v>
      </c>
      <c r="AC18" s="53" t="n">
        <f aca="false">$C$30*Z18</f>
        <v>2295.29694550518</v>
      </c>
      <c r="AD18" s="53"/>
      <c r="AE18" s="53" t="s">
        <v>54</v>
      </c>
      <c r="AF18" s="53" t="n">
        <v>1234.3753490151</v>
      </c>
      <c r="AG18" s="157" t="n">
        <f aca="false">SUM(AF16/2,AF17:AF19,AF20/2)/4</f>
        <v>1289.70687628076</v>
      </c>
      <c r="AH18" s="53" t="n">
        <f aca="false">AG18/AF18</f>
        <v>1.04482552840172</v>
      </c>
      <c r="AI18" s="53" t="n">
        <f aca="false">$C$30*AF18</f>
        <v>1232.31926151141</v>
      </c>
      <c r="AJ18" s="53"/>
      <c r="AK18" s="53" t="s">
        <v>54</v>
      </c>
      <c r="AL18" s="53" t="n">
        <v>1631.4006529878</v>
      </c>
      <c r="AM18" s="157" t="n">
        <f aca="false">SUM(AL16/2,AL17:AL19,AL20/2)/4</f>
        <v>1678.92077412346</v>
      </c>
      <c r="AN18" s="1" t="n">
        <f aca="false">AM18/AL18</f>
        <v>1.02912841860682</v>
      </c>
      <c r="AO18" s="53" t="n">
        <f aca="false">$C$30*AL18</f>
        <v>1628.68324413903</v>
      </c>
      <c r="AP18" s="53"/>
      <c r="AQ18" s="53" t="s">
        <v>54</v>
      </c>
      <c r="AR18" s="1" t="n">
        <v>1380.45750697927</v>
      </c>
      <c r="AS18" s="157" t="n">
        <f aca="false">SUM(AR16/2,AR17:AR19,AR20/2)/4</f>
        <v>1450.58758481185</v>
      </c>
      <c r="AT18" s="1" t="n">
        <f aca="false">AS18/AR18</f>
        <v>1.05080205473766</v>
      </c>
      <c r="AU18" s="53" t="n">
        <f aca="false">$C$30*AR18</f>
        <v>1378.15809178783</v>
      </c>
      <c r="AV18" s="53"/>
      <c r="AW18" s="53" t="s">
        <v>54</v>
      </c>
      <c r="AX18" s="53" t="n">
        <v>1062.29082808812</v>
      </c>
      <c r="AY18" s="157" t="n">
        <f aca="false">SUM(AX16/2,AX17:AX19,AX20/2)/4</f>
        <v>1130.2893512018</v>
      </c>
      <c r="AZ18" s="1" t="n">
        <f aca="false">AY18/AX18</f>
        <v>1.0640112117282</v>
      </c>
      <c r="BA18" s="53" t="n">
        <f aca="false">$C$30*AX18</f>
        <v>1060.52138016561</v>
      </c>
    </row>
    <row r="19" customFormat="false" ht="12.8" hidden="false" customHeight="false" outlineLevel="0" collapsed="false">
      <c r="A19" s="161" t="s">
        <v>53</v>
      </c>
      <c r="B19" s="162" t="n">
        <v>1489.65824689988</v>
      </c>
      <c r="C19" s="162" t="n">
        <f aca="false">SUM(B17/2,B18:B20,B21/2)/4</f>
        <v>1509.28482265167</v>
      </c>
      <c r="D19" s="163" t="n">
        <f aca="false">C19/B19</f>
        <v>1.01317522041894</v>
      </c>
      <c r="E19" s="162" t="n">
        <f aca="false">$C$31*B19</f>
        <v>1480.32181609527</v>
      </c>
      <c r="F19" s="53"/>
      <c r="G19" s="162" t="s">
        <v>53</v>
      </c>
      <c r="H19" s="157" t="n">
        <v>1448.60245707112</v>
      </c>
      <c r="I19" s="162" t="n">
        <f aca="false">SUM(H17/2,H18:H20,H21/2)/4</f>
        <v>1465.85470104898</v>
      </c>
      <c r="J19" s="163" t="n">
        <f aca="false">I19/H19</f>
        <v>1.01190957801683</v>
      </c>
      <c r="K19" s="162" t="n">
        <f aca="false">$C$31*H19</f>
        <v>1439.52334336703</v>
      </c>
      <c r="L19" s="53"/>
      <c r="M19" s="162" t="s">
        <v>53</v>
      </c>
      <c r="N19" s="157" t="n">
        <v>1566.58723276744</v>
      </c>
      <c r="O19" s="162" t="n">
        <f aca="false">SUM(N17/2,N18:N20,N21/2)/4</f>
        <v>1575.56357132018</v>
      </c>
      <c r="P19" s="163" t="n">
        <f aca="false">O19/N19</f>
        <v>1.0057298683182</v>
      </c>
      <c r="Q19" s="162" t="n">
        <f aca="false">$C$31*N19</f>
        <v>1556.7686496605</v>
      </c>
      <c r="R19" s="53"/>
      <c r="S19" s="162" t="s">
        <v>53</v>
      </c>
      <c r="T19" s="157" t="n">
        <v>1238.52749779118</v>
      </c>
      <c r="U19" s="162" t="n">
        <f aca="false">SUM(T17/2,T18:T20,T21/2)/4</f>
        <v>1289.3927316984</v>
      </c>
      <c r="V19" s="163" t="n">
        <f aca="false">U19/T19</f>
        <v>1.04106911957783</v>
      </c>
      <c r="W19" s="162" t="n">
        <f aca="false">$C$31*T19</f>
        <v>1230.76502857598</v>
      </c>
      <c r="X19" s="53"/>
      <c r="Y19" s="162" t="s">
        <v>53</v>
      </c>
      <c r="Z19" s="157" t="n">
        <v>2490.53645596309</v>
      </c>
      <c r="AA19" s="162" t="n">
        <f aca="false">SUM(Z17/2,Z18:Z20,Z21/2)/4</f>
        <v>2487.09652877164</v>
      </c>
      <c r="AB19" s="162" t="n">
        <f aca="false">AA19/Z19</f>
        <v>0.998618800707287</v>
      </c>
      <c r="AC19" s="162" t="n">
        <f aca="false">$C$31*Z19</f>
        <v>2474.92702250018</v>
      </c>
      <c r="AD19" s="53"/>
      <c r="AE19" s="162" t="s">
        <v>53</v>
      </c>
      <c r="AF19" s="157" t="n">
        <v>1293.46867246783</v>
      </c>
      <c r="AG19" s="162" t="n">
        <f aca="false">SUM(AF17/2,AF18:AF20,AF21/2)/4</f>
        <v>1321.011024756</v>
      </c>
      <c r="AH19" s="162" t="n">
        <f aca="false">AG19/AF19</f>
        <v>1.02129340499265</v>
      </c>
      <c r="AI19" s="162" t="n">
        <f aca="false">$C$31*AF19</f>
        <v>1285.36185952361</v>
      </c>
      <c r="AJ19" s="53"/>
      <c r="AK19" s="162" t="s">
        <v>53</v>
      </c>
      <c r="AL19" s="157" t="n">
        <v>1650.67197000228</v>
      </c>
      <c r="AM19" s="162" t="n">
        <f aca="false">SUM(AL17/2,AL18:AL20,AL21/2)/4</f>
        <v>1666.95176476085</v>
      </c>
      <c r="AN19" s="163" t="n">
        <f aca="false">AM19/AL19</f>
        <v>1.00986252571948</v>
      </c>
      <c r="AO19" s="162" t="n">
        <f aca="false">$C$31*AL19</f>
        <v>1640.32638593217</v>
      </c>
      <c r="AP19" s="53"/>
      <c r="AQ19" s="162" t="s">
        <v>53</v>
      </c>
      <c r="AR19" s="1" t="n">
        <v>1446.98670559127</v>
      </c>
      <c r="AS19" s="162" t="n">
        <f aca="false">SUM(AR17/2,AR18:AR20,AR21/2)/4</f>
        <v>1456.03889502512</v>
      </c>
      <c r="AT19" s="163" t="n">
        <f aca="false">AS19/AR19</f>
        <v>1.00625588984257</v>
      </c>
      <c r="AU19" s="162" t="n">
        <f aca="false">$C$31*AR19</f>
        <v>1437.91771860714</v>
      </c>
      <c r="AV19" s="53"/>
      <c r="AW19" s="162" t="s">
        <v>53</v>
      </c>
      <c r="AX19" s="157" t="n">
        <v>1084.71678336241</v>
      </c>
      <c r="AY19" s="162" t="n">
        <f aca="false">SUM(AX17/2,AX18:AX20,AX21/2)/4</f>
        <v>1091.75826651936</v>
      </c>
      <c r="AZ19" s="163" t="n">
        <f aca="false">AY19/AX19</f>
        <v>1.00649154070901</v>
      </c>
      <c r="BA19" s="162" t="n">
        <f aca="false">$C$31*AX19</f>
        <v>1077.91832256676</v>
      </c>
    </row>
    <row r="20" customFormat="false" ht="12.8" hidden="false" customHeight="false" outlineLevel="0" collapsed="false">
      <c r="A20" s="158" t="s">
        <v>52</v>
      </c>
      <c r="B20" s="159" t="n">
        <v>1572.64250422039</v>
      </c>
      <c r="C20" s="159" t="n">
        <f aca="false">SUM(B18/2,B19:B21,B22/2)/4</f>
        <v>1536.03148749585</v>
      </c>
      <c r="D20" s="160" t="n">
        <f aca="false">C20/B20</f>
        <v>0.976720064079226</v>
      </c>
      <c r="E20" s="159" t="n">
        <f aca="false">B20*$C$28</f>
        <v>1581.96157698307</v>
      </c>
      <c r="F20" s="53"/>
      <c r="G20" s="159" t="s">
        <v>52</v>
      </c>
      <c r="H20" s="159" t="n">
        <v>1526.01162900482</v>
      </c>
      <c r="I20" s="159" t="n">
        <f aca="false">SUM(H18/2,H19:H21,H22/2)/4</f>
        <v>1491.12962819466</v>
      </c>
      <c r="J20" s="160" t="n">
        <f aca="false">I20/H20</f>
        <v>0.977141720189308</v>
      </c>
      <c r="K20" s="159" t="n">
        <f aca="false">H20*$C$28</f>
        <v>1535.05437926067</v>
      </c>
      <c r="L20" s="53"/>
      <c r="M20" s="159" t="s">
        <v>52</v>
      </c>
      <c r="N20" s="159" t="n">
        <v>1638.62094795298</v>
      </c>
      <c r="O20" s="159" t="n">
        <f aca="false">SUM(N18/2,N19:N21,N22/2)/4</f>
        <v>1589.27835273653</v>
      </c>
      <c r="P20" s="160" t="n">
        <f aca="false">O20/N20</f>
        <v>0.969887730729864</v>
      </c>
      <c r="Q20" s="159" t="n">
        <f aca="false">N20*$C$28</f>
        <v>1648.33099190986</v>
      </c>
      <c r="R20" s="53"/>
      <c r="S20" s="159" t="s">
        <v>52</v>
      </c>
      <c r="T20" s="159" t="n">
        <v>1288.34592956504</v>
      </c>
      <c r="U20" s="159" t="n">
        <f aca="false">SUM(T18/2,T19:T21,T22/2)/4</f>
        <v>1248.85631166378</v>
      </c>
      <c r="V20" s="160" t="n">
        <f aca="false">U20/T20</f>
        <v>0.969348591092613</v>
      </c>
      <c r="W20" s="159" t="n">
        <f aca="false">T20*$C$28</f>
        <v>1295.98033435119</v>
      </c>
      <c r="X20" s="53"/>
      <c r="Y20" s="159" t="s">
        <v>52</v>
      </c>
      <c r="Z20" s="159" t="n">
        <v>2631.11374483153</v>
      </c>
      <c r="AA20" s="159" t="n">
        <f aca="false">SUM(Z18/2,Z19:Z21,Z22/2)/4</f>
        <v>2546.91249688276</v>
      </c>
      <c r="AB20" s="159" t="n">
        <f aca="false">AA20/Z20</f>
        <v>0.967997868539825</v>
      </c>
      <c r="AC20" s="159" t="n">
        <f aca="false">Z20*$C$28</f>
        <v>2646.70504442389</v>
      </c>
      <c r="AD20" s="53"/>
      <c r="AE20" s="159" t="s">
        <v>52</v>
      </c>
      <c r="AF20" s="159" t="n">
        <v>1374.44602131255</v>
      </c>
      <c r="AG20" s="159" t="n">
        <f aca="false">SUM(AF18/2,AF19:AF21,AF22/2)/4</f>
        <v>1363.98840569761</v>
      </c>
      <c r="AH20" s="159" t="n">
        <f aca="false">AG20/AF20</f>
        <v>0.992391395913129</v>
      </c>
      <c r="AI20" s="159" t="n">
        <f aca="false">AF20*$C$28</f>
        <v>1382.59063297516</v>
      </c>
      <c r="AJ20" s="53"/>
      <c r="AK20" s="159" t="s">
        <v>52</v>
      </c>
      <c r="AL20" s="159" t="n">
        <v>1706.45628544561</v>
      </c>
      <c r="AM20" s="159" t="n">
        <f aca="false">SUM(AL18/2,AL19:AL21,AL22/2)/4</f>
        <v>1672.16566499039</v>
      </c>
      <c r="AN20" s="160" t="n">
        <f aca="false">AM20/AL20</f>
        <v>0.9799053625061</v>
      </c>
      <c r="AO20" s="159" t="n">
        <f aca="false">AL20*$C$28</f>
        <v>1716.56830406887</v>
      </c>
      <c r="AP20" s="53"/>
      <c r="AQ20" s="159" t="s">
        <v>52</v>
      </c>
      <c r="AR20" s="1" t="n">
        <v>1511.7682319447</v>
      </c>
      <c r="AS20" s="159" t="n">
        <f aca="false">SUM(AR18/2,AR19:AR21,AR22/2)/4</f>
        <v>1484.02180648356</v>
      </c>
      <c r="AT20" s="160" t="n">
        <f aca="false">AS20/AR20</f>
        <v>0.981646376160818</v>
      </c>
      <c r="AU20" s="159" t="n">
        <f aca="false">AR20*$C$28</f>
        <v>1520.7265795132</v>
      </c>
      <c r="AV20" s="53"/>
      <c r="AW20" s="159" t="s">
        <v>52</v>
      </c>
      <c r="AX20" s="159" t="n">
        <v>1093.27520018645</v>
      </c>
      <c r="AY20" s="159" t="n">
        <f aca="false">SUM(AX18/2,AX19:AX21,AX22/2)/4</f>
        <v>1090.2655333677</v>
      </c>
      <c r="AZ20" s="160" t="n">
        <f aca="false">AY20/AX20</f>
        <v>0.99724710958573</v>
      </c>
      <c r="BA20" s="159" t="n">
        <f aca="false">AX20*$C$28</f>
        <v>1099.75366627956</v>
      </c>
    </row>
    <row r="21" customFormat="false" ht="12.8" hidden="false" customHeight="false" outlineLevel="0" collapsed="false">
      <c r="A21" s="1" t="s">
        <v>51</v>
      </c>
      <c r="B21" s="53" t="n">
        <v>1571.72255465698</v>
      </c>
      <c r="C21" s="157" t="n">
        <f aca="false">SUM(B19/2,B20:B22,B23/2)/4</f>
        <v>1576.24869675636</v>
      </c>
      <c r="D21" s="1" t="n">
        <f aca="false">C21/B21</f>
        <v>1.00287973350384</v>
      </c>
      <c r="E21" s="53" t="n">
        <f aca="false">B21*$C$29</f>
        <v>1574.87770560369</v>
      </c>
      <c r="F21" s="53"/>
      <c r="G21" s="53" t="s">
        <v>51</v>
      </c>
      <c r="H21" s="53" t="n">
        <v>1524.39204149411</v>
      </c>
      <c r="I21" s="157" t="n">
        <f aca="false">SUM(H19/2,H20:H22,H23/2)/4</f>
        <v>1528.31672643579</v>
      </c>
      <c r="J21" s="1" t="n">
        <f aca="false">I21/H21</f>
        <v>1.00257459028573</v>
      </c>
      <c r="K21" s="53" t="n">
        <f aca="false">H21*$C$29</f>
        <v>1527.45217890743</v>
      </c>
      <c r="L21" s="53"/>
      <c r="M21" s="53" t="s">
        <v>51</v>
      </c>
      <c r="N21" s="53" t="n">
        <v>1557.88154275155</v>
      </c>
      <c r="O21" s="157" t="n">
        <f aca="false">SUM(N19/2,N20:N22,N23/2)/4</f>
        <v>1638.04672106437</v>
      </c>
      <c r="P21" s="1" t="n">
        <f aca="false">O21/N21</f>
        <v>1.05145781377654</v>
      </c>
      <c r="Q21" s="53" t="n">
        <f aca="false">N21*$C$29</f>
        <v>1561.00890858969</v>
      </c>
      <c r="R21" s="53"/>
      <c r="S21" s="53" t="s">
        <v>51</v>
      </c>
      <c r="T21" s="53" t="n">
        <v>1253.03948374645</v>
      </c>
      <c r="U21" s="157" t="n">
        <f aca="false">SUM(T19/2,T20:T22,T23/2)/4</f>
        <v>1254.29847331602</v>
      </c>
      <c r="V21" s="1" t="n">
        <f aca="false">U21/T21</f>
        <v>1.00100474852221</v>
      </c>
      <c r="W21" s="53" t="n">
        <f aca="false">T21*$C$29</f>
        <v>1255.55489507123</v>
      </c>
      <c r="X21" s="53"/>
      <c r="Y21" s="53" t="s">
        <v>51</v>
      </c>
      <c r="Z21" s="53" t="n">
        <v>2629.06342919543</v>
      </c>
      <c r="AA21" s="157" t="n">
        <f aca="false">SUM(Z19/2,Z20:Z22,Z23/2)/4</f>
        <v>2601.79727346069</v>
      </c>
      <c r="AB21" s="53" t="n">
        <f aca="false">AA21/Z21</f>
        <v>0.989628947163483</v>
      </c>
      <c r="AC21" s="53" t="n">
        <f aca="false">Z21*$C$29</f>
        <v>2634.34113672911</v>
      </c>
      <c r="AD21" s="53"/>
      <c r="AE21" s="53" t="s">
        <v>51</v>
      </c>
      <c r="AF21" s="53" t="n">
        <v>1450.54356296467</v>
      </c>
      <c r="AG21" s="157" t="n">
        <f aca="false">SUM(AF19/2,AF20:AF22,AF23/2)/4</f>
        <v>1399.47231994982</v>
      </c>
      <c r="AH21" s="53" t="n">
        <f aca="false">AG21/AF21</f>
        <v>0.964791651682305</v>
      </c>
      <c r="AI21" s="53" t="n">
        <f aca="false">AF21*$C$29</f>
        <v>1453.45545341401</v>
      </c>
      <c r="AJ21" s="53"/>
      <c r="AK21" s="53" t="s">
        <v>51</v>
      </c>
      <c r="AL21" s="53" t="n">
        <v>1668.48895819827</v>
      </c>
      <c r="AM21" s="157" t="n">
        <f aca="false">SUM(AL19/2,AL20:AL22,AL23/2)/4</f>
        <v>1697.01117905767</v>
      </c>
      <c r="AN21" s="1" t="n">
        <f aca="false">AM21/AL21</f>
        <v>1.01709464166319</v>
      </c>
      <c r="AO21" s="53" t="n">
        <f aca="false">AL21*$C$29</f>
        <v>1671.83836264655</v>
      </c>
      <c r="AP21" s="53"/>
      <c r="AQ21" s="53" t="s">
        <v>51</v>
      </c>
      <c r="AR21" s="1" t="n">
        <v>1512.66186009343</v>
      </c>
      <c r="AS21" s="157" t="n">
        <f aca="false">SUM(AR19/2,AR20:AR22,AR23/2)/4</f>
        <v>1522.22311677371</v>
      </c>
      <c r="AT21" s="1" t="n">
        <f aca="false">AS21/AR21</f>
        <v>1.00632081559833</v>
      </c>
      <c r="AU21" s="53" t="n">
        <f aca="false">AR21*$C$29</f>
        <v>1515.69844978019</v>
      </c>
      <c r="AV21" s="53"/>
      <c r="AW21" s="53" t="s">
        <v>51</v>
      </c>
      <c r="AX21" s="53" t="n">
        <v>1074.56276120768</v>
      </c>
      <c r="AY21" s="157" t="n">
        <f aca="false">SUM(AX19/2,AX20:AX22,AX23/2)/4</f>
        <v>1111.15351233828</v>
      </c>
      <c r="AZ21" s="1" t="n">
        <f aca="false">AY21/AX21</f>
        <v>1.03405175802805</v>
      </c>
      <c r="BA21" s="53" t="n">
        <f aca="false">AX21*$C$29</f>
        <v>1076.71988983275</v>
      </c>
    </row>
    <row r="22" customFormat="false" ht="12.8" hidden="false" customHeight="false" outlineLevel="0" collapsed="false">
      <c r="A22" s="1" t="s">
        <v>33</v>
      </c>
      <c r="B22" s="53" t="n">
        <v>1594.73098952601</v>
      </c>
      <c r="C22" s="157" t="n">
        <f aca="false">SUM(B20/2,B21:B23,B24/2)/4</f>
        <v>1644.89817748293</v>
      </c>
      <c r="D22" s="1" t="n">
        <f aca="false">C22/B22</f>
        <v>1.03145808809537</v>
      </c>
      <c r="E22" s="53" t="n">
        <f aca="false">$C$30*B22</f>
        <v>1592.07466099359</v>
      </c>
      <c r="F22" s="53"/>
      <c r="G22" s="53" t="s">
        <v>33</v>
      </c>
      <c r="H22" s="53" t="n">
        <v>1544.32390293204</v>
      </c>
      <c r="I22" s="157" t="n">
        <f aca="false">SUM(H20/2,H21:H23,H24/2)/4</f>
        <v>1591.47993776664</v>
      </c>
      <c r="J22" s="1" t="n">
        <f aca="false">I22/H22</f>
        <v>1.03053506764032</v>
      </c>
      <c r="K22" s="53" t="n">
        <f aca="false">$C$30*H22</f>
        <v>1541.75153701353</v>
      </c>
      <c r="L22" s="53"/>
      <c r="M22" s="53" t="s">
        <v>33</v>
      </c>
      <c r="N22" s="53" t="n">
        <v>1667.04031009066</v>
      </c>
      <c r="O22" s="157" t="n">
        <f aca="false">SUM(N20/2,N21:N23,N24/2)/4</f>
        <v>1752.10998614315</v>
      </c>
      <c r="P22" s="1" t="n">
        <f aca="false">O22/N22</f>
        <v>1.05103036533524</v>
      </c>
      <c r="Q22" s="53" t="n">
        <f aca="false">$C$30*N22</f>
        <v>1664.26353659753</v>
      </c>
      <c r="R22" s="53"/>
      <c r="S22" s="53" t="s">
        <v>33</v>
      </c>
      <c r="T22" s="53" t="n">
        <v>1210.87878571249</v>
      </c>
      <c r="U22" s="157" t="n">
        <f aca="false">SUM(T20/2,T21:T23,T24/2)/4</f>
        <v>1265.19502570363</v>
      </c>
      <c r="V22" s="1" t="n">
        <f aca="false">U22/T22</f>
        <v>1.04485687637114</v>
      </c>
      <c r="W22" s="53" t="n">
        <f aca="false">$C$30*T22</f>
        <v>1208.8618362151</v>
      </c>
      <c r="X22" s="53"/>
      <c r="Y22" s="53" t="s">
        <v>33</v>
      </c>
      <c r="Z22" s="53" t="n">
        <v>2574.74613588176</v>
      </c>
      <c r="AA22" s="157" t="n">
        <f aca="false">SUM(Z20/2,Z21:Z23,Z24/2)/4</f>
        <v>2669.91532092204</v>
      </c>
      <c r="AB22" s="53" t="n">
        <f aca="false">AA22/Z22</f>
        <v>1.03696255087599</v>
      </c>
      <c r="AC22" s="53" t="n">
        <f aca="false">$C$30*Z22</f>
        <v>2570.45740526236</v>
      </c>
      <c r="AD22" s="53"/>
      <c r="AE22" s="53" t="s">
        <v>33</v>
      </c>
      <c r="AF22" s="53" t="n">
        <v>1440.61538307566</v>
      </c>
      <c r="AG22" s="157" t="n">
        <f aca="false">SUM(AF20/2,AF21:AF23,AF24/2)/4</f>
        <v>1426.00193237488</v>
      </c>
      <c r="AH22" s="53" t="n">
        <f aca="false">AG22/AF22</f>
        <v>0.989856105333555</v>
      </c>
      <c r="AI22" s="53" t="n">
        <f aca="false">$C$30*AF22</f>
        <v>1438.2157634712</v>
      </c>
      <c r="AJ22" s="53"/>
      <c r="AK22" s="53" t="s">
        <v>33</v>
      </c>
      <c r="AL22" s="53" t="n">
        <v>1694.69023964302</v>
      </c>
      <c r="AM22" s="157" t="n">
        <f aca="false">SUM(AL20/2,AL21:AL23,AL24/2)/4</f>
        <v>1758.61865045295</v>
      </c>
      <c r="AN22" s="1" t="n">
        <f aca="false">AM22/AL22</f>
        <v>1.03772277040044</v>
      </c>
      <c r="AO22" s="53" t="n">
        <f aca="false">$C$30*AL22</f>
        <v>1691.86740992017</v>
      </c>
      <c r="AP22" s="53"/>
      <c r="AQ22" s="53" t="s">
        <v>33</v>
      </c>
      <c r="AR22" s="1" t="n">
        <v>1548.88334963042</v>
      </c>
      <c r="AS22" s="157" t="n">
        <f aca="false">SUM(AR20/2,AR21:AR23,AR24/2)/4</f>
        <v>1586.89444575168</v>
      </c>
      <c r="AT22" s="1" t="n">
        <f aca="false">AS22/AR22</f>
        <v>1.02454096761407</v>
      </c>
      <c r="AU22" s="53" t="n">
        <f aca="false">$C$30*AR22</f>
        <v>1546.30338908407</v>
      </c>
      <c r="AV22" s="53"/>
      <c r="AW22" s="53" t="s">
        <v>33</v>
      </c>
      <c r="AX22" s="53" t="n">
        <v>1154.72394934038</v>
      </c>
      <c r="AY22" s="157" t="n">
        <f aca="false">SUM(AX20/2,AX21:AX23,AX24/2)/4</f>
        <v>1134.25441728234</v>
      </c>
      <c r="AZ22" s="1" t="n">
        <f aca="false">AY22/AX22</f>
        <v>0.982273224635431</v>
      </c>
      <c r="BA22" s="53" t="n">
        <f aca="false">$C$30*AX22</f>
        <v>1152.80053643009</v>
      </c>
    </row>
    <row r="23" customFormat="false" ht="12.8" hidden="false" customHeight="false" outlineLevel="0" collapsed="false">
      <c r="A23" s="161" t="s">
        <v>35</v>
      </c>
      <c r="B23" s="162" t="n">
        <v>1642.13923034423</v>
      </c>
      <c r="C23" s="162" t="n">
        <f aca="false">SUM(B21/2,B22:B24,B25/2)/4</f>
        <v>1762.56264718611</v>
      </c>
      <c r="D23" s="163" t="n">
        <f aca="false">C23/B23</f>
        <v>1.07333325616771</v>
      </c>
      <c r="E23" s="162" t="n">
        <f aca="false">$C$31*B23</f>
        <v>1631.84712520699</v>
      </c>
      <c r="F23" s="53"/>
      <c r="G23" s="162" t="s">
        <v>35</v>
      </c>
      <c r="H23" s="157" t="n">
        <v>1588.47620755325</v>
      </c>
      <c r="I23" s="162" t="n">
        <f aca="false">SUM(H21/2,H22:H24,H25/2)/4</f>
        <v>1700.81764895103</v>
      </c>
      <c r="J23" s="163" t="n">
        <f aca="false">I23/H23</f>
        <v>1.0707227724681</v>
      </c>
      <c r="K23" s="162" t="n">
        <f aca="false">$C$31*H23</f>
        <v>1578.52043533002</v>
      </c>
      <c r="L23" s="53"/>
      <c r="M23" s="162" t="s">
        <v>35</v>
      </c>
      <c r="N23" s="157" t="n">
        <v>1810.70093415713</v>
      </c>
      <c r="O23" s="162" t="n">
        <f aca="false">SUM(N21/2,N22:N24,N25/2)/4</f>
        <v>1965.82023599022</v>
      </c>
      <c r="P23" s="163" t="n">
        <f aca="false">O23/N23</f>
        <v>1.085668096209</v>
      </c>
      <c r="Q23" s="162" t="n">
        <f aca="false">$C$31*N23</f>
        <v>1799.35236879673</v>
      </c>
      <c r="R23" s="53"/>
      <c r="S23" s="162" t="s">
        <v>35</v>
      </c>
      <c r="T23" s="157" t="n">
        <v>1291.33189068898</v>
      </c>
      <c r="U23" s="162" t="n">
        <f aca="false">SUM(T21/2,T22:T24,T25/2)/4</f>
        <v>1314.55601254663</v>
      </c>
      <c r="V23" s="163" t="n">
        <f aca="false">U23/T23</f>
        <v>1.01798462658988</v>
      </c>
      <c r="W23" s="162" t="n">
        <f aca="false">$C$31*T23</f>
        <v>1283.23847002132</v>
      </c>
      <c r="X23" s="53"/>
      <c r="Y23" s="162" t="s">
        <v>35</v>
      </c>
      <c r="Z23" s="157" t="n">
        <v>2653.99511190498</v>
      </c>
      <c r="AA23" s="162" t="n">
        <f aca="false">SUM(Z21/2,Z22:Z24,Z25/2)/4</f>
        <v>2765.72310654647</v>
      </c>
      <c r="AB23" s="162" t="n">
        <f aca="false">AA23/Z23</f>
        <v>1.04209804085181</v>
      </c>
      <c r="AC23" s="162" t="n">
        <f aca="false">$C$31*Z23</f>
        <v>2637.3612015637</v>
      </c>
      <c r="AD23" s="53"/>
      <c r="AE23" s="162" t="s">
        <v>35</v>
      </c>
      <c r="AF23" s="157" t="n">
        <v>1371.09995242497</v>
      </c>
      <c r="AG23" s="162" t="n">
        <f aca="false">SUM(AF21/2,AF22:AF24,AF25/2)/4</f>
        <v>1446.07383877395</v>
      </c>
      <c r="AH23" s="162" t="n">
        <f aca="false">AG23/AF23</f>
        <v>1.05468156148381</v>
      </c>
      <c r="AI23" s="162" t="n">
        <f aca="false">$C$31*AF23</f>
        <v>1362.50658555129</v>
      </c>
      <c r="AJ23" s="53"/>
      <c r="AK23" s="162" t="s">
        <v>35</v>
      </c>
      <c r="AL23" s="157" t="n">
        <v>1786.14649588524</v>
      </c>
      <c r="AM23" s="162" t="n">
        <f aca="false">SUM(AL21/2,AL22:AL24,AL25/2)/4</f>
        <v>1875.97977373214</v>
      </c>
      <c r="AN23" s="163" t="n">
        <f aca="false">AM23/AL23</f>
        <v>1.05029446243847</v>
      </c>
      <c r="AO23" s="162" t="n">
        <f aca="false">$C$31*AL23</f>
        <v>1774.95182542949</v>
      </c>
      <c r="AP23" s="53"/>
      <c r="AQ23" s="162" t="s">
        <v>35</v>
      </c>
      <c r="AR23" s="1" t="n">
        <v>1584.1713452613</v>
      </c>
      <c r="AS23" s="162" t="n">
        <f aca="false">SUM(AR21/2,AR22:AR24,AR25/2)/4</f>
        <v>1698.59963643089</v>
      </c>
      <c r="AT23" s="163" t="n">
        <f aca="false">AS23/AR23</f>
        <v>1.07223226926297</v>
      </c>
      <c r="AU23" s="162" t="n">
        <f aca="false">$C$31*AR23</f>
        <v>1574.24255375596</v>
      </c>
      <c r="AV23" s="53"/>
      <c r="AW23" s="162" t="s">
        <v>35</v>
      </c>
      <c r="AX23" s="157" t="n">
        <v>1159.38749387483</v>
      </c>
      <c r="AY23" s="162" t="n">
        <f aca="false">SUM(AX21/2,AX22:AX24,AX25/2)/4</f>
        <v>1180.65325903831</v>
      </c>
      <c r="AZ23" s="163" t="n">
        <f aca="false">AY23/AX23</f>
        <v>1.01834224129191</v>
      </c>
      <c r="BA23" s="162" t="n">
        <f aca="false">$C$31*AX23</f>
        <v>1152.12103451422</v>
      </c>
    </row>
    <row r="24" customFormat="false" ht="12.8" hidden="false" customHeight="false" outlineLevel="0" collapsed="false">
      <c r="A24" s="158" t="s">
        <v>37</v>
      </c>
      <c r="B24" s="159" t="n">
        <v>1969.35736658864</v>
      </c>
      <c r="C24" s="159"/>
      <c r="D24" s="159"/>
      <c r="E24" s="159" t="n">
        <f aca="false">B24*$C$28</f>
        <v>1981.02726902719</v>
      </c>
      <c r="F24" s="53"/>
      <c r="G24" s="159" t="s">
        <v>37</v>
      </c>
      <c r="H24" s="159" t="n">
        <v>1891.44356916948</v>
      </c>
      <c r="I24" s="159"/>
      <c r="J24" s="159"/>
      <c r="K24" s="159" t="n">
        <f aca="false">H24*$C$28</f>
        <v>1902.65177459461</v>
      </c>
      <c r="L24" s="53"/>
      <c r="M24" s="159" t="s">
        <v>37</v>
      </c>
      <c r="N24" s="159" t="n">
        <v>2307.01336719354</v>
      </c>
      <c r="O24" s="159"/>
      <c r="P24" s="159"/>
      <c r="Q24" s="159" t="n">
        <f aca="false">N24*$C$28</f>
        <v>2320.68413176697</v>
      </c>
      <c r="R24" s="53"/>
      <c r="S24" s="159" t="s">
        <v>37</v>
      </c>
      <c r="T24" s="159" t="n">
        <v>1322.71395576813</v>
      </c>
      <c r="U24" s="159"/>
      <c r="V24" s="159"/>
      <c r="W24" s="159" t="n">
        <f aca="false">T24*$C$28</f>
        <v>1330.55201658929</v>
      </c>
      <c r="X24" s="53"/>
      <c r="Y24" s="159" t="s">
        <v>37</v>
      </c>
      <c r="Z24" s="159" t="n">
        <v>3012.59946858045</v>
      </c>
      <c r="AA24" s="159"/>
      <c r="AB24" s="159"/>
      <c r="AC24" s="159" t="n">
        <f aca="false">Z24*$C$28</f>
        <v>3030.45135391178</v>
      </c>
      <c r="AD24" s="53"/>
      <c r="AE24" s="159" t="s">
        <v>37</v>
      </c>
      <c r="AF24" s="159" t="n">
        <v>1509.05164075589</v>
      </c>
      <c r="AG24" s="159"/>
      <c r="AH24" s="159"/>
      <c r="AI24" s="159" t="n">
        <f aca="false">AF24*$C$28</f>
        <v>1517.99389050757</v>
      </c>
      <c r="AJ24" s="53"/>
      <c r="AK24" s="159" t="s">
        <v>37</v>
      </c>
      <c r="AL24" s="159" t="n">
        <v>2063.84153072489</v>
      </c>
      <c r="AM24" s="159"/>
      <c r="AN24" s="159"/>
      <c r="AO24" s="159" t="n">
        <f aca="false">AL24*$C$28</f>
        <v>2076.07132188458</v>
      </c>
      <c r="AP24" s="53"/>
      <c r="AQ24" s="159" t="s">
        <v>37</v>
      </c>
      <c r="AR24" s="1" t="n">
        <v>1891.95422409844</v>
      </c>
      <c r="AS24" s="159"/>
      <c r="AT24" s="159"/>
      <c r="AU24" s="159" t="n">
        <f aca="false">AR24*$C$28</f>
        <v>1903.16545553262</v>
      </c>
      <c r="AV24" s="53"/>
      <c r="AW24" s="159" t="s">
        <v>37</v>
      </c>
      <c r="AX24" s="159" t="n">
        <v>1203.41172922645</v>
      </c>
      <c r="AY24" s="159"/>
      <c r="AZ24" s="159"/>
      <c r="BA24" s="159" t="n">
        <f aca="false">AX24*$C$28</f>
        <v>1210.5428359071</v>
      </c>
    </row>
    <row r="25" customFormat="false" ht="12.8" hidden="false" customHeight="false" outlineLevel="0" collapsed="false">
      <c r="A25" s="1" t="s">
        <v>40</v>
      </c>
      <c r="B25" s="53" t="n">
        <v>2116.32344991411</v>
      </c>
      <c r="C25" s="53"/>
      <c r="D25" s="53"/>
      <c r="E25" s="53" t="n">
        <f aca="false">B25*$C$29</f>
        <v>2120.57185871676</v>
      </c>
      <c r="F25" s="53"/>
      <c r="G25" s="53" t="s">
        <v>40</v>
      </c>
      <c r="H25" s="53" t="n">
        <v>2033.66179080457</v>
      </c>
      <c r="I25" s="53"/>
      <c r="J25" s="53"/>
      <c r="K25" s="53" t="n">
        <f aca="false">H25*$C$29</f>
        <v>2037.74426064349</v>
      </c>
      <c r="L25" s="53"/>
      <c r="M25" s="53" t="s">
        <v>40</v>
      </c>
      <c r="N25" s="53" t="n">
        <v>2599.17112228757</v>
      </c>
      <c r="O25" s="53"/>
      <c r="P25" s="53"/>
      <c r="Q25" s="53" t="n">
        <f aca="false">N25*$C$29</f>
        <v>2604.38882257624</v>
      </c>
      <c r="R25" s="53"/>
      <c r="S25" s="53" t="s">
        <v>40</v>
      </c>
      <c r="T25" s="53" t="n">
        <v>1613.55935228735</v>
      </c>
      <c r="U25" s="53"/>
      <c r="V25" s="53"/>
      <c r="W25" s="53" t="n">
        <f aca="false">T25*$C$29</f>
        <v>1616.79848842041</v>
      </c>
      <c r="X25" s="53"/>
      <c r="Y25" s="53" t="s">
        <v>40</v>
      </c>
      <c r="Z25" s="53" t="n">
        <v>3014.03999044197</v>
      </c>
      <c r="AA25" s="53"/>
      <c r="AB25" s="53"/>
      <c r="AC25" s="53" t="n">
        <f aca="false">Z25*$C$29</f>
        <v>3020.09051831731</v>
      </c>
      <c r="AD25" s="53"/>
      <c r="AE25" s="53" t="s">
        <v>40</v>
      </c>
      <c r="AF25" s="53" t="n">
        <v>1476.51319471387</v>
      </c>
      <c r="AG25" s="53"/>
      <c r="AH25" s="53"/>
      <c r="AI25" s="53" t="n">
        <f aca="false">AF25*$C$29</f>
        <v>1479.47721784271</v>
      </c>
      <c r="AJ25" s="53"/>
      <c r="AK25" s="53" t="s">
        <v>40</v>
      </c>
      <c r="AL25" s="53" t="n">
        <v>2249.99269915252</v>
      </c>
      <c r="AM25" s="53"/>
      <c r="AN25" s="53"/>
      <c r="AO25" s="53" t="n">
        <f aca="false">AL25*$C$29</f>
        <v>2254.50944199226</v>
      </c>
      <c r="AP25" s="53"/>
      <c r="AQ25" s="53" t="s">
        <v>40</v>
      </c>
      <c r="AR25" s="1" t="n">
        <v>2026.11739337336</v>
      </c>
      <c r="AS25" s="53"/>
      <c r="AT25" s="53"/>
      <c r="AU25" s="53" t="n">
        <f aca="false">AR25*$C$29</f>
        <v>2030.18471822843</v>
      </c>
      <c r="AV25" s="53"/>
      <c r="AW25" s="53" t="s">
        <v>40</v>
      </c>
      <c r="AX25" s="53" t="n">
        <v>1335.61696621548</v>
      </c>
      <c r="AY25" s="53"/>
      <c r="AZ25" s="53"/>
      <c r="BA25" s="53" t="n">
        <f aca="false">AX25*$C$29</f>
        <v>1338.29814752379</v>
      </c>
    </row>
    <row r="27" customFormat="false" ht="12.8" hidden="false" customHeight="false" outlineLevel="0" collapsed="false">
      <c r="E27" s="1" t="s">
        <v>175</v>
      </c>
      <c r="K27" s="1" t="s">
        <v>175</v>
      </c>
      <c r="Q27" s="1" t="s">
        <v>175</v>
      </c>
      <c r="S27" s="1"/>
      <c r="W27" s="1" t="s">
        <v>175</v>
      </c>
      <c r="Y27" s="1"/>
      <c r="AC27" s="1" t="s">
        <v>175</v>
      </c>
      <c r="AE27" s="1"/>
      <c r="AI27" s="1" t="s">
        <v>175</v>
      </c>
      <c r="AK27" s="1"/>
      <c r="AO27" s="1" t="s">
        <v>175</v>
      </c>
      <c r="AQ27" s="1"/>
      <c r="AU27" s="1" t="s">
        <v>175</v>
      </c>
      <c r="AW27" s="1"/>
      <c r="BA27" s="1" t="s">
        <v>175</v>
      </c>
    </row>
    <row r="28" customFormat="false" ht="12.8" hidden="false" customHeight="false" outlineLevel="0" collapsed="false">
      <c r="A28" s="1" t="s">
        <v>151</v>
      </c>
      <c r="B28" s="1" t="n">
        <f aca="false">AVERAGE(D4,D8,D12,D16,D20)</f>
        <v>1.01426170733092</v>
      </c>
      <c r="C28" s="1" t="n">
        <f aca="false">B28/B$32</f>
        <v>1.00592574137967</v>
      </c>
      <c r="D28" s="117" t="n">
        <f aca="false">C28-1</f>
        <v>0.00592574137966784</v>
      </c>
      <c r="E28" s="117" t="n">
        <f aca="false">1-C28</f>
        <v>-0.00592574137966784</v>
      </c>
      <c r="G28" s="1" t="s">
        <v>151</v>
      </c>
      <c r="H28" s="1" t="n">
        <f aca="false">AVERAGE(J4,J8,J12,J16,J20)</f>
        <v>1.01234218128663</v>
      </c>
      <c r="I28" s="1" t="n">
        <f aca="false">H28/H$32</f>
        <v>1.0045820247689</v>
      </c>
      <c r="J28" s="117" t="n">
        <f aca="false">I28-1</f>
        <v>0.00458202476889702</v>
      </c>
      <c r="K28" s="117" t="n">
        <f aca="false">1-I28</f>
        <v>-0.00458202476889702</v>
      </c>
      <c r="M28" s="1" t="s">
        <v>151</v>
      </c>
      <c r="N28" s="1" t="n">
        <f aca="false">AVERAGE(P4,P8,P12,P16,P20)</f>
        <v>0.759155473360831</v>
      </c>
      <c r="O28" s="1" t="n">
        <f aca="false">N28/N$32</f>
        <v>0.997349794201463</v>
      </c>
      <c r="P28" s="117" t="n">
        <f aca="false">O28-1</f>
        <v>-0.00265020579853703</v>
      </c>
      <c r="Q28" s="117" t="n">
        <f aca="false">1-O28</f>
        <v>0.00265020579853703</v>
      </c>
      <c r="S28" s="1" t="s">
        <v>151</v>
      </c>
      <c r="T28" s="1" t="n">
        <f aca="false">AVERAGE(V4,V8,V12,V16,V20)</f>
        <v>0.960463661039786</v>
      </c>
      <c r="U28" s="1" t="n">
        <f aca="false">T28/T$32</f>
        <v>0.953045764662939</v>
      </c>
      <c r="V28" s="117" t="n">
        <f aca="false">U28-1</f>
        <v>-0.0469542353370612</v>
      </c>
      <c r="W28" s="117" t="n">
        <f aca="false">1-U28</f>
        <v>0.0469542353370612</v>
      </c>
      <c r="Y28" s="1" t="s">
        <v>151</v>
      </c>
      <c r="Z28" s="1" t="n">
        <f aca="false">AVERAGE(AB4,AB8,AB12,AB16,AB20)</f>
        <v>1.04623430365701</v>
      </c>
      <c r="AA28" s="1" t="n">
        <f aca="false">Z28/Z$32</f>
        <v>1.03615471009304</v>
      </c>
      <c r="AB28" s="117" t="n">
        <f aca="false">AA28-1</f>
        <v>0.0361547100930437</v>
      </c>
      <c r="AC28" s="117" t="n">
        <f aca="false">1-AA28</f>
        <v>-0.0361547100930437</v>
      </c>
      <c r="AE28" s="1" t="s">
        <v>151</v>
      </c>
      <c r="AF28" s="1" t="n">
        <f aca="false">AVERAGE(AH4,AH8,AH12,AH16,AH20)</f>
        <v>1.02115628816073</v>
      </c>
      <c r="AG28" s="1" t="n">
        <f aca="false">AF28/AF$32</f>
        <v>1.01730876143967</v>
      </c>
      <c r="AH28" s="117" t="n">
        <f aca="false">AG28-1</f>
        <v>0.0173087614396654</v>
      </c>
      <c r="AI28" s="117" t="n">
        <f aca="false">1-AG28</f>
        <v>-0.0173087614396654</v>
      </c>
      <c r="AK28" s="1" t="s">
        <v>151</v>
      </c>
      <c r="AL28" s="1" t="n">
        <f aca="false">AVERAGE(AN4,AN8,AN12,AN16,AN20)</f>
        <v>1.03061083652541</v>
      </c>
      <c r="AM28" s="1" t="n">
        <f aca="false">AL28/AL$32</f>
        <v>1.02356910752898</v>
      </c>
      <c r="AN28" s="117" t="n">
        <f aca="false">AM28-1</f>
        <v>0.023569107528977</v>
      </c>
      <c r="AO28" s="117" t="n">
        <f aca="false">1-AM28</f>
        <v>-0.023569107528977</v>
      </c>
      <c r="AQ28" s="1" t="s">
        <v>151</v>
      </c>
      <c r="AR28" s="1" t="n">
        <f aca="false">AVERAGE(AT4,AT8,AT12,AT16,AT20)</f>
        <v>1.01691503394578</v>
      </c>
      <c r="AS28" s="1" t="n">
        <f aca="false">AR28/AR$32</f>
        <v>1.00908003171729</v>
      </c>
      <c r="AT28" s="117" t="n">
        <f aca="false">AS28-1</f>
        <v>0.00908003171728566</v>
      </c>
      <c r="AU28" s="117" t="n">
        <f aca="false">1-AS28</f>
        <v>-0.00908003171728566</v>
      </c>
      <c r="AW28" s="1" t="s">
        <v>151</v>
      </c>
      <c r="AX28" s="1" t="n">
        <f aca="false">AVERAGE(AZ4,AZ8,AZ12,AZ16,AZ20)</f>
        <v>0.991724862519842</v>
      </c>
      <c r="AY28" s="1" t="n">
        <f aca="false">AX28/AX$32</f>
        <v>0.988874485135995</v>
      </c>
      <c r="AZ28" s="117" t="n">
        <f aca="false">AY28-1</f>
        <v>-0.0111255148640055</v>
      </c>
      <c r="BA28" s="117" t="n">
        <f aca="false">1-AY28</f>
        <v>0.0111255148640055</v>
      </c>
    </row>
    <row r="29" customFormat="false" ht="12.8" hidden="false" customHeight="false" outlineLevel="0" collapsed="false">
      <c r="A29" s="1" t="s">
        <v>152</v>
      </c>
      <c r="B29" s="1" t="n">
        <f aca="false">AVERAGE(D5,D9,D13,D17,D21)</f>
        <v>1.010310943376</v>
      </c>
      <c r="C29" s="1" t="n">
        <f aca="false">B29/B$32</f>
        <v>1.00200744777592</v>
      </c>
      <c r="D29" s="117" t="n">
        <f aca="false">C29-1</f>
        <v>0.00200744777591733</v>
      </c>
      <c r="E29" s="117" t="n">
        <f aca="false">1-C29</f>
        <v>-0.00200744777591733</v>
      </c>
      <c r="G29" s="1" t="s">
        <v>152</v>
      </c>
      <c r="H29" s="1" t="n">
        <f aca="false">AVERAGE(J5,J9,J13,J17,J21)</f>
        <v>1.00923470584041</v>
      </c>
      <c r="I29" s="1" t="n">
        <f aca="false">H29/H$32</f>
        <v>1.0014983698216</v>
      </c>
      <c r="J29" s="117" t="n">
        <f aca="false">I29-1</f>
        <v>0.00149836982159668</v>
      </c>
      <c r="K29" s="117" t="n">
        <f aca="false">1-I29</f>
        <v>-0.00149836982159668</v>
      </c>
      <c r="M29" s="1" t="s">
        <v>152</v>
      </c>
      <c r="N29" s="1" t="n">
        <f aca="false">AVERAGE(P5,P9,P13,P17,P21)</f>
        <v>0.809807149862786</v>
      </c>
      <c r="O29" s="1" t="n">
        <f aca="false">N29/N$32</f>
        <v>1.06389405411642</v>
      </c>
      <c r="P29" s="117" t="n">
        <f aca="false">O29-1</f>
        <v>0.0638940541164172</v>
      </c>
      <c r="Q29" s="117" t="n">
        <f aca="false">1-O29</f>
        <v>-0.0638940541164172</v>
      </c>
      <c r="S29" s="1" t="s">
        <v>152</v>
      </c>
      <c r="T29" s="1" t="n">
        <f aca="false">AVERAGE(V5,V9,V13,V17,V21)</f>
        <v>1.0132129057007</v>
      </c>
      <c r="U29" s="1" t="n">
        <f aca="false">T29/T$32</f>
        <v>1.00538761397229</v>
      </c>
      <c r="V29" s="117" t="n">
        <f aca="false">U29-1</f>
        <v>0.00538761397229215</v>
      </c>
      <c r="W29" s="117" t="n">
        <f aca="false">1-U29</f>
        <v>-0.00538761397229215</v>
      </c>
      <c r="Y29" s="1" t="s">
        <v>152</v>
      </c>
      <c r="Z29" s="1" t="n">
        <f aca="false">AVERAGE(AB5,AB9,AB13,AB17,AB21)</f>
        <v>1.01892136650479</v>
      </c>
      <c r="AA29" s="1" t="n">
        <f aca="false">Z29/Z$32</f>
        <v>1.00910491027494</v>
      </c>
      <c r="AB29" s="117" t="n">
        <f aca="false">AA29-1</f>
        <v>0.00910491027493876</v>
      </c>
      <c r="AC29" s="117" t="n">
        <f aca="false">1-AA29</f>
        <v>-0.00910491027493876</v>
      </c>
      <c r="AE29" s="1" t="s">
        <v>152</v>
      </c>
      <c r="AF29" s="1" t="n">
        <f aca="false">AVERAGE(AH5,AH9,AH13,AH17,AH21)</f>
        <v>0.978605835697019</v>
      </c>
      <c r="AG29" s="1" t="n">
        <f aca="false">AF29/AF$32</f>
        <v>0.974918631156552</v>
      </c>
      <c r="AH29" s="117" t="n">
        <f aca="false">AG29-1</f>
        <v>-0.0250813688434479</v>
      </c>
      <c r="AI29" s="117" t="n">
        <f aca="false">1-AG29</f>
        <v>0.0250813688434479</v>
      </c>
      <c r="AK29" s="1" t="s">
        <v>152</v>
      </c>
      <c r="AL29" s="1" t="n">
        <f aca="false">AVERAGE(AN5,AN9,AN13,AN17,AN21)</f>
        <v>1.01953973423762</v>
      </c>
      <c r="AM29" s="1" t="n">
        <f aca="false">AL29/AL$32</f>
        <v>1.01257364941184</v>
      </c>
      <c r="AN29" s="117" t="n">
        <f aca="false">AM29-1</f>
        <v>0.0125736494118436</v>
      </c>
      <c r="AO29" s="117" t="n">
        <f aca="false">1-AM29</f>
        <v>-0.0125736494118436</v>
      </c>
      <c r="AQ29" s="1" t="s">
        <v>152</v>
      </c>
      <c r="AR29" s="1" t="n">
        <f aca="false">AVERAGE(AT5,AT9,AT13,AT17,AT21)</f>
        <v>1.00943508457989</v>
      </c>
      <c r="AS29" s="1" t="n">
        <f aca="false">AR29/AR$32</f>
        <v>1.00165771294786</v>
      </c>
      <c r="AT29" s="117" t="n">
        <f aca="false">AS29-1</f>
        <v>0.0016577129478581</v>
      </c>
      <c r="AU29" s="117" t="n">
        <f aca="false">1-AS29</f>
        <v>-0.0016577129478581</v>
      </c>
      <c r="AW29" s="1" t="s">
        <v>152</v>
      </c>
      <c r="AX29" s="1" t="n">
        <f aca="false">AVERAGE(AZ5,AZ9,AZ13,AZ17,AZ21)</f>
        <v>1.01610776105009</v>
      </c>
      <c r="AY29" s="1" t="n">
        <f aca="false">AX29/AX$32</f>
        <v>1.01318730327888</v>
      </c>
      <c r="AZ29" s="117" t="n">
        <f aca="false">AY29-1</f>
        <v>0.0131873032788807</v>
      </c>
      <c r="BA29" s="117" t="n">
        <f aca="false">1-AY29</f>
        <v>-0.0131873032788807</v>
      </c>
    </row>
    <row r="30" customFormat="false" ht="12.8" hidden="false" customHeight="false" outlineLevel="0" collapsed="false">
      <c r="A30" s="1" t="s">
        <v>153</v>
      </c>
      <c r="B30" s="1" t="n">
        <f aca="false">AVERAGE(D6,D10,D14,D18,D22)</f>
        <v>1.00660736614416</v>
      </c>
      <c r="C30" s="1" t="n">
        <f aca="false">B30/B$32</f>
        <v>0.998334309328742</v>
      </c>
      <c r="D30" s="117" t="n">
        <f aca="false">C30-1</f>
        <v>-0.00166569067125832</v>
      </c>
      <c r="E30" s="117" t="n">
        <f aca="false">1-C30</f>
        <v>0.00166569067125832</v>
      </c>
      <c r="G30" s="1" t="s">
        <v>153</v>
      </c>
      <c r="H30" s="1" t="n">
        <f aca="false">AVERAGE(J6,J10,J14,J18,J22)</f>
        <v>1.00669858757706</v>
      </c>
      <c r="I30" s="1" t="n">
        <f aca="false">H30/H$32</f>
        <v>0.998981692291863</v>
      </c>
      <c r="J30" s="117" t="n">
        <f aca="false">I30-1</f>
        <v>-0.00101830770813705</v>
      </c>
      <c r="K30" s="117" t="n">
        <f aca="false">1-I30</f>
        <v>0.00101830770813705</v>
      </c>
      <c r="M30" s="1" t="s">
        <v>153</v>
      </c>
      <c r="N30" s="1" t="n">
        <f aca="false">AVERAGE(P6,P10,P14,P18,P22)</f>
        <v>0.739708656569071</v>
      </c>
      <c r="O30" s="1" t="n">
        <f aca="false">N30/N$32</f>
        <v>0.971801300637594</v>
      </c>
      <c r="P30" s="117" t="n">
        <f aca="false">O30-1</f>
        <v>-0.028198699362406</v>
      </c>
      <c r="Q30" s="117" t="n">
        <f aca="false">1-O30</f>
        <v>0.028198699362406</v>
      </c>
      <c r="S30" s="1" t="s">
        <v>153</v>
      </c>
      <c r="T30" s="1" t="n">
        <f aca="false">AVERAGE(V6,V10,V14,V18,V22)</f>
        <v>1.04245851214169</v>
      </c>
      <c r="U30" s="1" t="n">
        <f aca="false">T30/T$32</f>
        <v>1.0344073494232</v>
      </c>
      <c r="V30" s="117" t="n">
        <f aca="false">U30-1</f>
        <v>0.034407349423196</v>
      </c>
      <c r="W30" s="117" t="n">
        <f aca="false">1-U30</f>
        <v>-0.034407349423196</v>
      </c>
      <c r="Y30" s="1" t="s">
        <v>153</v>
      </c>
      <c r="Z30" s="1" t="n">
        <f aca="false">AVERAGE(AB6,AB10,AB14,AB18,AB22)</f>
        <v>0.9955643271046</v>
      </c>
      <c r="AA30" s="1" t="n">
        <f aca="false">Z30/Z$32</f>
        <v>0.985972896438519</v>
      </c>
      <c r="AB30" s="117" t="n">
        <f aca="false">AA30-1</f>
        <v>-0.014027103561481</v>
      </c>
      <c r="AC30" s="117" t="n">
        <f aca="false">1-AA30</f>
        <v>0.014027103561481</v>
      </c>
      <c r="AE30" s="1" t="s">
        <v>153</v>
      </c>
      <c r="AF30" s="1" t="n">
        <f aca="false">AVERAGE(AH6,AH10,AH14,AH18,AH22)</f>
        <v>1.00153705791029</v>
      </c>
      <c r="AG30" s="1" t="n">
        <f aca="false">AF30/AF$32</f>
        <v>0.997763452795064</v>
      </c>
      <c r="AH30" s="117" t="n">
        <f aca="false">AG30-1</f>
        <v>-0.00223654720493627</v>
      </c>
      <c r="AI30" s="117" t="n">
        <f aca="false">1-AG30</f>
        <v>0.00223654720493627</v>
      </c>
      <c r="AK30" s="1" t="s">
        <v>153</v>
      </c>
      <c r="AL30" s="1" t="n">
        <f aca="false">AVERAGE(AN6,AN10,AN14,AN18,AN22)</f>
        <v>0.997231937059766</v>
      </c>
      <c r="AM30" s="1" t="n">
        <f aca="false">AL30/AL$32</f>
        <v>0.990418271999697</v>
      </c>
      <c r="AN30" s="117" t="n">
        <f aca="false">AM30-1</f>
        <v>-0.0095817280003031</v>
      </c>
      <c r="AO30" s="117" t="n">
        <f aca="false">1-AM30</f>
        <v>0.0095817280003031</v>
      </c>
      <c r="AQ30" s="1" t="s">
        <v>153</v>
      </c>
      <c r="AR30" s="1" t="n">
        <f aca="false">AVERAGE(AT6,AT10,AT14,AT18,AT22)</f>
        <v>1.00376819948495</v>
      </c>
      <c r="AS30" s="1" t="n">
        <f aca="false">AR30/AR$32</f>
        <v>0.996034489374151</v>
      </c>
      <c r="AT30" s="117" t="n">
        <f aca="false">AS30-1</f>
        <v>-0.00396551062584905</v>
      </c>
      <c r="AU30" s="117" t="n">
        <f aca="false">1-AS30</f>
        <v>0.00396551062584905</v>
      </c>
      <c r="AW30" s="1" t="s">
        <v>153</v>
      </c>
      <c r="AX30" s="1" t="n">
        <f aca="false">AVERAGE(AZ6,AZ10,AZ14,AZ18,AZ22)</f>
        <v>1.00325121770752</v>
      </c>
      <c r="AY30" s="1" t="n">
        <f aca="false">AX30/AX$32</f>
        <v>1.00036771171776</v>
      </c>
      <c r="AZ30" s="117" t="n">
        <f aca="false">AY30-1</f>
        <v>0.000367711717758512</v>
      </c>
      <c r="BA30" s="117" t="n">
        <f aca="false">1-AY30</f>
        <v>-0.000367711717758512</v>
      </c>
    </row>
    <row r="31" customFormat="false" ht="12.8" hidden="false" customHeight="false" outlineLevel="0" collapsed="false">
      <c r="A31" s="1" t="s">
        <v>154</v>
      </c>
      <c r="B31" s="1" t="n">
        <f aca="false">AVERAGE(D7,D11,D15,D19,D23)</f>
        <v>1.00196742379326</v>
      </c>
      <c r="C31" s="1" t="n">
        <f aca="false">B31/B$32</f>
        <v>0.993732501515673</v>
      </c>
      <c r="D31" s="117" t="n">
        <f aca="false">C31-1</f>
        <v>-0.00626749848432728</v>
      </c>
      <c r="E31" s="117" t="n">
        <f aca="false">1-C31</f>
        <v>0.00626749848432728</v>
      </c>
      <c r="G31" s="1" t="s">
        <v>154</v>
      </c>
      <c r="H31" s="1" t="n">
        <f aca="false">AVERAGE(J7,J11,J15,J19,J23)</f>
        <v>1.00262357117329</v>
      </c>
      <c r="I31" s="1" t="n">
        <f aca="false">H31/H$32</f>
        <v>0.994937913117643</v>
      </c>
      <c r="J31" s="117" t="n">
        <f aca="false">I31-1</f>
        <v>-0.00506208688235676</v>
      </c>
      <c r="K31" s="117" t="n">
        <f aca="false">1-I31</f>
        <v>0.00506208688235676</v>
      </c>
      <c r="M31" s="1" t="s">
        <v>154</v>
      </c>
      <c r="N31" s="117" t="n">
        <f aca="false">AVERAGE(P7,P11,P15,P19,P23)</f>
        <v>0.73601967126388</v>
      </c>
      <c r="O31" s="1" t="n">
        <f aca="false">N31/N$32</f>
        <v>0.966954851044526</v>
      </c>
      <c r="P31" s="117" t="n">
        <f aca="false">O31-1</f>
        <v>-0.0330451489554742</v>
      </c>
      <c r="Q31" s="117" t="n">
        <f aca="false">1-O31</f>
        <v>0.0330451489554742</v>
      </c>
      <c r="S31" s="1" t="s">
        <v>154</v>
      </c>
      <c r="T31" s="1" t="n">
        <f aca="false">AVERAGE(V7,V11,V15,V19,V23)</f>
        <v>1.01499835311821</v>
      </c>
      <c r="U31" s="1" t="n">
        <f aca="false">T31/T$32</f>
        <v>1.00715927194157</v>
      </c>
      <c r="V31" s="117" t="n">
        <f aca="false">U31-1</f>
        <v>0.00715927194157318</v>
      </c>
      <c r="W31" s="117" t="n">
        <f aca="false">1-U31</f>
        <v>-0.00715927194157318</v>
      </c>
      <c r="Y31" s="1" t="s">
        <v>154</v>
      </c>
      <c r="Z31" s="1" t="n">
        <f aca="false">AVERAGE(AB7,AB11,AB15,AB19,AB23)</f>
        <v>0.978191541583103</v>
      </c>
      <c r="AA31" s="1" t="n">
        <f aca="false">Z31/Z$32</f>
        <v>0.968767483193499</v>
      </c>
      <c r="AB31" s="117" t="n">
        <f aca="false">AA31-1</f>
        <v>-0.0312325168065013</v>
      </c>
      <c r="AC31" s="117" t="n">
        <f aca="false">1-AA31</f>
        <v>0.0312325168065013</v>
      </c>
      <c r="AE31" s="1" t="s">
        <v>154</v>
      </c>
      <c r="AF31" s="1" t="n">
        <f aca="false">AVERAGE(AH7,AH11,AH15,AH19,AH23)</f>
        <v>1.01382907375045</v>
      </c>
      <c r="AG31" s="1" t="n">
        <f aca="false">AF31/AF$32</f>
        <v>1.01000915460872</v>
      </c>
      <c r="AH31" s="117" t="n">
        <f aca="false">AG31-1</f>
        <v>0.0100091546087184</v>
      </c>
      <c r="AI31" s="117" t="n">
        <f aca="false">1-AG31</f>
        <v>-0.0100091546087184</v>
      </c>
      <c r="AK31" s="1" t="s">
        <v>154</v>
      </c>
      <c r="AL31" s="1" t="n">
        <f aca="false">AVERAGE(AN7,AN11,AN15,AN19,AN23)</f>
        <v>0.980135825603398</v>
      </c>
      <c r="AM31" s="1" t="n">
        <f aca="false">AL31/AL$32</f>
        <v>0.973438971059483</v>
      </c>
      <c r="AN31" s="117" t="n">
        <f aca="false">AM31-1</f>
        <v>-0.0265610289405173</v>
      </c>
      <c r="AO31" s="117" t="n">
        <f aca="false">1-AM31</f>
        <v>0.0265610289405173</v>
      </c>
      <c r="AQ31" s="1" t="s">
        <v>154</v>
      </c>
      <c r="AR31" s="1" t="n">
        <f aca="false">AVERAGE(AT7,AT11,AT15,AT19,AT23)</f>
        <v>1.00093968326667</v>
      </c>
      <c r="AS31" s="1" t="n">
        <f aca="false">AR31/AR$32</f>
        <v>0.993227765960705</v>
      </c>
      <c r="AT31" s="117" t="n">
        <f aca="false">AS31-1</f>
        <v>-0.00677223403929461</v>
      </c>
      <c r="AU31" s="117" t="n">
        <f aca="false">1-AS31</f>
        <v>0.00677223403929461</v>
      </c>
      <c r="AW31" s="1" t="s">
        <v>154</v>
      </c>
      <c r="AX31" s="1" t="n">
        <f aca="false">AVERAGE(AZ7,AZ11,AZ15,AZ19,AZ23)</f>
        <v>1.00044594304479</v>
      </c>
      <c r="AY31" s="1" t="n">
        <f aca="false">AX31/AX$32</f>
        <v>0.997570499867366</v>
      </c>
      <c r="AZ31" s="117" t="n">
        <f aca="false">AY31-1</f>
        <v>-0.00242950013263388</v>
      </c>
      <c r="BA31" s="117" t="n">
        <f aca="false">1-AY31</f>
        <v>0.00242950013263388</v>
      </c>
    </row>
    <row r="32" customFormat="false" ht="12.8" hidden="false" customHeight="false" outlineLevel="0" collapsed="false">
      <c r="B32" s="1" t="n">
        <f aca="false">AVERAGE(B28:B31)</f>
        <v>1.00828686016109</v>
      </c>
      <c r="C32" s="1" t="n">
        <f aca="false">B32/B$32</f>
        <v>1</v>
      </c>
      <c r="D32" s="1" t="n">
        <v>1</v>
      </c>
      <c r="H32" s="1" t="n">
        <f aca="false">AVERAGE(H28:H31)</f>
        <v>1.00772476146935</v>
      </c>
      <c r="I32" s="1" t="n">
        <f aca="false">H32/H$32</f>
        <v>1</v>
      </c>
      <c r="J32" s="1" t="n">
        <v>1</v>
      </c>
      <c r="N32" s="1" t="n">
        <f aca="false">AVERAGE(N28:N31)</f>
        <v>0.761172737764142</v>
      </c>
      <c r="O32" s="1" t="n">
        <f aca="false">N32/N$32</f>
        <v>1</v>
      </c>
      <c r="P32" s="1" t="n">
        <v>1</v>
      </c>
      <c r="S32" s="1"/>
      <c r="T32" s="1" t="n">
        <f aca="false">AVERAGE(T28:T31)</f>
        <v>1.0077833580001</v>
      </c>
      <c r="U32" s="1" t="n">
        <f aca="false">T32/T$32</f>
        <v>1</v>
      </c>
      <c r="V32" s="1" t="n">
        <v>1</v>
      </c>
      <c r="Y32" s="1"/>
      <c r="Z32" s="1" t="n">
        <f aca="false">AVERAGE(Z28:Z31)</f>
        <v>1.00972788471238</v>
      </c>
      <c r="AA32" s="1" t="n">
        <f aca="false">Z32/Z$32</f>
        <v>1</v>
      </c>
      <c r="AB32" s="1" t="n">
        <v>1</v>
      </c>
      <c r="AE32" s="1"/>
      <c r="AF32" s="1" t="n">
        <f aca="false">AVERAGE(AF28:AF31)</f>
        <v>1.00378206387962</v>
      </c>
      <c r="AG32" s="1" t="n">
        <f aca="false">AF32/AF$32</f>
        <v>1</v>
      </c>
      <c r="AH32" s="1" t="n">
        <v>1</v>
      </c>
      <c r="AK32" s="1"/>
      <c r="AL32" s="1" t="n">
        <f aca="false">AVERAGE(AL28:AL31)</f>
        <v>1.00687958335655</v>
      </c>
      <c r="AM32" s="1" t="n">
        <f aca="false">AL32/AL$32</f>
        <v>1</v>
      </c>
      <c r="AN32" s="1" t="n">
        <v>1</v>
      </c>
      <c r="AQ32" s="1"/>
      <c r="AR32" s="1" t="n">
        <f aca="false">AVERAGE(AR28:AR31)</f>
        <v>1.00776450031932</v>
      </c>
      <c r="AS32" s="1" t="n">
        <f aca="false">AR32/AR$32</f>
        <v>1</v>
      </c>
      <c r="AT32" s="1" t="n">
        <v>1</v>
      </c>
      <c r="AW32" s="1"/>
      <c r="AX32" s="1" t="n">
        <f aca="false">AVERAGE(AX28:AX31)</f>
        <v>1.00288244608056</v>
      </c>
      <c r="AY32" s="1" t="n">
        <f aca="false">AX32/AX$32</f>
        <v>1</v>
      </c>
      <c r="AZ32" s="1" t="n">
        <v>1</v>
      </c>
    </row>
    <row r="34" customFormat="false" ht="12.8" hidden="false" customHeight="false" outlineLevel="0" collapsed="false">
      <c r="A34" s="1" t="s">
        <v>117</v>
      </c>
      <c r="B34" s="1" t="s">
        <v>171</v>
      </c>
      <c r="C34" s="1" t="s">
        <v>172</v>
      </c>
      <c r="D34" s="23" t="s">
        <v>173</v>
      </c>
      <c r="E34" s="23" t="s">
        <v>174</v>
      </c>
      <c r="G34" s="1" t="s">
        <v>118</v>
      </c>
      <c r="H34" s="1" t="s">
        <v>171</v>
      </c>
      <c r="I34" s="1" t="s">
        <v>172</v>
      </c>
      <c r="J34" s="23" t="s">
        <v>173</v>
      </c>
      <c r="K34" s="23" t="s">
        <v>174</v>
      </c>
      <c r="M34" s="1" t="s">
        <v>155</v>
      </c>
      <c r="N34" s="1" t="s">
        <v>171</v>
      </c>
      <c r="O34" s="1" t="s">
        <v>172</v>
      </c>
      <c r="P34" s="23" t="s">
        <v>173</v>
      </c>
      <c r="Q34" s="23" t="s">
        <v>174</v>
      </c>
      <c r="S34" s="1" t="s">
        <v>120</v>
      </c>
      <c r="T34" s="1" t="s">
        <v>171</v>
      </c>
      <c r="U34" s="1" t="s">
        <v>172</v>
      </c>
      <c r="V34" s="23" t="s">
        <v>173</v>
      </c>
      <c r="W34" s="23" t="s">
        <v>174</v>
      </c>
      <c r="Y34" s="1" t="s">
        <v>121</v>
      </c>
      <c r="Z34" s="1" t="s">
        <v>171</v>
      </c>
      <c r="AA34" s="1" t="s">
        <v>172</v>
      </c>
      <c r="AB34" s="23" t="s">
        <v>173</v>
      </c>
      <c r="AC34" s="23" t="s">
        <v>174</v>
      </c>
      <c r="AE34" s="1" t="s">
        <v>122</v>
      </c>
      <c r="AF34" s="1" t="s">
        <v>171</v>
      </c>
      <c r="AG34" s="1" t="s">
        <v>172</v>
      </c>
      <c r="AH34" s="23" t="s">
        <v>173</v>
      </c>
      <c r="AI34" s="23" t="s">
        <v>174</v>
      </c>
      <c r="AK34" s="1" t="s">
        <v>156</v>
      </c>
      <c r="AL34" s="1" t="s">
        <v>171</v>
      </c>
      <c r="AM34" s="1" t="s">
        <v>172</v>
      </c>
      <c r="AN34" s="23" t="s">
        <v>173</v>
      </c>
      <c r="AO34" s="23" t="s">
        <v>174</v>
      </c>
      <c r="AQ34" s="1" t="s">
        <v>157</v>
      </c>
      <c r="AR34" s="1" t="s">
        <v>171</v>
      </c>
      <c r="AS34" s="1" t="s">
        <v>172</v>
      </c>
      <c r="AT34" s="23" t="s">
        <v>173</v>
      </c>
      <c r="AU34" s="23" t="s">
        <v>174</v>
      </c>
      <c r="AW34" s="1" t="s">
        <v>158</v>
      </c>
      <c r="AX34" s="1" t="s">
        <v>171</v>
      </c>
      <c r="AY34" s="1" t="s">
        <v>172</v>
      </c>
      <c r="AZ34" s="23" t="s">
        <v>173</v>
      </c>
      <c r="BA34" s="23" t="s">
        <v>174</v>
      </c>
      <c r="BC34" s="1" t="s">
        <v>159</v>
      </c>
      <c r="BD34" s="1" t="s">
        <v>171</v>
      </c>
      <c r="BE34" s="1" t="s">
        <v>172</v>
      </c>
      <c r="BF34" s="23" t="s">
        <v>173</v>
      </c>
      <c r="BG34" s="23" t="s">
        <v>174</v>
      </c>
      <c r="BI34" s="1" t="s">
        <v>127</v>
      </c>
      <c r="BJ34" s="1" t="s">
        <v>171</v>
      </c>
      <c r="BK34" s="1" t="s">
        <v>172</v>
      </c>
      <c r="BL34" s="23" t="s">
        <v>173</v>
      </c>
      <c r="BM34" s="23" t="s">
        <v>174</v>
      </c>
      <c r="BO34" s="1" t="s">
        <v>128</v>
      </c>
      <c r="BP34" s="1" t="s">
        <v>171</v>
      </c>
      <c r="BQ34" s="1" t="s">
        <v>172</v>
      </c>
      <c r="BR34" s="23" t="s">
        <v>173</v>
      </c>
      <c r="BS34" s="23" t="s">
        <v>174</v>
      </c>
      <c r="BU34" s="1" t="s">
        <v>160</v>
      </c>
      <c r="BV34" s="1" t="s">
        <v>171</v>
      </c>
      <c r="BW34" s="1" t="s">
        <v>172</v>
      </c>
      <c r="BX34" s="23" t="s">
        <v>173</v>
      </c>
      <c r="BY34" s="23" t="s">
        <v>174</v>
      </c>
      <c r="CA34" s="1" t="s">
        <v>130</v>
      </c>
      <c r="CB34" s="1" t="s">
        <v>171</v>
      </c>
      <c r="CC34" s="1" t="s">
        <v>172</v>
      </c>
      <c r="CD34" s="23" t="s">
        <v>173</v>
      </c>
      <c r="CE34" s="23" t="s">
        <v>174</v>
      </c>
      <c r="CG34" s="1" t="s">
        <v>131</v>
      </c>
      <c r="CH34" s="1" t="s">
        <v>171</v>
      </c>
      <c r="CI34" s="1" t="s">
        <v>172</v>
      </c>
      <c r="CJ34" s="23" t="s">
        <v>173</v>
      </c>
      <c r="CK34" s="23" t="s">
        <v>174</v>
      </c>
    </row>
    <row r="35" customFormat="false" ht="12.8" hidden="false" customHeight="false" outlineLevel="0" collapsed="false">
      <c r="A35" s="1" t="s">
        <v>78</v>
      </c>
      <c r="B35" s="53" t="n">
        <v>2913.98</v>
      </c>
      <c r="C35" s="53"/>
      <c r="D35" s="53"/>
      <c r="E35" s="53" t="n">
        <f aca="false">$C$30*B35</f>
        <v>2909.12621069777</v>
      </c>
      <c r="G35" s="1" t="s">
        <v>78</v>
      </c>
      <c r="H35" s="1" t="n">
        <v>26458.31</v>
      </c>
      <c r="I35" s="53"/>
      <c r="J35" s="53"/>
      <c r="K35" s="53" t="n">
        <f aca="false">$C$30*H35</f>
        <v>26414.2386398557</v>
      </c>
      <c r="M35" s="1" t="s">
        <v>78</v>
      </c>
      <c r="N35" s="1" t="n">
        <v>1696.57</v>
      </c>
      <c r="O35" s="53"/>
      <c r="P35" s="53"/>
      <c r="Q35" s="53" t="n">
        <f aca="false">$C$30*N35</f>
        <v>1693.74403917786</v>
      </c>
      <c r="S35" s="1" t="s">
        <v>78</v>
      </c>
      <c r="T35" s="1" t="n">
        <v>7510.2</v>
      </c>
      <c r="U35" s="53"/>
      <c r="V35" s="53"/>
      <c r="W35" s="53" t="n">
        <f aca="false">$C$30*T35</f>
        <v>7497.69032992072</v>
      </c>
      <c r="Y35" s="1" t="s">
        <v>78</v>
      </c>
      <c r="Z35" s="1" t="n">
        <v>12246.73</v>
      </c>
      <c r="AA35" s="53"/>
      <c r="AB35" s="53"/>
      <c r="AC35" s="53" t="n">
        <f aca="false">$C$30*Z35</f>
        <v>12226.3307360856</v>
      </c>
      <c r="AE35" s="1" t="s">
        <v>78</v>
      </c>
      <c r="AF35" s="1" t="n">
        <v>5493.49</v>
      </c>
      <c r="AG35" s="53"/>
      <c r="AH35" s="53"/>
      <c r="AI35" s="53" t="n">
        <f aca="false">$C$30*AF35</f>
        <v>5484.33954495435</v>
      </c>
      <c r="AK35" s="1" t="s">
        <v>78</v>
      </c>
      <c r="AL35" s="1" t="n">
        <v>3399.2</v>
      </c>
      <c r="AM35" s="53"/>
      <c r="AN35" s="53"/>
      <c r="AO35" s="53" t="n">
        <f aca="false">$C$30*AL35</f>
        <v>3393.53798427026</v>
      </c>
      <c r="AQ35" s="1" t="s">
        <v>78</v>
      </c>
      <c r="AR35" s="1" t="n">
        <v>24120.04</v>
      </c>
      <c r="AS35" s="53"/>
      <c r="AT35" s="53"/>
      <c r="AU35" s="53" t="n">
        <f aca="false">$C$30*AR35</f>
        <v>24079.8634743816</v>
      </c>
      <c r="AW35" s="1" t="s">
        <v>78</v>
      </c>
      <c r="AX35" s="1" t="n">
        <v>2475.36</v>
      </c>
      <c r="AY35" s="53"/>
      <c r="AZ35" s="53"/>
      <c r="BA35" s="53" t="n">
        <f aca="false">$C$30*AX35</f>
        <v>2471.23681593999</v>
      </c>
      <c r="BC35" s="1" t="s">
        <v>78</v>
      </c>
      <c r="BD35" s="1" t="n">
        <v>3438.86</v>
      </c>
      <c r="BE35" s="53"/>
      <c r="BF35" s="53"/>
      <c r="BG35" s="53" t="n">
        <f aca="false">$C$30*BD35</f>
        <v>3433.13192297824</v>
      </c>
      <c r="BI35" s="1" t="s">
        <v>78</v>
      </c>
      <c r="BJ35" s="1" t="n">
        <v>8455.17</v>
      </c>
      <c r="BK35" s="53"/>
      <c r="BL35" s="53"/>
      <c r="BM35" s="53" t="n">
        <f aca="false">$C$30*BJ35</f>
        <v>8441.0863022071</v>
      </c>
      <c r="BO35" s="1" t="s">
        <v>78</v>
      </c>
      <c r="BP35" s="1" t="n">
        <v>624.39</v>
      </c>
      <c r="BQ35" s="53"/>
      <c r="BR35" s="53"/>
      <c r="BS35" s="53" t="n">
        <f aca="false">$C$30*BP35</f>
        <v>623.349959401773</v>
      </c>
      <c r="BU35" s="1" t="s">
        <v>78</v>
      </c>
      <c r="BV35" s="1" t="n">
        <v>727.08</v>
      </c>
      <c r="BW35" s="53"/>
      <c r="BX35" s="53"/>
      <c r="BY35" s="53" t="n">
        <f aca="false">$C$30*BV35</f>
        <v>725.868909626742</v>
      </c>
      <c r="CA35" s="1" t="s">
        <v>78</v>
      </c>
      <c r="CB35" s="1" t="n">
        <v>1822.33</v>
      </c>
      <c r="CC35" s="53"/>
      <c r="CD35" s="53"/>
      <c r="CE35" s="53" t="n">
        <f aca="false">$C$30*CB35</f>
        <v>1819.29456191905</v>
      </c>
      <c r="CG35" s="1" t="s">
        <v>78</v>
      </c>
      <c r="CH35" s="1" t="n">
        <v>1040.88</v>
      </c>
      <c r="CI35" s="53"/>
      <c r="CJ35" s="53"/>
      <c r="CK35" s="53" t="n">
        <f aca="false">$C$30*CH35</f>
        <v>1039.1462158941</v>
      </c>
    </row>
    <row r="36" customFormat="false" ht="12.8" hidden="false" customHeight="false" outlineLevel="0" collapsed="false">
      <c r="A36" s="156" t="s">
        <v>77</v>
      </c>
      <c r="B36" s="157" t="n">
        <v>2485.74</v>
      </c>
      <c r="C36" s="53"/>
      <c r="D36" s="53"/>
      <c r="E36" s="53" t="n">
        <f aca="false">$C$31*B36</f>
        <v>2470.16062831757</v>
      </c>
      <c r="G36" s="156" t="s">
        <v>77</v>
      </c>
      <c r="H36" s="1" t="n">
        <v>23062.4</v>
      </c>
      <c r="I36" s="53"/>
      <c r="J36" s="53"/>
      <c r="K36" s="53" t="n">
        <f aca="false">$C$31*H36</f>
        <v>22917.8564429551</v>
      </c>
      <c r="M36" s="156" t="s">
        <v>77</v>
      </c>
      <c r="N36" s="1" t="n">
        <v>1337.92</v>
      </c>
      <c r="O36" s="53"/>
      <c r="P36" s="53"/>
      <c r="Q36" s="53" t="n">
        <f aca="false">$C$31*N36</f>
        <v>1329.53458842785</v>
      </c>
      <c r="S36" s="156" t="s">
        <v>77</v>
      </c>
      <c r="T36" s="1" t="n">
        <v>6733.97</v>
      </c>
      <c r="U36" s="53"/>
      <c r="V36" s="53"/>
      <c r="W36" s="53" t="n">
        <f aca="false">$C$31*T36</f>
        <v>6691.7648532315</v>
      </c>
      <c r="Y36" s="156" t="s">
        <v>77</v>
      </c>
      <c r="Z36" s="1" t="n">
        <v>10558.96</v>
      </c>
      <c r="AA36" s="53"/>
      <c r="AB36" s="53"/>
      <c r="AC36" s="53" t="n">
        <f aca="false">$C$31*Z36</f>
        <v>10492.7817342039</v>
      </c>
      <c r="AE36" s="156" t="s">
        <v>77</v>
      </c>
      <c r="AF36" s="1" t="n">
        <v>4678.74</v>
      </c>
      <c r="AG36" s="53"/>
      <c r="AH36" s="53"/>
      <c r="AI36" s="53" t="n">
        <f aca="false">$C$31*AF36</f>
        <v>4649.41600414144</v>
      </c>
      <c r="AK36" s="156" t="s">
        <v>77</v>
      </c>
      <c r="AL36" s="1" t="n">
        <v>2986.53</v>
      </c>
      <c r="AM36" s="53"/>
      <c r="AN36" s="53"/>
      <c r="AO36" s="53" t="n">
        <f aca="false">$C$31*AL36</f>
        <v>2967.8119277516</v>
      </c>
      <c r="AQ36" s="156" t="s">
        <v>77</v>
      </c>
      <c r="AR36" s="1" t="n">
        <v>20014.77</v>
      </c>
      <c r="AS36" s="53"/>
      <c r="AT36" s="53"/>
      <c r="AU36" s="53" t="n">
        <f aca="false">$C$31*AR36</f>
        <v>19889.3274593608</v>
      </c>
      <c r="AW36" s="156" t="s">
        <v>77</v>
      </c>
      <c r="AX36" s="1" t="n">
        <v>2358.5</v>
      </c>
      <c r="AY36" s="53"/>
      <c r="AZ36" s="53"/>
      <c r="BA36" s="53" t="n">
        <f aca="false">$C$31*AX36</f>
        <v>2343.71810482471</v>
      </c>
      <c r="BC36" s="156" t="s">
        <v>77</v>
      </c>
      <c r="BD36" s="1" t="n">
        <v>3010.65</v>
      </c>
      <c r="BE36" s="53"/>
      <c r="BF36" s="53"/>
      <c r="BG36" s="53" t="n">
        <f aca="false">$C$31*BD36</f>
        <v>2991.78075568816</v>
      </c>
      <c r="BI36" s="156" t="s">
        <v>77</v>
      </c>
      <c r="BJ36" s="1" t="n">
        <v>7327.14</v>
      </c>
      <c r="BK36" s="53"/>
      <c r="BL36" s="53"/>
      <c r="BM36" s="53" t="n">
        <f aca="false">$C$31*BJ36</f>
        <v>7281.21716115555</v>
      </c>
      <c r="BO36" s="156" t="s">
        <v>77</v>
      </c>
      <c r="BP36" s="1" t="n">
        <v>594.46</v>
      </c>
      <c r="BQ36" s="53"/>
      <c r="BR36" s="53"/>
      <c r="BS36" s="53" t="n">
        <f aca="false">$C$31*BP36</f>
        <v>590.734222851007</v>
      </c>
      <c r="BU36" s="156" t="s">
        <v>77</v>
      </c>
      <c r="BV36" s="1" t="n">
        <v>761.69</v>
      </c>
      <c r="BW36" s="53"/>
      <c r="BX36" s="53"/>
      <c r="BY36" s="53" t="n">
        <f aca="false">$C$31*BV36</f>
        <v>756.916109079473</v>
      </c>
      <c r="CA36" s="156" t="s">
        <v>77</v>
      </c>
      <c r="CB36" s="1" t="n">
        <v>1588.44</v>
      </c>
      <c r="CC36" s="53"/>
      <c r="CD36" s="53"/>
      <c r="CE36" s="53" t="n">
        <f aca="false">$C$31*CB36</f>
        <v>1578.48445470756</v>
      </c>
      <c r="CG36" s="156" t="s">
        <v>77</v>
      </c>
      <c r="CH36" s="1" t="n">
        <v>1017.07</v>
      </c>
      <c r="CI36" s="53"/>
      <c r="CJ36" s="53"/>
      <c r="CK36" s="53" t="n">
        <f aca="false">$C$31*CH36</f>
        <v>1010.69551531655</v>
      </c>
    </row>
    <row r="37" customFormat="false" ht="12.8" hidden="false" customHeight="false" outlineLevel="0" collapsed="false">
      <c r="A37" s="158" t="s">
        <v>76</v>
      </c>
      <c r="B37" s="159" t="n">
        <v>2834.4</v>
      </c>
      <c r="C37" s="159" t="n">
        <f aca="false">SUM(B35/2,B36:B38,B39/2)/4</f>
        <v>2801.815</v>
      </c>
      <c r="D37" s="160" t="n">
        <f aca="false">C37/B37</f>
        <v>0.988503739768558</v>
      </c>
      <c r="E37" s="159" t="n">
        <f aca="false">B37*$C$28</f>
        <v>2851.19592136653</v>
      </c>
      <c r="G37" s="158" t="s">
        <v>76</v>
      </c>
      <c r="H37" s="160" t="n">
        <v>25928.68</v>
      </c>
      <c r="I37" s="159" t="n">
        <f aca="false">SUM(H35/2,H36:H38,H39/2)/4</f>
        <v>25569.6525</v>
      </c>
      <c r="J37" s="160" t="n">
        <f aca="false">I37/H37</f>
        <v>0.9861532673472</v>
      </c>
      <c r="K37" s="159" t="n">
        <f aca="false">H37*$C$28</f>
        <v>26082.3266519962</v>
      </c>
      <c r="M37" s="158" t="s">
        <v>76</v>
      </c>
      <c r="N37" s="160" t="n">
        <v>1539.74</v>
      </c>
      <c r="O37" s="159" t="n">
        <f aca="false">SUM(N35/2,N36:N38,N39/2)/4</f>
        <v>1513.55</v>
      </c>
      <c r="P37" s="160" t="n">
        <f aca="false">O37/N37</f>
        <v>0.982990634782496</v>
      </c>
      <c r="Q37" s="159" t="n">
        <f aca="false">N37*$C$28</f>
        <v>1548.86410103193</v>
      </c>
      <c r="S37" s="158" t="s">
        <v>76</v>
      </c>
      <c r="T37" s="160" t="n">
        <v>7279.19</v>
      </c>
      <c r="U37" s="159" t="n">
        <f aca="false">SUM(T35/2,T36:T38,T39/2)/4</f>
        <v>7224.49875</v>
      </c>
      <c r="V37" s="160" t="n">
        <f aca="false">U37/T37</f>
        <v>0.992486629693689</v>
      </c>
      <c r="W37" s="159" t="n">
        <f aca="false">T37*$C$28</f>
        <v>7322.32459739346</v>
      </c>
      <c r="Y37" s="158" t="s">
        <v>76</v>
      </c>
      <c r="Z37" s="160" t="n">
        <v>11526.04</v>
      </c>
      <c r="AA37" s="159" t="n">
        <f aca="false">SUM(Z35/2,Z36:Z38,Z39/2)/4</f>
        <v>11705.30125</v>
      </c>
      <c r="AB37" s="160" t="n">
        <f aca="false">AA37/Z37</f>
        <v>1.01555271801937</v>
      </c>
      <c r="AC37" s="159" t="n">
        <f aca="false">Z37*$C$28</f>
        <v>11594.3403321717</v>
      </c>
      <c r="AE37" s="158" t="s">
        <v>76</v>
      </c>
      <c r="AF37" s="160" t="n">
        <v>5350.53</v>
      </c>
      <c r="AG37" s="159" t="n">
        <f aca="false">SUM(AF35/2,AF36:AF38,AF39/2)/4</f>
        <v>5288.47</v>
      </c>
      <c r="AH37" s="160" t="n">
        <f aca="false">AG37/AF37</f>
        <v>0.988401149045048</v>
      </c>
      <c r="AI37" s="159" t="n">
        <f aca="false">AF37*$C$28</f>
        <v>5382.23585702415</v>
      </c>
      <c r="AK37" s="158" t="s">
        <v>76</v>
      </c>
      <c r="AL37" s="160" t="n">
        <v>3351.71</v>
      </c>
      <c r="AM37" s="159" t="n">
        <f aca="false">SUM(AL35/2,AL36:AL38,AL39/2)/4</f>
        <v>3324.06375</v>
      </c>
      <c r="AN37" s="160" t="n">
        <f aca="false">AM37/AL37</f>
        <v>0.991751598437812</v>
      </c>
      <c r="AO37" s="159" t="n">
        <f aca="false">AL37*$C$28</f>
        <v>3371.57136663965</v>
      </c>
      <c r="AQ37" s="158" t="s">
        <v>76</v>
      </c>
      <c r="AR37" s="160" t="n">
        <v>21003.76</v>
      </c>
      <c r="AS37" s="159" t="n">
        <f aca="false">SUM(AR35/2,AR36:AR38,AR39/2)/4</f>
        <v>21308.0975</v>
      </c>
      <c r="AT37" s="160" t="n">
        <f aca="false">AS37/AR37</f>
        <v>1.01448966756428</v>
      </c>
      <c r="AU37" s="159" t="n">
        <f aca="false">AR37*$C$28</f>
        <v>21128.2228497606</v>
      </c>
      <c r="AW37" s="158" t="s">
        <v>76</v>
      </c>
      <c r="AX37" s="160" t="n">
        <v>2492.4</v>
      </c>
      <c r="AY37" s="159" t="n">
        <f aca="false">SUM(AX35/2,AX36:AX38,AX39/2)/4</f>
        <v>2557.005</v>
      </c>
      <c r="AZ37" s="160" t="n">
        <f aca="false">AY37/AX37</f>
        <v>1.02592079922966</v>
      </c>
      <c r="BA37" s="159" t="n">
        <f aca="false">AX37*$C$28</f>
        <v>2507.16931781468</v>
      </c>
      <c r="BC37" s="158" t="s">
        <v>76</v>
      </c>
      <c r="BD37" s="160" t="n">
        <v>3728.4</v>
      </c>
      <c r="BE37" s="159" t="n">
        <f aca="false">SUM(BD35/2,BD36:BD38,BD39/2)/4</f>
        <v>3547.83375</v>
      </c>
      <c r="BF37" s="160" t="n">
        <f aca="false">BE37/BD37</f>
        <v>0.951570043450274</v>
      </c>
      <c r="BG37" s="159" t="n">
        <f aca="false">BD37*$C$28</f>
        <v>3750.49353415995</v>
      </c>
      <c r="BI37" s="158" t="s">
        <v>76</v>
      </c>
      <c r="BJ37" s="160" t="n">
        <v>7861.06</v>
      </c>
      <c r="BK37" s="159" t="n">
        <f aca="false">SUM(BJ35/2,BJ36:BJ38,BJ39/2)/4</f>
        <v>7881.5525</v>
      </c>
      <c r="BL37" s="160" t="n">
        <f aca="false">BK37/BJ37</f>
        <v>1.00260683673703</v>
      </c>
      <c r="BM37" s="159" t="n">
        <f aca="false">BJ37*$C$28</f>
        <v>7907.64260853005</v>
      </c>
      <c r="BO37" s="158" t="s">
        <v>76</v>
      </c>
      <c r="BP37" s="160" t="n">
        <v>574.39</v>
      </c>
      <c r="BQ37" s="159" t="n">
        <f aca="false">SUM(BP35/2,BP36:BP38,BP39/2)/4</f>
        <v>588.53625</v>
      </c>
      <c r="BR37" s="160" t="n">
        <f aca="false">BQ37/BP37</f>
        <v>1.02462830132837</v>
      </c>
      <c r="BS37" s="159" t="n">
        <f aca="false">BP37*$C$28</f>
        <v>577.793686591067</v>
      </c>
      <c r="BU37" s="158" t="s">
        <v>76</v>
      </c>
      <c r="BV37" s="160" t="n">
        <v>731.6</v>
      </c>
      <c r="BW37" s="159" t="n">
        <f aca="false">SUM(BV35/2,BV36:BV38,BV39/2)/4</f>
        <v>740.9975</v>
      </c>
      <c r="BX37" s="160" t="n">
        <f aca="false">BW37/BV37</f>
        <v>1.01284513395298</v>
      </c>
      <c r="BY37" s="159" t="n">
        <f aca="false">BV37*$C$28</f>
        <v>735.935272393365</v>
      </c>
      <c r="CA37" s="158" t="s">
        <v>76</v>
      </c>
      <c r="CB37" s="160" t="n">
        <v>1867.95</v>
      </c>
      <c r="CC37" s="159" t="n">
        <f aca="false">SUM(CB35/2,CB36:CB38,CB39/2)/4</f>
        <v>1917.6425</v>
      </c>
      <c r="CD37" s="160" t="n">
        <f aca="false">CC37/CB37</f>
        <v>1.02660269279156</v>
      </c>
      <c r="CE37" s="159" t="n">
        <f aca="false">CB37*$C$28</f>
        <v>1879.01898861015</v>
      </c>
      <c r="CG37" s="158" t="s">
        <v>76</v>
      </c>
      <c r="CH37" s="160" t="n">
        <v>1042.95</v>
      </c>
      <c r="CI37" s="159" t="n">
        <f aca="false">SUM(CH35/2,CH36:CH38,CH39/2)/4</f>
        <v>1066.555</v>
      </c>
      <c r="CJ37" s="160" t="n">
        <f aca="false">CI37/CH37</f>
        <v>1.02263291624718</v>
      </c>
      <c r="CK37" s="159" t="n">
        <f aca="false">CH37*$C$28</f>
        <v>1049.13025197192</v>
      </c>
    </row>
    <row r="38" customFormat="false" ht="12.8" hidden="false" customHeight="false" outlineLevel="0" collapsed="false">
      <c r="A38" s="1" t="s">
        <v>75</v>
      </c>
      <c r="B38" s="53" t="n">
        <v>2941.76</v>
      </c>
      <c r="C38" s="157" t="n">
        <f aca="false">SUM(B36/2,B37:B39,B40/2)/4</f>
        <v>2901.60375</v>
      </c>
      <c r="D38" s="1" t="n">
        <f aca="false">C38/B38</f>
        <v>0.986349583242685</v>
      </c>
      <c r="E38" s="53" t="n">
        <f aca="false">B38*$C$29</f>
        <v>2947.66542956928</v>
      </c>
      <c r="G38" s="1" t="s">
        <v>75</v>
      </c>
      <c r="H38" s="1" t="n">
        <v>26599.96</v>
      </c>
      <c r="I38" s="157" t="n">
        <f aca="false">SUM(H36/2,H37:H39,H40/2)/4</f>
        <v>26301.935</v>
      </c>
      <c r="J38" s="1" t="n">
        <f aca="false">I38/H38</f>
        <v>0.988796035783513</v>
      </c>
      <c r="K38" s="53" t="n">
        <f aca="false">H38*$C$29</f>
        <v>26653.3580305415</v>
      </c>
      <c r="M38" s="1" t="s">
        <v>75</v>
      </c>
      <c r="N38" s="1" t="n">
        <v>1566.57</v>
      </c>
      <c r="O38" s="157" t="n">
        <f aca="false">SUM(N36/2,N37:N39,N40/2)/4</f>
        <v>1532.67875</v>
      </c>
      <c r="P38" s="1" t="n">
        <f aca="false">O38/N38</f>
        <v>0.978365952367274</v>
      </c>
      <c r="Q38" s="53" t="n">
        <f aca="false">N38*$C$29</f>
        <v>1569.71480746232</v>
      </c>
      <c r="S38" s="1" t="s">
        <v>75</v>
      </c>
      <c r="T38" s="1" t="n">
        <v>7425.63</v>
      </c>
      <c r="U38" s="157" t="n">
        <f aca="false">SUM(T36/2,T37:T39,T40/2)/4</f>
        <v>7318.385</v>
      </c>
      <c r="V38" s="1" t="n">
        <f aca="false">U38/T38</f>
        <v>0.985557454384342</v>
      </c>
      <c r="W38" s="53" t="n">
        <f aca="false">T38*$C$29</f>
        <v>7440.53656442829</v>
      </c>
      <c r="Y38" s="1" t="s">
        <v>75</v>
      </c>
      <c r="Z38" s="1" t="n">
        <v>12398.8</v>
      </c>
      <c r="AA38" s="157" t="n">
        <f aca="false">SUM(Z36/2,Z37:Z39,Z40/2)/4</f>
        <v>12064.22625</v>
      </c>
      <c r="AB38" s="1" t="n">
        <f aca="false">AA38/Z38</f>
        <v>0.97301563457754</v>
      </c>
      <c r="AC38" s="53" t="n">
        <f aca="false">Z38*$C$29</f>
        <v>12423.689943484</v>
      </c>
      <c r="AE38" s="1" t="s">
        <v>75</v>
      </c>
      <c r="AF38" s="1" t="n">
        <v>5538.97</v>
      </c>
      <c r="AG38" s="157" t="n">
        <f aca="false">SUM(AF36/2,AF37:AF39,AF40/2)/4</f>
        <v>5474.4425</v>
      </c>
      <c r="AH38" s="1" t="n">
        <f aca="false">AG38/AF38</f>
        <v>0.988350270898741</v>
      </c>
      <c r="AI38" s="53" t="n">
        <f aca="false">AF38*$C$29</f>
        <v>5550.08919300737</v>
      </c>
      <c r="AK38" s="1" t="s">
        <v>75</v>
      </c>
      <c r="AL38" s="1" t="n">
        <v>3473.69</v>
      </c>
      <c r="AM38" s="157" t="n">
        <f aca="false">SUM(AL36/2,AL37:AL39,AL40/2)/4</f>
        <v>3440.5875</v>
      </c>
      <c r="AN38" s="1" t="n">
        <f aca="false">AM38/AL38</f>
        <v>0.990470508306729</v>
      </c>
      <c r="AO38" s="53" t="n">
        <f aca="false">AL38*$C$29</f>
        <v>3480.66325126473</v>
      </c>
      <c r="AQ38" s="1" t="s">
        <v>75</v>
      </c>
      <c r="AR38" s="1" t="n">
        <v>21275.92</v>
      </c>
      <c r="AS38" s="157" t="n">
        <f aca="false">SUM(AR36/2,AR37:AR39,AR40/2)/4</f>
        <v>21467.80375</v>
      </c>
      <c r="AT38" s="1" t="n">
        <f aca="false">AS38/AR38</f>
        <v>1.00901882268781</v>
      </c>
      <c r="AU38" s="53" t="n">
        <f aca="false">AR38*$C$29</f>
        <v>21318.6302982846</v>
      </c>
      <c r="AW38" s="1" t="s">
        <v>75</v>
      </c>
      <c r="AX38" s="1" t="n">
        <v>2765.85</v>
      </c>
      <c r="AY38" s="157" t="n">
        <f aca="false">SUM(AX36/2,AX37:AX39,AX40/2)/4</f>
        <v>2676.90375</v>
      </c>
      <c r="AZ38" s="1" t="n">
        <f aca="false">AY38/AX38</f>
        <v>0.967841260372038</v>
      </c>
      <c r="BA38" s="53" t="n">
        <f aca="false">AX38*$C$29</f>
        <v>2771.40229943102</v>
      </c>
      <c r="BC38" s="1" t="s">
        <v>75</v>
      </c>
      <c r="BD38" s="1" t="n">
        <v>3825.59</v>
      </c>
      <c r="BE38" s="157" t="n">
        <f aca="false">SUM(BD36/2,BD37:BD39,BD40/2)/4</f>
        <v>3728.665</v>
      </c>
      <c r="BF38" s="1" t="n">
        <f aca="false">BE38/BD38</f>
        <v>0.974664038749578</v>
      </c>
      <c r="BG38" s="53" t="n">
        <f aca="false">BD38*$C$29</f>
        <v>3833.26967213707</v>
      </c>
      <c r="BI38" s="1" t="s">
        <v>75</v>
      </c>
      <c r="BJ38" s="1" t="n">
        <v>8008.17</v>
      </c>
      <c r="BK38" s="157" t="n">
        <f aca="false">SUM(BJ36/2,BJ37:BJ39,BJ40/2)/4</f>
        <v>8112.5325</v>
      </c>
      <c r="BL38" s="1" t="n">
        <f aca="false">BK38/BJ38</f>
        <v>1.01303200356636</v>
      </c>
      <c r="BM38" s="53" t="n">
        <f aca="false">BJ38*$C$29</f>
        <v>8024.24598305567</v>
      </c>
      <c r="BO38" s="1" t="s">
        <v>75</v>
      </c>
      <c r="BP38" s="1" t="n">
        <v>587.81</v>
      </c>
      <c r="BQ38" s="157" t="n">
        <f aca="false">SUM(BP36/2,BP37:BP39,BP40/2)/4</f>
        <v>578.52</v>
      </c>
      <c r="BR38" s="1" t="n">
        <f aca="false">BQ38/BP38</f>
        <v>0.984195573399568</v>
      </c>
      <c r="BS38" s="53" t="n">
        <f aca="false">BP38*$C$29</f>
        <v>588.989997877162</v>
      </c>
      <c r="BU38" s="1" t="s">
        <v>75</v>
      </c>
      <c r="BV38" s="1" t="n">
        <v>731.62</v>
      </c>
      <c r="BW38" s="157" t="n">
        <f aca="false">SUM(BV36/2,BV37:BV39,BV40/2)/4</f>
        <v>747.5775</v>
      </c>
      <c r="BX38" s="1" t="n">
        <f aca="false">BW38/BV38</f>
        <v>1.02181118613488</v>
      </c>
      <c r="BY38" s="53" t="n">
        <f aca="false">BV38*$C$29</f>
        <v>733.088688941817</v>
      </c>
      <c r="CA38" s="1" t="s">
        <v>75</v>
      </c>
      <c r="CB38" s="1" t="n">
        <v>2224.5</v>
      </c>
      <c r="CC38" s="157" t="n">
        <f aca="false">SUM(CB36/2,CB37:CB39,CB40/2)/4</f>
        <v>2048.49625</v>
      </c>
      <c r="CD38" s="1" t="n">
        <f aca="false">CC38/CB38</f>
        <v>0.920879411103619</v>
      </c>
      <c r="CE38" s="53" t="n">
        <f aca="false">CB38*$C$29</f>
        <v>2228.96556757753</v>
      </c>
      <c r="CG38" s="1" t="s">
        <v>75</v>
      </c>
      <c r="CH38" s="1" t="n">
        <v>1102.67</v>
      </c>
      <c r="CI38" s="157" t="n">
        <f aca="false">SUM(CH36/2,CH37:CH39,CH40/2)/4</f>
        <v>1105.07</v>
      </c>
      <c r="CJ38" s="1" t="n">
        <f aca="false">CI38/CH38</f>
        <v>1.00217653513744</v>
      </c>
      <c r="CK38" s="53" t="n">
        <f aca="false">CH38*$C$29</f>
        <v>1104.88355243907</v>
      </c>
    </row>
    <row r="39" customFormat="false" ht="12.8" hidden="false" customHeight="false" outlineLevel="0" collapsed="false">
      <c r="A39" s="1" t="s">
        <v>73</v>
      </c>
      <c r="B39" s="53" t="n">
        <v>2976.74</v>
      </c>
      <c r="C39" s="157" t="n">
        <f aca="false">SUM(B37/2,B38:B40,B41/2)/4</f>
        <v>2962.32125</v>
      </c>
      <c r="D39" s="1" t="n">
        <f aca="false">C39/B39</f>
        <v>0.995156194360273</v>
      </c>
      <c r="E39" s="53" t="n">
        <f aca="false">$C$30*B39</f>
        <v>2971.78167195124</v>
      </c>
      <c r="G39" s="1" t="s">
        <v>73</v>
      </c>
      <c r="H39" s="1" t="n">
        <v>26916.83</v>
      </c>
      <c r="I39" s="157" t="n">
        <f aca="false">SUM(H37/2,H38:H40,H41/2)/4</f>
        <v>26475.4625</v>
      </c>
      <c r="J39" s="1" t="n">
        <f aca="false">I39/H39</f>
        <v>0.983602545322016</v>
      </c>
      <c r="K39" s="53" t="n">
        <f aca="false">$C$30*H39</f>
        <v>26871.9948873692</v>
      </c>
      <c r="M39" s="1" t="s">
        <v>73</v>
      </c>
      <c r="N39" s="1" t="n">
        <v>1523.37</v>
      </c>
      <c r="O39" s="157" t="n">
        <f aca="false">SUM(N37/2,N38:N40,N41/2)/4</f>
        <v>1525.1275</v>
      </c>
      <c r="P39" s="1" t="n">
        <f aca="false">O39/N39</f>
        <v>1.00115369214308</v>
      </c>
      <c r="Q39" s="53" t="n">
        <f aca="false">$C$30*N39</f>
        <v>1520.83253680213</v>
      </c>
      <c r="S39" s="1" t="s">
        <v>73</v>
      </c>
      <c r="T39" s="1" t="n">
        <v>7408.21</v>
      </c>
      <c r="U39" s="157" t="n">
        <f aca="false">SUM(T37/2,T38:T40,T41/2)/4</f>
        <v>7224.11625</v>
      </c>
      <c r="V39" s="1" t="n">
        <f aca="false">U39/T39</f>
        <v>0.975150036243573</v>
      </c>
      <c r="W39" s="53" t="n">
        <f aca="false">$C$30*T39</f>
        <v>7395.87021371228</v>
      </c>
      <c r="Y39" s="1" t="s">
        <v>73</v>
      </c>
      <c r="Z39" s="1" t="n">
        <v>12428.08</v>
      </c>
      <c r="AA39" s="157" t="n">
        <f aca="false">SUM(Z37/2,Z38:Z40,Z41/2)/4</f>
        <v>12201.7075</v>
      </c>
      <c r="AB39" s="1" t="n">
        <f aca="false">AA39/Z39</f>
        <v>0.981785400480203</v>
      </c>
      <c r="AC39" s="53" t="n">
        <f aca="false">$C$30*Z39</f>
        <v>12407.3786630823</v>
      </c>
      <c r="AE39" s="1" t="s">
        <v>73</v>
      </c>
      <c r="AF39" s="1" t="n">
        <v>5677.79</v>
      </c>
      <c r="AG39" s="157" t="n">
        <f aca="false">SUM(AF37/2,AF38:AF40,AF41/2)/4</f>
        <v>5518.07625</v>
      </c>
      <c r="AH39" s="1" t="n">
        <f aca="false">AG39/AF39</f>
        <v>0.971870437265204</v>
      </c>
      <c r="AI39" s="53" t="n">
        <f aca="false">$C$30*AF39</f>
        <v>5668.33255816364</v>
      </c>
      <c r="AK39" s="1" t="s">
        <v>73</v>
      </c>
      <c r="AL39" s="1" t="n">
        <v>3569.45</v>
      </c>
      <c r="AM39" s="157" t="n">
        <f aca="false">SUM(AL37/2,AL38:AL40,AL41/2)/4</f>
        <v>3465.22875</v>
      </c>
      <c r="AN39" s="1" t="n">
        <f aca="false">AM39/AL39</f>
        <v>0.970801874238328</v>
      </c>
      <c r="AO39" s="53" t="n">
        <f aca="false">$C$30*AL39</f>
        <v>3563.50440043348</v>
      </c>
      <c r="AQ39" s="1" t="s">
        <v>73</v>
      </c>
      <c r="AR39" s="1" t="n">
        <v>21755.84</v>
      </c>
      <c r="AS39" s="157" t="n">
        <f aca="false">SUM(AR37/2,AR38:AR40,AR41/2)/4</f>
        <v>21662.19125</v>
      </c>
      <c r="AT39" s="1" t="n">
        <f aca="false">AS39/AR39</f>
        <v>0.995695466136909</v>
      </c>
      <c r="AU39" s="53" t="n">
        <f aca="false">$C$30*AR39</f>
        <v>21719.6015002666</v>
      </c>
      <c r="AW39" s="1" t="s">
        <v>73</v>
      </c>
      <c r="AX39" s="1" t="n">
        <v>2747.18</v>
      </c>
      <c r="AY39" s="157" t="n">
        <f aca="false">SUM(AX37/2,AX38:AX40,AX41/2)/4</f>
        <v>2764.87625</v>
      </c>
      <c r="AZ39" s="1" t="n">
        <f aca="false">AY39/AX39</f>
        <v>1.00644160557372</v>
      </c>
      <c r="BA39" s="53" t="n">
        <f aca="false">$C$30*AX39</f>
        <v>2742.60404790173</v>
      </c>
      <c r="BC39" s="1" t="s">
        <v>73</v>
      </c>
      <c r="BD39" s="1" t="n">
        <v>3814.53</v>
      </c>
      <c r="BE39" s="157" t="n">
        <f aca="false">SUM(BD37/2,BD38:BD40,BD41/2)/4</f>
        <v>3857.2575</v>
      </c>
      <c r="BF39" s="1" t="n">
        <f aca="false">BE39/BD39</f>
        <v>1.01120124890878</v>
      </c>
      <c r="BG39" s="53" t="n">
        <f aca="false">$C$30*BD39</f>
        <v>3808.17617296377</v>
      </c>
      <c r="BI39" s="1" t="s">
        <v>73</v>
      </c>
      <c r="BJ39" s="1" t="n">
        <v>8204.51</v>
      </c>
      <c r="BK39" s="157" t="n">
        <f aca="false">SUM(BJ37/2,BJ38:BJ40,BJ41/2)/4</f>
        <v>8343.02125</v>
      </c>
      <c r="BL39" s="1" t="n">
        <f aca="false">BK39/BJ39</f>
        <v>1.01688233057184</v>
      </c>
      <c r="BM39" s="53" t="n">
        <f aca="false">$C$30*BJ39</f>
        <v>8190.84382423076</v>
      </c>
      <c r="BO39" s="1" t="s">
        <v>73</v>
      </c>
      <c r="BP39" s="1" t="n">
        <v>570.58</v>
      </c>
      <c r="BQ39" s="157" t="n">
        <f aca="false">SUM(BP37/2,BP38:BP40,BP41/2)/4</f>
        <v>555.85</v>
      </c>
      <c r="BR39" s="1" t="n">
        <f aca="false">BQ39/BP39</f>
        <v>0.974184163482772</v>
      </c>
      <c r="BS39" s="53" t="n">
        <f aca="false">$C$30*BP39</f>
        <v>569.629590216793</v>
      </c>
      <c r="BU39" s="1" t="s">
        <v>73</v>
      </c>
      <c r="BV39" s="1" t="n">
        <v>751.08</v>
      </c>
      <c r="BW39" s="157" t="n">
        <f aca="false">SUM(BV37/2,BV38:BV40,BV41/2)/4</f>
        <v>739.27375</v>
      </c>
      <c r="BX39" s="1" t="n">
        <f aca="false">BW39/BV39</f>
        <v>0.98428096873835</v>
      </c>
      <c r="BY39" s="53" t="n">
        <f aca="false">$C$30*BV39</f>
        <v>749.828933050631</v>
      </c>
      <c r="CA39" s="1" t="s">
        <v>73</v>
      </c>
      <c r="CB39" s="1" t="n">
        <v>2157.03</v>
      </c>
      <c r="CC39" s="157" t="n">
        <f aca="false">SUM(CB37/2,CB38:CB40,CB41/2)/4</f>
        <v>2073.50875</v>
      </c>
      <c r="CD39" s="1" t="n">
        <f aca="false">CC39/CB39</f>
        <v>0.961279513961326</v>
      </c>
      <c r="CE39" s="53" t="n">
        <f aca="false">$C$30*CB39</f>
        <v>2153.43705525138</v>
      </c>
      <c r="CG39" s="1" t="s">
        <v>73</v>
      </c>
      <c r="CH39" s="1" t="n">
        <v>1166.18</v>
      </c>
      <c r="CI39" s="157" t="n">
        <f aca="false">SUM(CH37/2,CH38:CH40,CH41/2)/4</f>
        <v>1112.2125</v>
      </c>
      <c r="CJ39" s="1" t="n">
        <f aca="false">CI39/CH39</f>
        <v>0.953722838669845</v>
      </c>
      <c r="CK39" s="53" t="n">
        <f aca="false">$C$30*CH39</f>
        <v>1164.23750485299</v>
      </c>
    </row>
    <row r="40" customFormat="false" ht="12.8" hidden="false" customHeight="false" outlineLevel="0" collapsed="false">
      <c r="A40" s="161" t="s">
        <v>72</v>
      </c>
      <c r="B40" s="162" t="n">
        <v>3221.29</v>
      </c>
      <c r="C40" s="162" t="n">
        <f aca="false">SUM(B38/2,B39:B41,B42/2)/4</f>
        <v>2950.91125</v>
      </c>
      <c r="D40" s="163" t="n">
        <f aca="false">C40/B40</f>
        <v>0.916065070204794</v>
      </c>
      <c r="E40" s="162" t="n">
        <f aca="false">$C$31*B40</f>
        <v>3201.10056980742</v>
      </c>
      <c r="G40" s="161" t="s">
        <v>72</v>
      </c>
      <c r="H40" s="1" t="n">
        <v>28462.14</v>
      </c>
      <c r="I40" s="162" t="n">
        <f aca="false">SUM(H38/2,H39:H41,H42/2)/4</f>
        <v>25875.6375</v>
      </c>
      <c r="J40" s="163" t="n">
        <f aca="false">I40/H40</f>
        <v>0.909124805794645</v>
      </c>
      <c r="K40" s="162" t="n">
        <f aca="false">$C$31*H40</f>
        <v>28283.7535806893</v>
      </c>
      <c r="M40" s="161" t="s">
        <v>72</v>
      </c>
      <c r="N40" s="1" t="n">
        <v>1664.15</v>
      </c>
      <c r="O40" s="162" t="n">
        <f aca="false">SUM(N38/2,N39:N41,N42/2)/4</f>
        <v>1461.1475</v>
      </c>
      <c r="P40" s="163" t="n">
        <f aca="false">O40/N40</f>
        <v>0.878014301595409</v>
      </c>
      <c r="Q40" s="162" t="n">
        <f aca="false">$C$31*N40</f>
        <v>1653.71994239731</v>
      </c>
      <c r="S40" s="161" t="s">
        <v>72</v>
      </c>
      <c r="T40" s="1" t="n">
        <v>7587.05</v>
      </c>
      <c r="U40" s="162" t="n">
        <f aca="false">SUM(T38/2,T39:T41,T42/2)/4</f>
        <v>6866.22625</v>
      </c>
      <c r="V40" s="163" t="n">
        <f aca="false">U40/T40</f>
        <v>0.904992882609183</v>
      </c>
      <c r="W40" s="162" t="n">
        <f aca="false">$C$31*T40</f>
        <v>7539.49817562449</v>
      </c>
      <c r="Y40" s="161" t="s">
        <v>72</v>
      </c>
      <c r="Z40" s="1" t="n">
        <v>13249.01</v>
      </c>
      <c r="AA40" s="162" t="n">
        <f aca="false">SUM(Z38/2,Z39:Z41,Z42/2)/4</f>
        <v>11991.94875</v>
      </c>
      <c r="AB40" s="163" t="n">
        <f aca="false">AA40/Z40</f>
        <v>0.905120363710194</v>
      </c>
      <c r="AC40" s="162" t="n">
        <f aca="false">$C$31*Z40</f>
        <v>13165.9718499062</v>
      </c>
      <c r="AE40" s="161" t="s">
        <v>72</v>
      </c>
      <c r="AF40" s="1" t="n">
        <v>5982.22</v>
      </c>
      <c r="AG40" s="162" t="n">
        <f aca="false">SUM(AF38/2,AF39:AF41,AF42/2)/4</f>
        <v>5323.4025</v>
      </c>
      <c r="AH40" s="163" t="n">
        <f aca="false">AG40/AF40</f>
        <v>0.889870733607256</v>
      </c>
      <c r="AI40" s="162" t="n">
        <f aca="false">$C$31*AF40</f>
        <v>5944.72644521709</v>
      </c>
      <c r="AK40" s="161" t="s">
        <v>72</v>
      </c>
      <c r="AL40" s="1" t="n">
        <v>3748.47</v>
      </c>
      <c r="AM40" s="162" t="n">
        <f aca="false">SUM(AL38/2,AL39:AL41,AL42/2)/4</f>
        <v>3364.675</v>
      </c>
      <c r="AN40" s="163" t="n">
        <f aca="false">AM40/AL40</f>
        <v>0.897612892726899</v>
      </c>
      <c r="AO40" s="162" t="n">
        <f aca="false">$C$31*AL40</f>
        <v>3724.97646995645</v>
      </c>
      <c r="AQ40" s="161" t="s">
        <v>72</v>
      </c>
      <c r="AR40" s="1" t="n">
        <v>23656.62</v>
      </c>
      <c r="AS40" s="162" t="n">
        <f aca="false">SUM(AR38/2,AR39:AR41,AR42/2)/4</f>
        <v>21527.875</v>
      </c>
      <c r="AT40" s="163" t="n">
        <f aca="false">AS40/AR40</f>
        <v>0.910014828830154</v>
      </c>
      <c r="AU40" s="162" t="n">
        <f aca="false">$C$31*AR40</f>
        <v>23508.3521700057</v>
      </c>
      <c r="AW40" s="161" t="s">
        <v>72</v>
      </c>
      <c r="AX40" s="1" t="n">
        <v>3045.87</v>
      </c>
      <c r="AY40" s="162" t="n">
        <f aca="false">SUM(AX38/2,AX39:AX41,AX42/2)/4</f>
        <v>2764.09625</v>
      </c>
      <c r="AZ40" s="163" t="n">
        <f aca="false">AY40/AX40</f>
        <v>0.907489896154465</v>
      </c>
      <c r="BA40" s="162" t="n">
        <f aca="false">$C$31*AX40</f>
        <v>3026.78001439154</v>
      </c>
      <c r="BC40" s="161" t="s">
        <v>72</v>
      </c>
      <c r="BD40" s="1" t="n">
        <v>4081.63</v>
      </c>
      <c r="BE40" s="162" t="n">
        <f aca="false">SUM(BD38/2,BD39:BD41,BD42/2)/4</f>
        <v>3894.27375</v>
      </c>
      <c r="BF40" s="163" t="n">
        <f aca="false">BE40/BD40</f>
        <v>0.954097688913498</v>
      </c>
      <c r="BG40" s="162" t="n">
        <f aca="false">$C$31*BD40</f>
        <v>4056.04839016142</v>
      </c>
      <c r="BI40" s="161" t="s">
        <v>72</v>
      </c>
      <c r="BJ40" s="1" t="n">
        <v>9425.64</v>
      </c>
      <c r="BK40" s="162" t="n">
        <f aca="false">SUM(BJ38/2,BJ39:BJ41,BJ42/2)/4</f>
        <v>8421.68375</v>
      </c>
      <c r="BL40" s="163" t="n">
        <f aca="false">BK40/BJ40</f>
        <v>0.893486675705841</v>
      </c>
      <c r="BM40" s="162" t="n">
        <f aca="false">$C$31*BJ40</f>
        <v>9366.56481558619</v>
      </c>
      <c r="BO40" s="161" t="s">
        <v>72</v>
      </c>
      <c r="BP40" s="1" t="n">
        <v>568.14</v>
      </c>
      <c r="BQ40" s="162" t="n">
        <f aca="false">SUM(BP38/2,BP39:BP41,BP42/2)/4</f>
        <v>519.65125</v>
      </c>
      <c r="BR40" s="163" t="n">
        <f aca="false">BQ40/BP40</f>
        <v>0.914653518498962</v>
      </c>
      <c r="BS40" s="162" t="n">
        <f aca="false">$C$31*BP40</f>
        <v>564.579183411114</v>
      </c>
      <c r="BU40" s="161" t="s">
        <v>72</v>
      </c>
      <c r="BV40" s="1" t="n">
        <v>790.33</v>
      </c>
      <c r="BW40" s="162" t="n">
        <f aca="false">SUM(BV38/2,BV39:BV41,BV42/2)/4</f>
        <v>719.16875</v>
      </c>
      <c r="BX40" s="163" t="n">
        <f aca="false">BW40/BV40</f>
        <v>0.909960079966596</v>
      </c>
      <c r="BY40" s="162" t="n">
        <f aca="false">$C$31*BV40</f>
        <v>785.376607922882</v>
      </c>
      <c r="CA40" s="161" t="s">
        <v>72</v>
      </c>
      <c r="CB40" s="1" t="n">
        <v>2300.57</v>
      </c>
      <c r="CC40" s="162" t="n">
        <f aca="false">SUM(CB38/2,CB39:CB41,CB42/2)/4</f>
        <v>1924.2075</v>
      </c>
      <c r="CD40" s="163" t="n">
        <f aca="false">CC40/CB40</f>
        <v>0.836404673624363</v>
      </c>
      <c r="CE40" s="162" t="n">
        <f aca="false">$C$31*CB40</f>
        <v>2286.15118101191</v>
      </c>
      <c r="CG40" s="161" t="s">
        <v>72</v>
      </c>
      <c r="CH40" s="1" t="n">
        <v>1199.89</v>
      </c>
      <c r="CI40" s="162" t="n">
        <f aca="false">SUM(CH38/2,CH39:CH41,CH42/2)/4</f>
        <v>1085.25875</v>
      </c>
      <c r="CJ40" s="163" t="n">
        <f aca="false">CI40/CH40</f>
        <v>0.904465200976756</v>
      </c>
      <c r="CK40" s="162" t="n">
        <f aca="false">$C$31*CH40</f>
        <v>1192.36969124364</v>
      </c>
    </row>
    <row r="41" customFormat="false" ht="12.8" hidden="false" customHeight="false" outlineLevel="0" collapsed="false">
      <c r="A41" s="158" t="s">
        <v>70</v>
      </c>
      <c r="B41" s="159" t="n">
        <v>2584.59</v>
      </c>
      <c r="C41" s="159" t="n">
        <f aca="false">SUM(B39/2,B40:B42,B43/2)/4</f>
        <v>3019.01</v>
      </c>
      <c r="D41" s="160" t="n">
        <f aca="false">C41/B41</f>
        <v>1.16808081746041</v>
      </c>
      <c r="E41" s="159" t="n">
        <f aca="false">B41*$C$28</f>
        <v>2599.90561191248</v>
      </c>
      <c r="G41" s="158" t="s">
        <v>70</v>
      </c>
      <c r="H41" s="160" t="n">
        <v>21917.16</v>
      </c>
      <c r="I41" s="159" t="n">
        <f aca="false">SUM(H39/2,H40:H42,H43/2)/4</f>
        <v>25885.36125</v>
      </c>
      <c r="J41" s="160" t="n">
        <f aca="false">I41/H41</f>
        <v>1.18105453671917</v>
      </c>
      <c r="K41" s="159" t="n">
        <f aca="false">H41*$C$28</f>
        <v>22047.0354219368</v>
      </c>
      <c r="M41" s="158" t="s">
        <v>70</v>
      </c>
      <c r="N41" s="160" t="n">
        <v>1153.1</v>
      </c>
      <c r="O41" s="159" t="n">
        <f aca="false">SUM(N39/2,N40:N42,N43/2)/4</f>
        <v>1443.5375</v>
      </c>
      <c r="P41" s="160" t="n">
        <f aca="false">O41/N41</f>
        <v>1.25187537941202</v>
      </c>
      <c r="Q41" s="159" t="n">
        <f aca="false">N41*$C$28</f>
        <v>1159.93297238489</v>
      </c>
      <c r="S41" s="158" t="s">
        <v>70</v>
      </c>
      <c r="T41" s="160" t="n">
        <v>5671.96</v>
      </c>
      <c r="U41" s="159" t="n">
        <f aca="false">SUM(T39/2,T40:T42,T43/2)/4</f>
        <v>6516.47625</v>
      </c>
      <c r="V41" s="160" t="n">
        <f aca="false">U41/T41</f>
        <v>1.14889319565018</v>
      </c>
      <c r="W41" s="159" t="n">
        <f aca="false">T41*$C$28</f>
        <v>5705.57056807582</v>
      </c>
      <c r="Y41" s="158" t="s">
        <v>70</v>
      </c>
      <c r="Z41" s="160" t="n">
        <v>9935.84</v>
      </c>
      <c r="AA41" s="159" t="n">
        <f aca="false">SUM(Z39/2,Z40:Z42,Z43/2)/4</f>
        <v>12022.54625</v>
      </c>
      <c r="AB41" s="160" t="n">
        <f aca="false">AA41/Z41</f>
        <v>1.21001810113689</v>
      </c>
      <c r="AC41" s="159" t="n">
        <f aca="false">Z41*$C$28</f>
        <v>9994.71721822976</v>
      </c>
      <c r="AE41" s="158" t="s">
        <v>70</v>
      </c>
      <c r="AF41" s="160" t="n">
        <v>4396.12</v>
      </c>
      <c r="AG41" s="159" t="n">
        <f aca="false">SUM(AF39/2,AF40:AF42,AF43/2)/4</f>
        <v>5138.73625</v>
      </c>
      <c r="AH41" s="160" t="n">
        <f aca="false">AG41/AF41</f>
        <v>1.1689253819277</v>
      </c>
      <c r="AI41" s="159" t="n">
        <f aca="false">AF41*$C$28</f>
        <v>4422.17027019399</v>
      </c>
      <c r="AK41" s="158" t="s">
        <v>70</v>
      </c>
      <c r="AL41" s="160" t="n">
        <v>2786.9</v>
      </c>
      <c r="AM41" s="159" t="n">
        <f aca="false">SUM(AL39/2,AL40:AL42,AL43/2)/4</f>
        <v>3287.7425</v>
      </c>
      <c r="AN41" s="160" t="n">
        <f aca="false">AM41/AL41</f>
        <v>1.179713122107</v>
      </c>
      <c r="AO41" s="159" t="n">
        <f aca="false">AL41*$C$28</f>
        <v>2803.414448651</v>
      </c>
      <c r="AQ41" s="158" t="s">
        <v>70</v>
      </c>
      <c r="AR41" s="160" t="n">
        <v>18917.01</v>
      </c>
      <c r="AS41" s="159" t="n">
        <f aca="false">SUM(AR39/2,AR40:AR42,AR43/2)/4</f>
        <v>21833.0625</v>
      </c>
      <c r="AT41" s="160" t="n">
        <f aca="false">AS41/AR41</f>
        <v>1.15414975728194</v>
      </c>
      <c r="AU41" s="159" t="n">
        <f aca="false">AR41*$C$28</f>
        <v>19029.1073089366</v>
      </c>
      <c r="AW41" s="158" t="s">
        <v>70</v>
      </c>
      <c r="AX41" s="160" t="n">
        <v>2508.81</v>
      </c>
      <c r="AY41" s="159" t="n">
        <f aca="false">SUM(AX39/2,AX40:AX42,AX43/2)/4</f>
        <v>2781.09375</v>
      </c>
      <c r="AZ41" s="160" t="n">
        <f aca="false">AY41/AX41</f>
        <v>1.10853103662693</v>
      </c>
      <c r="BA41" s="159" t="n">
        <f aca="false">AX41*$C$28</f>
        <v>2523.67655923072</v>
      </c>
      <c r="BC41" s="158" t="s">
        <v>70</v>
      </c>
      <c r="BD41" s="160" t="n">
        <v>3686.16</v>
      </c>
      <c r="BE41" s="159" t="n">
        <f aca="false">SUM(BD39/2,BD40:BD42,BD43/2)/4</f>
        <v>4033.17875</v>
      </c>
      <c r="BF41" s="160" t="n">
        <f aca="false">BE41/BD41</f>
        <v>1.09414098953925</v>
      </c>
      <c r="BG41" s="159" t="n">
        <f aca="false">BD41*$C$28</f>
        <v>3708.00323084408</v>
      </c>
      <c r="BI41" s="158" t="s">
        <v>70</v>
      </c>
      <c r="BJ41" s="160" t="n">
        <v>7606.47</v>
      </c>
      <c r="BK41" s="159" t="n">
        <f aca="false">SUM(BJ39/2,BJ40:BJ42,BJ43/2)/4</f>
        <v>8763.215</v>
      </c>
      <c r="BL41" s="160" t="n">
        <f aca="false">BK41/BJ41</f>
        <v>1.15207382662391</v>
      </c>
      <c r="BM41" s="159" t="n">
        <f aca="false">BJ41*$C$28</f>
        <v>7651.5439740322</v>
      </c>
      <c r="BO41" s="158" t="s">
        <v>70</v>
      </c>
      <c r="BP41" s="160" t="n">
        <v>419.35</v>
      </c>
      <c r="BQ41" s="159" t="n">
        <f aca="false">SUM(BP39/2,BP40:BP42,BP43/2)/4</f>
        <v>484.95375</v>
      </c>
      <c r="BR41" s="160" t="n">
        <f aca="false">BQ41/BP41</f>
        <v>1.15644151663288</v>
      </c>
      <c r="BS41" s="159" t="n">
        <f aca="false">BP41*$C$28</f>
        <v>421.834959647564</v>
      </c>
      <c r="BU41" s="158" t="s">
        <v>70</v>
      </c>
      <c r="BV41" s="160" t="n">
        <v>636.53</v>
      </c>
      <c r="BW41" s="159" t="n">
        <f aca="false">SUM(BV39/2,BV40:BV42,BV43/2)/4</f>
        <v>703.67875</v>
      </c>
      <c r="BX41" s="160" t="n">
        <f aca="false">BW41/BV41</f>
        <v>1.10549188569274</v>
      </c>
      <c r="BY41" s="159" t="n">
        <f aca="false">BV41*$C$28</f>
        <v>640.3019121604</v>
      </c>
      <c r="CA41" s="158" t="s">
        <v>70</v>
      </c>
      <c r="CB41" s="160" t="n">
        <v>1355.92</v>
      </c>
      <c r="CC41" s="159" t="n">
        <f aca="false">SUM(CB39/2,CB40:CB42,CB43/2)/4</f>
        <v>1755.93375</v>
      </c>
      <c r="CD41" s="160" t="n">
        <f aca="false">CC41/CB41</f>
        <v>1.29501279574016</v>
      </c>
      <c r="CE41" s="159" t="n">
        <f aca="false">CB41*$C$28</f>
        <v>1363.95483125152</v>
      </c>
      <c r="CG41" s="158" t="s">
        <v>70</v>
      </c>
      <c r="CH41" s="160" t="n">
        <v>917.27</v>
      </c>
      <c r="CI41" s="159" t="n">
        <f aca="false">SUM(CH39/2,CH40:CH42,CH43/2)/4</f>
        <v>1053.46125</v>
      </c>
      <c r="CJ41" s="160" t="n">
        <f aca="false">CI41/CH41</f>
        <v>1.14847454947834</v>
      </c>
      <c r="CK41" s="159" t="n">
        <f aca="false">CH41*$C$28</f>
        <v>922.705504795328</v>
      </c>
    </row>
    <row r="42" customFormat="false" ht="12.8" hidden="false" customHeight="false" outlineLevel="0" collapsed="false">
      <c r="A42" s="1" t="s">
        <v>69</v>
      </c>
      <c r="B42" s="53" t="n">
        <v>3100.29</v>
      </c>
      <c r="C42" s="157" t="n">
        <f aca="false">SUM(B40/2,B41:B43,B44/2)/4</f>
        <v>3131.13625</v>
      </c>
      <c r="D42" s="1" t="n">
        <f aca="false">C42/B42</f>
        <v>1.0099494724687</v>
      </c>
      <c r="E42" s="53" t="n">
        <f aca="false">B42*$C$29</f>
        <v>3106.5136702652</v>
      </c>
      <c r="G42" s="1" t="s">
        <v>69</v>
      </c>
      <c r="H42" s="1" t="n">
        <v>25812.88</v>
      </c>
      <c r="I42" s="157" t="n">
        <f aca="false">SUM(H40/2,H41:H43,H44/2)/4</f>
        <v>26236.8975</v>
      </c>
      <c r="J42" s="1" t="n">
        <f aca="false">I42/H42</f>
        <v>1.01642658626236</v>
      </c>
      <c r="K42" s="53" t="n">
        <f aca="false">H42*$C$29</f>
        <v>25864.698008546</v>
      </c>
      <c r="M42" s="1" t="s">
        <v>69</v>
      </c>
      <c r="N42" s="1" t="n">
        <v>1441.37</v>
      </c>
      <c r="O42" s="157" t="n">
        <f aca="false">SUM(N40/2,N41:N43,N44/2)/4</f>
        <v>1481.0575</v>
      </c>
      <c r="P42" s="1" t="n">
        <f aca="false">O42/N42</f>
        <v>1.02753456780702</v>
      </c>
      <c r="Q42" s="53" t="n">
        <f aca="false">N42*$C$29</f>
        <v>1444.26347500077</v>
      </c>
      <c r="S42" s="1" t="s">
        <v>69</v>
      </c>
      <c r="T42" s="1" t="n">
        <v>6169.74</v>
      </c>
      <c r="U42" s="157" t="n">
        <f aca="false">SUM(T40/2,T41:T43,T44/2)/4</f>
        <v>6194.80875</v>
      </c>
      <c r="V42" s="1" t="n">
        <f aca="false">U42/T42</f>
        <v>1.00406317770279</v>
      </c>
      <c r="W42" s="53" t="n">
        <f aca="false">T42*$C$29</f>
        <v>6182.12543084099</v>
      </c>
      <c r="Y42" s="1" t="s">
        <v>69</v>
      </c>
      <c r="Z42" s="1" t="n">
        <v>12310.93</v>
      </c>
      <c r="AA42" s="157" t="n">
        <f aca="false">SUM(Z40/2,Z41:Z43,Z44/2)/4</f>
        <v>12122.84875</v>
      </c>
      <c r="AB42" s="1" t="n">
        <f aca="false">AA42/Z42</f>
        <v>0.984722417396574</v>
      </c>
      <c r="AC42" s="53" t="n">
        <f aca="false">Z42*$C$29</f>
        <v>12335.643549048</v>
      </c>
      <c r="AE42" s="1" t="s">
        <v>69</v>
      </c>
      <c r="AF42" s="1" t="n">
        <v>4935.99</v>
      </c>
      <c r="AG42" s="157" t="n">
        <f aca="false">SUM(AF40/2,AF41:AF43,AF44/2)/4</f>
        <v>4981.59125</v>
      </c>
      <c r="AH42" s="1" t="n">
        <f aca="false">AG42/AF42</f>
        <v>1.00923852155292</v>
      </c>
      <c r="AI42" s="53" t="n">
        <f aca="false">AF42*$C$29</f>
        <v>4945.89874214745</v>
      </c>
      <c r="AK42" s="1" t="s">
        <v>69</v>
      </c>
      <c r="AL42" s="1" t="n">
        <v>3234.07</v>
      </c>
      <c r="AM42" s="157" t="n">
        <f aca="false">SUM(AL40/2,AL41:AL43,AL44/2)/4</f>
        <v>3218.6525</v>
      </c>
      <c r="AN42" s="1" t="n">
        <f aca="false">AM42/AL42</f>
        <v>0.995232787169109</v>
      </c>
      <c r="AO42" s="53" t="n">
        <f aca="false">AL42*$C$29</f>
        <v>3240.56222662866</v>
      </c>
      <c r="AQ42" s="1" t="s">
        <v>69</v>
      </c>
      <c r="AR42" s="1" t="n">
        <v>22288.14</v>
      </c>
      <c r="AS42" s="157" t="n">
        <f aca="false">SUM(AR40/2,AR41:AR43,AR44/2)/4</f>
        <v>22485.16625</v>
      </c>
      <c r="AT42" s="1" t="n">
        <f aca="false">AS42/AR42</f>
        <v>1.00883995927879</v>
      </c>
      <c r="AU42" s="53" t="n">
        <f aca="false">AR42*$C$29</f>
        <v>22332.8822770723</v>
      </c>
      <c r="AW42" s="1" t="s">
        <v>69</v>
      </c>
      <c r="AX42" s="1" t="n">
        <v>2743.2</v>
      </c>
      <c r="AY42" s="157" t="n">
        <f aca="false">SUM(AX40/2,AX41:AX43,AX44/2)/4</f>
        <v>2831.31625</v>
      </c>
      <c r="AZ42" s="1" t="n">
        <f aca="false">AY42/AX42</f>
        <v>1.03212170093322</v>
      </c>
      <c r="BA42" s="53" t="n">
        <f aca="false">AX42*$C$29</f>
        <v>2748.7068307389</v>
      </c>
      <c r="BC42" s="1" t="s">
        <v>69</v>
      </c>
      <c r="BD42" s="1" t="n">
        <v>4163.96</v>
      </c>
      <c r="BE42" s="157" t="n">
        <f aca="false">SUM(BD40/2,BD41:BD43,BD44/2)/4</f>
        <v>4258.7975</v>
      </c>
      <c r="BF42" s="1" t="n">
        <f aca="false">BE42/BD42</f>
        <v>1.02277579515653</v>
      </c>
      <c r="BG42" s="53" t="n">
        <f aca="false">BD42*$C$29</f>
        <v>4172.31893224101</v>
      </c>
      <c r="BI42" s="1" t="s">
        <v>69</v>
      </c>
      <c r="BJ42" s="1" t="n">
        <v>8892.06</v>
      </c>
      <c r="BK42" s="157" t="n">
        <f aca="false">SUM(BJ40/2,BJ41:BJ43,BJ44/2)/4</f>
        <v>9304.2175</v>
      </c>
      <c r="BL42" s="1" t="n">
        <f aca="false">BK42/BJ42</f>
        <v>1.04635118296548</v>
      </c>
      <c r="BM42" s="53" t="n">
        <f aca="false">BJ42*$C$29</f>
        <v>8909.91034607032</v>
      </c>
      <c r="BO42" s="1" t="s">
        <v>69</v>
      </c>
      <c r="BP42" s="1" t="n">
        <v>453.26</v>
      </c>
      <c r="BQ42" s="157" t="n">
        <f aca="false">SUM(BP40/2,BP41:BP43,BP44/2)/4</f>
        <v>451.99875</v>
      </c>
      <c r="BR42" s="1" t="n">
        <f aca="false">BQ42/BP42</f>
        <v>0.997217380752769</v>
      </c>
      <c r="BS42" s="53" t="n">
        <f aca="false">BP42*$C$29</f>
        <v>454.169895778912</v>
      </c>
      <c r="BU42" s="1" t="s">
        <v>69</v>
      </c>
      <c r="BV42" s="1" t="n">
        <v>665.85</v>
      </c>
      <c r="BW42" s="157" t="n">
        <f aca="false">SUM(BV40/2,BV41:BV43,BV44/2)/4</f>
        <v>690.94</v>
      </c>
      <c r="BX42" s="1" t="n">
        <f aca="false">BW42/BV42</f>
        <v>1.03768115942029</v>
      </c>
      <c r="BY42" s="53" t="n">
        <f aca="false">BV42*$C$29</f>
        <v>667.186659101595</v>
      </c>
      <c r="CA42" s="1" t="s">
        <v>69</v>
      </c>
      <c r="CB42" s="1" t="n">
        <v>1542.12</v>
      </c>
      <c r="CC42" s="157" t="n">
        <f aca="false">SUM(CB40/2,CB41:CB43,CB44/2)/4</f>
        <v>1627.43375</v>
      </c>
      <c r="CD42" s="1" t="n">
        <f aca="false">CC42/CB42</f>
        <v>1.05532238087827</v>
      </c>
      <c r="CE42" s="53" t="n">
        <f aca="false">CB42*$C$29</f>
        <v>1545.2157253642</v>
      </c>
      <c r="CG42" s="1" t="s">
        <v>69</v>
      </c>
      <c r="CH42" s="1" t="n">
        <v>1012.72</v>
      </c>
      <c r="CI42" s="157" t="n">
        <f aca="false">SUM(CH40/2,CH41:CH43,CH44/2)/4</f>
        <v>1018.8975</v>
      </c>
      <c r="CJ42" s="1" t="n">
        <f aca="false">CI42/CH42</f>
        <v>1.00609990915554</v>
      </c>
      <c r="CK42" s="53" t="n">
        <f aca="false">CH42*$C$29</f>
        <v>1014.75298251163</v>
      </c>
    </row>
    <row r="43" customFormat="false" ht="12.8" hidden="false" customHeight="false" outlineLevel="0" collapsed="false">
      <c r="A43" s="1" t="s">
        <v>67</v>
      </c>
      <c r="B43" s="53" t="n">
        <v>3363</v>
      </c>
      <c r="C43" s="157" t="n">
        <f aca="false">SUM(B41/2,B42:B44,B45/2)/4</f>
        <v>3368.5175</v>
      </c>
      <c r="D43" s="1" t="n">
        <f aca="false">C43/B43</f>
        <v>1.00164064823075</v>
      </c>
      <c r="E43" s="53" t="n">
        <f aca="false">$C$30*B43</f>
        <v>3357.39828227256</v>
      </c>
      <c r="G43" s="1" t="s">
        <v>67</v>
      </c>
      <c r="H43" s="1" t="n">
        <v>27781.7</v>
      </c>
      <c r="I43" s="157" t="n">
        <f aca="false">SUM(H41/2,H42:H44,H45/2)/4</f>
        <v>27863.37375</v>
      </c>
      <c r="J43" s="1" t="n">
        <f aca="false">I43/H43</f>
        <v>1.00293983989461</v>
      </c>
      <c r="K43" s="53" t="n">
        <f aca="false">$C$30*H43</f>
        <v>27735.4242814783</v>
      </c>
      <c r="M43" s="1" t="s">
        <v>67</v>
      </c>
      <c r="N43" s="1" t="n">
        <v>1507.69</v>
      </c>
      <c r="O43" s="157" t="n">
        <f aca="false">SUM(N41/2,N42:N44,N45/2)/4</f>
        <v>1653.965</v>
      </c>
      <c r="P43" s="1" t="n">
        <f aca="false">O43/N43</f>
        <v>1.09701928115196</v>
      </c>
      <c r="Q43" s="53" t="n">
        <f aca="false">$C$30*N43</f>
        <v>1505.17865483185</v>
      </c>
      <c r="S43" s="1" t="s">
        <v>67</v>
      </c>
      <c r="T43" s="1" t="n">
        <v>5866.1</v>
      </c>
      <c r="U43" s="157" t="n">
        <f aca="false">SUM(T41/2,T42:T44,T45/2)/4</f>
        <v>6196.11375</v>
      </c>
      <c r="V43" s="1" t="n">
        <f aca="false">U43/T43</f>
        <v>1.0562577777399</v>
      </c>
      <c r="W43" s="53" t="n">
        <f aca="false">$C$30*T43</f>
        <v>5856.32889195333</v>
      </c>
      <c r="Y43" s="1" t="s">
        <v>67</v>
      </c>
      <c r="Z43" s="1" t="n">
        <v>12760.73</v>
      </c>
      <c r="AA43" s="157" t="n">
        <f aca="false">SUM(Z41/2,Z42:Z44,Z45/2)/4</f>
        <v>12867.23125</v>
      </c>
      <c r="AB43" s="1" t="n">
        <f aca="false">AA43/Z43</f>
        <v>1.0083460154709</v>
      </c>
      <c r="AC43" s="53" t="n">
        <f aca="false">$C$30*Z43</f>
        <v>12739.4745710806</v>
      </c>
      <c r="AE43" s="1" t="s">
        <v>67</v>
      </c>
      <c r="AF43" s="1" t="n">
        <v>4803.44</v>
      </c>
      <c r="AG43" s="157" t="n">
        <f aca="false">SUM(AF41/2,AF42:AF44,AF45/2)/4</f>
        <v>5142.62875</v>
      </c>
      <c r="AH43" s="1" t="n">
        <f aca="false">AG43/AF43</f>
        <v>1.0706137164199</v>
      </c>
      <c r="AI43" s="53" t="n">
        <f aca="false">$C$30*AF43</f>
        <v>4795.43895480205</v>
      </c>
      <c r="AK43" s="1" t="s">
        <v>67</v>
      </c>
      <c r="AL43" s="1" t="n">
        <v>3193.61</v>
      </c>
      <c r="AM43" s="157" t="n">
        <f aca="false">SUM(AL41/2,AL42:AL44,AL45/2)/4</f>
        <v>3338.08125</v>
      </c>
      <c r="AN43" s="1" t="n">
        <f aca="false">AM43/AL43</f>
        <v>1.04523759945641</v>
      </c>
      <c r="AO43" s="53" t="n">
        <f aca="false">$C$30*AL43</f>
        <v>3188.29043361536</v>
      </c>
      <c r="AQ43" s="1" t="s">
        <v>67</v>
      </c>
      <c r="AR43" s="1" t="n">
        <v>23185.12</v>
      </c>
      <c r="AS43" s="157" t="n">
        <f aca="false">SUM(AR41/2,AR42:AR44,AR45/2)/4</f>
        <v>24241.33375</v>
      </c>
      <c r="AT43" s="1" t="n">
        <f aca="false">AS43/AR43</f>
        <v>1.04555567320764</v>
      </c>
      <c r="AU43" s="53" t="n">
        <f aca="false">$C$30*AR43</f>
        <v>23146.500761904</v>
      </c>
      <c r="AW43" s="1" t="s">
        <v>67</v>
      </c>
      <c r="AX43" s="1" t="n">
        <v>2905.81</v>
      </c>
      <c r="AY43" s="157" t="n">
        <f aca="false">SUM(AX41/2,AX42:AX44,AX45/2)/4</f>
        <v>2990.82375</v>
      </c>
      <c r="AZ43" s="1" t="n">
        <f aca="false">AY43/AX43</f>
        <v>1.02925647237775</v>
      </c>
      <c r="BA43" s="53" t="n">
        <f aca="false">$C$30*AX43</f>
        <v>2900.96981939055</v>
      </c>
      <c r="BC43" s="1" t="s">
        <v>67</v>
      </c>
      <c r="BD43" s="1" t="n">
        <v>4587.4</v>
      </c>
      <c r="BE43" s="157" t="n">
        <f aca="false">SUM(BD41/2,BD42:BD44,BD45/2)/4</f>
        <v>4558.0825</v>
      </c>
      <c r="BF43" s="1" t="n">
        <f aca="false">BE43/BD43</f>
        <v>0.99360912499455</v>
      </c>
      <c r="BG43" s="53" t="n">
        <f aca="false">$C$30*BD43</f>
        <v>4579.75881061467</v>
      </c>
      <c r="BI43" s="1" t="s">
        <v>67</v>
      </c>
      <c r="BJ43" s="1" t="n">
        <v>10052.87</v>
      </c>
      <c r="BK43" s="157" t="n">
        <f aca="false">SUM(BJ41/2,BJ42:BJ44,BJ45/2)/4</f>
        <v>10337.31875</v>
      </c>
      <c r="BL43" s="1" t="n">
        <f aca="false">BK43/BJ43</f>
        <v>1.02829527786592</v>
      </c>
      <c r="BM43" s="53" t="n">
        <f aca="false">$C$30*BJ43</f>
        <v>10036.1250282216</v>
      </c>
      <c r="BO43" s="1" t="s">
        <v>67</v>
      </c>
      <c r="BP43" s="1" t="n">
        <v>427.55</v>
      </c>
      <c r="BQ43" s="157" t="n">
        <f aca="false">SUM(BP41/2,BP42:BP44,BP45/2)/4</f>
        <v>447.28875</v>
      </c>
      <c r="BR43" s="1" t="n">
        <f aca="false">BQ43/BP43</f>
        <v>1.04616711495731</v>
      </c>
      <c r="BS43" s="53" t="n">
        <f aca="false">$C$30*BP43</f>
        <v>426.837833953504</v>
      </c>
      <c r="BU43" s="1" t="s">
        <v>67</v>
      </c>
      <c r="BV43" s="1" t="n">
        <v>692.93</v>
      </c>
      <c r="BW43" s="157" t="n">
        <f aca="false">SUM(BV41/2,BV42:BV44,BV45/2)/4</f>
        <v>700.20375</v>
      </c>
      <c r="BX43" s="1" t="n">
        <f aca="false">BW43/BV43</f>
        <v>1.01049709205836</v>
      </c>
      <c r="BY43" s="53" t="n">
        <f aca="false">$C$30*BV43</f>
        <v>691.775792963165</v>
      </c>
      <c r="CA43" s="1" t="s">
        <v>67</v>
      </c>
      <c r="CB43" s="1" t="n">
        <v>1493.22</v>
      </c>
      <c r="CC43" s="157" t="n">
        <f aca="false">SUM(CB41/2,CB42:CB44,CB45/2)/4</f>
        <v>1672.05875</v>
      </c>
      <c r="CD43" s="1" t="n">
        <f aca="false">CC43/CB43</f>
        <v>1.11976718099141</v>
      </c>
      <c r="CE43" s="53" t="n">
        <f aca="false">$C$30*CB43</f>
        <v>1490.73275737586</v>
      </c>
      <c r="CG43" s="1" t="s">
        <v>67</v>
      </c>
      <c r="CH43" s="1" t="n">
        <v>1001.75</v>
      </c>
      <c r="CI43" s="157" t="n">
        <f aca="false">SUM(CH41/2,CH42:CH44,CH45/2)/4</f>
        <v>1037.35875</v>
      </c>
      <c r="CJ43" s="1" t="n">
        <f aca="false">CI43/CH43</f>
        <v>1.03554654354879</v>
      </c>
      <c r="CK43" s="53" t="n">
        <f aca="false">$C$30*CH43</f>
        <v>1000.08139437007</v>
      </c>
    </row>
    <row r="44" customFormat="false" ht="12.8" hidden="false" customHeight="false" outlineLevel="0" collapsed="false">
      <c r="A44" s="161" t="s">
        <v>66</v>
      </c>
      <c r="B44" s="162" t="n">
        <v>3732.04</v>
      </c>
      <c r="C44" s="162" t="n">
        <f aca="false">SUM(B42/2,B43:B45,B46/2)/4</f>
        <v>3691.70625</v>
      </c>
      <c r="D44" s="163" t="n">
        <f aca="false">C44/B44</f>
        <v>0.989192572962776</v>
      </c>
      <c r="E44" s="162" t="n">
        <f aca="false">$C$31*B44</f>
        <v>3708.64944495655</v>
      </c>
      <c r="G44" s="161" t="s">
        <v>66</v>
      </c>
      <c r="H44" s="1" t="n">
        <v>30409.56</v>
      </c>
      <c r="I44" s="162" t="n">
        <f aca="false">SUM(H42/2,H43:H45,H46/2)/4</f>
        <v>30332.62625</v>
      </c>
      <c r="J44" s="163" t="n">
        <f aca="false">I44/H44</f>
        <v>0.997470080132695</v>
      </c>
      <c r="K44" s="162" t="n">
        <f aca="false">$C$31*H44</f>
        <v>30218.9681287909</v>
      </c>
      <c r="M44" s="161" t="s">
        <v>66</v>
      </c>
      <c r="N44" s="1" t="n">
        <v>1979.99</v>
      </c>
      <c r="O44" s="162" t="n">
        <f aca="false">SUM(N42/2,N43:N45,N46/2)/4</f>
        <v>1896.04</v>
      </c>
      <c r="P44" s="163" t="n">
        <f aca="false">O44/N44</f>
        <v>0.957600795963616</v>
      </c>
      <c r="Q44" s="162" t="n">
        <f aca="false">$C$31*N44</f>
        <v>1967.58041567602</v>
      </c>
      <c r="S44" s="161" t="s">
        <v>66</v>
      </c>
      <c r="T44" s="1" t="n">
        <v>6555.82</v>
      </c>
      <c r="U44" s="162" t="n">
        <f aca="false">SUM(T42/2,T43:T45,T46/2)/4</f>
        <v>6434.78875</v>
      </c>
      <c r="V44" s="163" t="n">
        <f aca="false">U44/T44</f>
        <v>0.981538350656363</v>
      </c>
      <c r="W44" s="162" t="n">
        <f aca="false">$C$31*T44</f>
        <v>6514.73140808648</v>
      </c>
      <c r="Y44" s="161" t="s">
        <v>66</v>
      </c>
      <c r="Z44" s="1" t="n">
        <v>13718.78</v>
      </c>
      <c r="AA44" s="162" t="n">
        <f aca="false">SUM(Z42/2,Z43:Z45,Z46/2)/4</f>
        <v>13955.40625</v>
      </c>
      <c r="AB44" s="163" t="n">
        <f aca="false">AA44/Z44</f>
        <v>1.01724834496945</v>
      </c>
      <c r="AC44" s="162" t="n">
        <f aca="false">$C$31*Z44</f>
        <v>13632.7975671432</v>
      </c>
      <c r="AE44" s="161" t="s">
        <v>66</v>
      </c>
      <c r="AF44" s="1" t="n">
        <v>5599.41</v>
      </c>
      <c r="AG44" s="162" t="n">
        <f aca="false">SUM(AF42/2,AF43:AF45,AF46/2)/4</f>
        <v>5547.9975</v>
      </c>
      <c r="AH44" s="163" t="n">
        <f aca="false">AG44/AF44</f>
        <v>0.990818229063419</v>
      </c>
      <c r="AI44" s="162" t="n">
        <f aca="false">$C$31*AF44</f>
        <v>5564.31570631187</v>
      </c>
      <c r="AK44" s="161" t="s">
        <v>66</v>
      </c>
      <c r="AL44" s="1" t="n">
        <v>3571.59</v>
      </c>
      <c r="AM44" s="162" t="n">
        <f aca="false">SUM(AL42/2,AL43:AL45,AL46/2)/4</f>
        <v>3583.39875</v>
      </c>
      <c r="AN44" s="163" t="n">
        <f aca="false">AM44/AL44</f>
        <v>1.00330630055522</v>
      </c>
      <c r="AO44" s="162" t="n">
        <f aca="false">$C$31*AL44</f>
        <v>3549.20506508836</v>
      </c>
      <c r="AQ44" s="161" t="s">
        <v>66</v>
      </c>
      <c r="AR44" s="1" t="n">
        <v>27444.17</v>
      </c>
      <c r="AS44" s="162" t="n">
        <f aca="false">SUM(AR42/2,AR43:AR45,AR46/2)/4</f>
        <v>26336.98125</v>
      </c>
      <c r="AT44" s="163" t="n">
        <f aca="false">AS44/AR44</f>
        <v>0.959656686647838</v>
      </c>
      <c r="AU44" s="162" t="n">
        <f aca="false">$C$31*AR44</f>
        <v>27272.1637061214</v>
      </c>
      <c r="AW44" s="161" t="s">
        <v>66</v>
      </c>
      <c r="AX44" s="1" t="n">
        <v>3289.02</v>
      </c>
      <c r="AY44" s="162" t="n">
        <f aca="false">SUM(AX42/2,AX43:AX45,AX46/2)/4</f>
        <v>3257.26875</v>
      </c>
      <c r="AZ44" s="163" t="n">
        <f aca="false">AY44/AX44</f>
        <v>0.990346288560118</v>
      </c>
      <c r="BA44" s="162" t="n">
        <f aca="false">$C$31*AX44</f>
        <v>3268.40607213508</v>
      </c>
      <c r="BC44" s="161" t="s">
        <v>66</v>
      </c>
      <c r="BD44" s="1" t="n">
        <v>5113.71</v>
      </c>
      <c r="BE44" s="162" t="n">
        <f aca="false">SUM(BD42/2,BD43:BD45,BD46/2)/4</f>
        <v>4860.8675</v>
      </c>
      <c r="BF44" s="163" t="n">
        <f aca="false">BE44/BD44</f>
        <v>0.950555956438672</v>
      </c>
      <c r="BG44" s="162" t="n">
        <f aca="false">$C$31*BD44</f>
        <v>5081.65983032571</v>
      </c>
      <c r="BI44" s="161" t="s">
        <v>66</v>
      </c>
      <c r="BJ44" s="1" t="n">
        <v>11905.3</v>
      </c>
      <c r="BK44" s="162" t="n">
        <f aca="false">SUM(BJ42/2,BJ43:BJ45,BJ46/2)/4</f>
        <v>11679.36625</v>
      </c>
      <c r="BL44" s="163" t="n">
        <f aca="false">BK44/BJ44</f>
        <v>0.98102242278649</v>
      </c>
      <c r="BM44" s="162" t="n">
        <f aca="false">$C$31*BJ44</f>
        <v>11830.6835502945</v>
      </c>
      <c r="BO44" s="161" t="s">
        <v>66</v>
      </c>
      <c r="BP44" s="1" t="n">
        <v>447.53</v>
      </c>
      <c r="BQ44" s="162" t="n">
        <f aca="false">SUM(BP42/2,BP43:BP45,BP46/2)/4</f>
        <v>470.70875</v>
      </c>
      <c r="BR44" s="163" t="n">
        <f aca="false">BQ44/BP44</f>
        <v>1.05179261725471</v>
      </c>
      <c r="BS44" s="162" t="n">
        <f aca="false">$C$31*BP44</f>
        <v>444.725106403309</v>
      </c>
      <c r="BU44" s="161" t="s">
        <v>66</v>
      </c>
      <c r="BV44" s="1" t="n">
        <v>746.57</v>
      </c>
      <c r="BW44" s="162" t="n">
        <f aca="false">SUM(BV42/2,BV43:BV45,BV46/2)/4</f>
        <v>729.1375</v>
      </c>
      <c r="BX44" s="163" t="n">
        <f aca="false">BW44/BV44</f>
        <v>0.976649878778949</v>
      </c>
      <c r="BY44" s="162" t="n">
        <f aca="false">$C$31*BV44</f>
        <v>741.890873656556</v>
      </c>
      <c r="CA44" s="161" t="s">
        <v>66</v>
      </c>
      <c r="CB44" s="1" t="n">
        <v>1936.38</v>
      </c>
      <c r="CC44" s="162" t="n">
        <f aca="false">SUM(CB42/2,CB43:CB45,CB46/2)/4</f>
        <v>1836.96</v>
      </c>
      <c r="CD44" s="163" t="n">
        <f aca="false">CC44/CB44</f>
        <v>0.948656771914604</v>
      </c>
      <c r="CE44" s="162" t="n">
        <f aca="false">$C$31*CB44</f>
        <v>1924.24374128492</v>
      </c>
      <c r="CG44" s="161" t="s">
        <v>66</v>
      </c>
      <c r="CH44" s="1" t="n">
        <v>1087.81</v>
      </c>
      <c r="CI44" s="162" t="n">
        <f aca="false">SUM(CH42/2,CH43:CH45,CH46/2)/4</f>
        <v>1095.53</v>
      </c>
      <c r="CJ44" s="163" t="n">
        <f aca="false">CI44/CH44</f>
        <v>1.00709682757099</v>
      </c>
      <c r="CK44" s="162" t="n">
        <f aca="false">$C$31*CH44</f>
        <v>1080.99215247376</v>
      </c>
    </row>
    <row r="45" customFormat="false" ht="12.8" hidden="false" customHeight="false" outlineLevel="0" collapsed="false">
      <c r="A45" s="158" t="s">
        <v>65</v>
      </c>
      <c r="B45" s="159" t="n">
        <v>3972.89</v>
      </c>
      <c r="C45" s="159" t="n">
        <f aca="false">SUM(B43/2,B44:B46,B47/2)/4</f>
        <v>3959.425</v>
      </c>
      <c r="D45" s="160" t="n">
        <f aca="false">C45/B45</f>
        <v>0.996610779558458</v>
      </c>
      <c r="E45" s="159" t="n">
        <f aca="false">B45*$C$28</f>
        <v>3996.43231866987</v>
      </c>
      <c r="G45" s="158" t="s">
        <v>65</v>
      </c>
      <c r="H45" s="160" t="n">
        <v>32981.55</v>
      </c>
      <c r="I45" s="159" t="n">
        <f aca="false">SUM(H43/2,H44:H46,H47/2)/4</f>
        <v>32176.6075</v>
      </c>
      <c r="J45" s="160" t="n">
        <f aca="false">I45/H45</f>
        <v>0.975594157945882</v>
      </c>
      <c r="K45" s="159" t="n">
        <f aca="false">H45*$C$28</f>
        <v>33176.9901356006</v>
      </c>
      <c r="M45" s="158" t="s">
        <v>65</v>
      </c>
      <c r="N45" s="160" t="n">
        <v>2220.52</v>
      </c>
      <c r="O45" s="159" t="n">
        <f aca="false">SUM(N43/2,N44:N46,N47/2)/4</f>
        <v>2091.7725</v>
      </c>
      <c r="P45" s="160" t="n">
        <f aca="false">O45/N45</f>
        <v>0.942019211716175</v>
      </c>
      <c r="Q45" s="159" t="n">
        <f aca="false">N45*$C$28</f>
        <v>2233.67822724838</v>
      </c>
      <c r="S45" s="158" t="s">
        <v>65</v>
      </c>
      <c r="T45" s="160" t="n">
        <v>6713.63</v>
      </c>
      <c r="U45" s="159" t="n">
        <f aca="false">SUM(T43/2,T44:T46,T47/2)/4</f>
        <v>6695.795</v>
      </c>
      <c r="V45" s="160" t="n">
        <f aca="false">U45/T45</f>
        <v>0.997343463968077</v>
      </c>
      <c r="W45" s="159" t="n">
        <f aca="false">T45*$C$28</f>
        <v>6753.41323509878</v>
      </c>
      <c r="Y45" s="158" t="s">
        <v>65</v>
      </c>
      <c r="Z45" s="160" t="n">
        <v>15421.13</v>
      </c>
      <c r="AA45" s="159" t="n">
        <f aca="false">SUM(Z43/2,Z44:Z46,Z47/2)/4</f>
        <v>14670.415</v>
      </c>
      <c r="AB45" s="160" t="n">
        <f aca="false">AA45/Z45</f>
        <v>0.951319066760996</v>
      </c>
      <c r="AC45" s="159" t="n">
        <f aca="false">Z45*$C$28</f>
        <v>15512.5116281622</v>
      </c>
      <c r="AE45" s="158" t="s">
        <v>65</v>
      </c>
      <c r="AF45" s="160" t="n">
        <v>6067.23</v>
      </c>
      <c r="AG45" s="159" t="n">
        <f aca="false">SUM(AF43/2,AF44:AF46,AF47/2)/4</f>
        <v>5959.04875</v>
      </c>
      <c r="AH45" s="160" t="n">
        <f aca="false">AG45/AF45</f>
        <v>0.982169581505893</v>
      </c>
      <c r="AI45" s="159" t="n">
        <f aca="false">AF45*$C$28</f>
        <v>6103.18283587096</v>
      </c>
      <c r="AK45" s="158" t="s">
        <v>65</v>
      </c>
      <c r="AL45" s="160" t="n">
        <v>3919.21</v>
      </c>
      <c r="AM45" s="159" t="n">
        <f aca="false">SUM(AL43/2,AL44:AL46,AL47/2)/4</f>
        <v>3793.98625</v>
      </c>
      <c r="AN45" s="160" t="n">
        <f aca="false">AM45/AL45</f>
        <v>0.968048726656648</v>
      </c>
      <c r="AO45" s="159" t="n">
        <f aca="false">AL45*$C$28</f>
        <v>3942.43422487261</v>
      </c>
      <c r="AQ45" s="158" t="s">
        <v>65</v>
      </c>
      <c r="AR45" s="160" t="n">
        <v>29178.8</v>
      </c>
      <c r="AS45" s="159" t="n">
        <f aca="false">SUM(AR43/2,AR44:AR46,AR47/2)/4</f>
        <v>27933.3475</v>
      </c>
      <c r="AT45" s="160" t="n">
        <f aca="false">AS45/AR45</f>
        <v>0.957316527753026</v>
      </c>
      <c r="AU45" s="159" t="n">
        <f aca="false">AR45*$C$28</f>
        <v>29351.7060225691</v>
      </c>
      <c r="AW45" s="158" t="s">
        <v>65</v>
      </c>
      <c r="AX45" s="160" t="n">
        <v>3541.72</v>
      </c>
      <c r="AY45" s="159" t="n">
        <f aca="false">SUM(AX43/2,AX44:AX46,AX47/2)/4</f>
        <v>3544.31375</v>
      </c>
      <c r="AZ45" s="160" t="n">
        <f aca="false">AY45/AX45</f>
        <v>1.00073234191297</v>
      </c>
      <c r="BA45" s="159" t="n">
        <f aca="false">AX45*$C$28</f>
        <v>3562.7073167592</v>
      </c>
      <c r="BC45" s="158" t="s">
        <v>65</v>
      </c>
      <c r="BD45" s="160" t="n">
        <v>5048.36</v>
      </c>
      <c r="BE45" s="159" t="n">
        <f aca="false">SUM(BD43/2,BD44:BD46,BD47/2)/4</f>
        <v>5028.25</v>
      </c>
      <c r="BF45" s="160" t="n">
        <f aca="false">BE45/BD45</f>
        <v>0.996016528139832</v>
      </c>
      <c r="BG45" s="159" t="n">
        <f aca="false">BD45*$C$28</f>
        <v>5078.27527575146</v>
      </c>
      <c r="BI45" s="158" t="s">
        <v>65</v>
      </c>
      <c r="BJ45" s="160" t="n">
        <v>13391.62</v>
      </c>
      <c r="BK45" s="159" t="n">
        <f aca="false">SUM(BJ43/2,BJ44:BJ46,BJ47/2)/4</f>
        <v>12712.82375</v>
      </c>
      <c r="BL45" s="160" t="n">
        <f aca="false">BK45/BJ45</f>
        <v>0.949311864434624</v>
      </c>
      <c r="BM45" s="159" t="n">
        <f aca="false">BJ45*$C$28</f>
        <v>13470.9752767748</v>
      </c>
      <c r="BO45" s="158" t="s">
        <v>65</v>
      </c>
      <c r="BP45" s="160" t="n">
        <v>502.28</v>
      </c>
      <c r="BQ45" s="159" t="n">
        <f aca="false">SUM(BP43/2,BP44:BP46,BP47/2)/4</f>
        <v>503.48875</v>
      </c>
      <c r="BR45" s="160" t="n">
        <f aca="false">BQ45/BP45</f>
        <v>1.00240652624034</v>
      </c>
      <c r="BS45" s="159" t="n">
        <f aca="false">BP45*$C$28</f>
        <v>505.25638138018</v>
      </c>
      <c r="BU45" s="158" t="s">
        <v>65</v>
      </c>
      <c r="BV45" s="160" t="n">
        <v>754.4</v>
      </c>
      <c r="BW45" s="159" t="n">
        <f aca="false">SUM(BV43/2,BV44:BV46,BV47/2)/4</f>
        <v>757.0725</v>
      </c>
      <c r="BX45" s="160" t="n">
        <f aca="false">BW45/BV45</f>
        <v>1.00354255037116</v>
      </c>
      <c r="BY45" s="159" t="n">
        <f aca="false">BV45*$C$28</f>
        <v>758.870379296821</v>
      </c>
      <c r="CA45" s="158" t="s">
        <v>65</v>
      </c>
      <c r="CB45" s="160" t="n">
        <v>2077.11</v>
      </c>
      <c r="CC45" s="159" t="n">
        <f aca="false">SUM(CB43/2,CB44:CB46,CB47/2)/4</f>
        <v>1986.945</v>
      </c>
      <c r="CD45" s="160" t="n">
        <f aca="false">CC45/CB45</f>
        <v>0.95659112902061</v>
      </c>
      <c r="CE45" s="159" t="n">
        <f aca="false">CB45*$C$28</f>
        <v>2089.41841667712</v>
      </c>
      <c r="CG45" s="158" t="s">
        <v>65</v>
      </c>
      <c r="CH45" s="160" t="n">
        <v>1177.04</v>
      </c>
      <c r="CI45" s="159" t="n">
        <f aca="false">SUM(CH43/2,CH44:CH46,CH47/2)/4</f>
        <v>1149.57875</v>
      </c>
      <c r="CJ45" s="160" t="n">
        <f aca="false">CI45/CH45</f>
        <v>0.976669229592877</v>
      </c>
      <c r="CK45" s="159" t="n">
        <f aca="false">CH45*$C$28</f>
        <v>1184.01483463352</v>
      </c>
    </row>
    <row r="46" customFormat="false" ht="12.8" hidden="false" customHeight="false" outlineLevel="0" collapsed="false">
      <c r="A46" s="1" t="s">
        <v>64</v>
      </c>
      <c r="B46" s="53" t="n">
        <v>4297.5</v>
      </c>
      <c r="C46" s="157" t="n">
        <f aca="false">SUM(B44/2,B45:B47,B48/2)/4</f>
        <v>4208.32875</v>
      </c>
      <c r="D46" s="1" t="n">
        <f aca="false">C46/B46</f>
        <v>0.979250436300175</v>
      </c>
      <c r="E46" s="53" t="n">
        <f aca="false">B46*$C$29</f>
        <v>4306.127006817</v>
      </c>
      <c r="G46" s="1" t="s">
        <v>64</v>
      </c>
      <c r="H46" s="1" t="n">
        <v>34502.51</v>
      </c>
      <c r="I46" s="157" t="n">
        <f aca="false">SUM(H44/2,H45:H47,H48/2)/4</f>
        <v>33682.95</v>
      </c>
      <c r="J46" s="1" t="n">
        <f aca="false">I46/H46</f>
        <v>0.976246365844108</v>
      </c>
      <c r="K46" s="53" t="n">
        <f aca="false">H46*$C$29</f>
        <v>34571.7719869631</v>
      </c>
      <c r="M46" s="1" t="s">
        <v>64</v>
      </c>
      <c r="N46" s="1" t="n">
        <v>2310.55</v>
      </c>
      <c r="O46" s="157" t="n">
        <f aca="false">SUM(N44/2,N45:N47,N48/2)/4</f>
        <v>2212.4575</v>
      </c>
      <c r="P46" s="1" t="n">
        <f aca="false">O46/N46</f>
        <v>0.957545822423233</v>
      </c>
      <c r="Q46" s="53" t="n">
        <f aca="false">N46*$C$29</f>
        <v>2315.18830845865</v>
      </c>
      <c r="S46" s="1" t="s">
        <v>64</v>
      </c>
      <c r="T46" s="1" t="n">
        <v>7037.47</v>
      </c>
      <c r="U46" s="157" t="n">
        <f aca="false">SUM(T44/2,T45:T47,T48/2)/4</f>
        <v>6954.23375</v>
      </c>
      <c r="V46" s="1" t="n">
        <f aca="false">U46/T46</f>
        <v>0.988172418496988</v>
      </c>
      <c r="W46" s="53" t="n">
        <f aca="false">T46*$C$29</f>
        <v>7051.59735349959</v>
      </c>
      <c r="Y46" s="1" t="s">
        <v>64</v>
      </c>
      <c r="Z46" s="1" t="n">
        <v>15531.04</v>
      </c>
      <c r="AA46" s="157" t="n">
        <f aca="false">SUM(Z44/2,Z45:Z47,Z48/2)/4</f>
        <v>15253.67</v>
      </c>
      <c r="AB46" s="1" t="n">
        <f aca="false">AA46/Z46</f>
        <v>0.982140925527202</v>
      </c>
      <c r="AC46" s="53" t="n">
        <f aca="false">Z46*$C$29</f>
        <v>15562.2177517057</v>
      </c>
      <c r="AE46" s="1" t="s">
        <v>64</v>
      </c>
      <c r="AF46" s="1" t="n">
        <v>6507.83</v>
      </c>
      <c r="AG46" s="157" t="n">
        <f aca="false">SUM(AF44/2,AF45:AF47,AF48/2)/4</f>
        <v>6370.3475</v>
      </c>
      <c r="AH46" s="1" t="n">
        <f aca="false">AG46/AF46</f>
        <v>0.978874294503698</v>
      </c>
      <c r="AI46" s="53" t="n">
        <f aca="false">AF46*$C$29</f>
        <v>6520.89412885955</v>
      </c>
      <c r="AK46" s="1" t="s">
        <v>64</v>
      </c>
      <c r="AL46" s="1" t="n">
        <v>4064.3</v>
      </c>
      <c r="AM46" s="157" t="n">
        <f aca="false">SUM(AL44/2,AL45:AL47,AL48/2)/4</f>
        <v>3992.605</v>
      </c>
      <c r="AN46" s="1" t="n">
        <f aca="false">AM46/AL46</f>
        <v>0.982359815958468</v>
      </c>
      <c r="AO46" s="53" t="n">
        <f aca="false">AL46*$C$29</f>
        <v>4072.45886999566</v>
      </c>
      <c r="AQ46" s="1" t="s">
        <v>64</v>
      </c>
      <c r="AR46" s="1" t="n">
        <v>28791.53</v>
      </c>
      <c r="AS46" s="157" t="n">
        <f aca="false">SUM(AR44/2,AR45:AR47,AR48/2)/4</f>
        <v>28885.2325</v>
      </c>
      <c r="AT46" s="1" t="n">
        <f aca="false">AS46/AR46</f>
        <v>1.00325451617194</v>
      </c>
      <c r="AU46" s="53" t="n">
        <f aca="false">AR46*$C$29</f>
        <v>28849.3274928638</v>
      </c>
      <c r="AW46" s="1" t="s">
        <v>64</v>
      </c>
      <c r="AX46" s="1" t="n">
        <v>3841.85</v>
      </c>
      <c r="AY46" s="157" t="n">
        <f aca="false">SUM(AX44/2,AX45:AX47,AX48/2)/4</f>
        <v>3756.3075</v>
      </c>
      <c r="AZ46" s="1" t="n">
        <f aca="false">AY46/AX46</f>
        <v>0.977734034384476</v>
      </c>
      <c r="BA46" s="53" t="n">
        <f aca="false">AX46*$C$29</f>
        <v>3849.56231323791</v>
      </c>
      <c r="BC46" s="1" t="s">
        <v>64</v>
      </c>
      <c r="BD46" s="1" t="n">
        <v>5224.04</v>
      </c>
      <c r="BE46" s="157" t="n">
        <f aca="false">SUM(BD44/2,BD45:BD47,BD48/2)/4</f>
        <v>5039.0975</v>
      </c>
      <c r="BF46" s="1" t="n">
        <f aca="false">BE46/BD46</f>
        <v>0.964597801701365</v>
      </c>
      <c r="BG46" s="53" t="n">
        <f aca="false">BD46*$C$29</f>
        <v>5234.5269874793</v>
      </c>
      <c r="BI46" s="1" t="s">
        <v>64</v>
      </c>
      <c r="BJ46" s="1" t="n">
        <v>13843.29</v>
      </c>
      <c r="BK46" s="157" t="n">
        <f aca="false">SUM(BJ44/2,BJ45:BJ47,BJ48/2)/4</f>
        <v>13422.46</v>
      </c>
      <c r="BL46" s="1" t="n">
        <f aca="false">BK46/BJ46</f>
        <v>0.969600434578774</v>
      </c>
      <c r="BM46" s="53" t="n">
        <f aca="false">BJ46*$C$29</f>
        <v>13871.0796817219</v>
      </c>
      <c r="BO46" s="1" t="s">
        <v>64</v>
      </c>
      <c r="BP46" s="1" t="n">
        <v>557.69</v>
      </c>
      <c r="BQ46" s="157" t="n">
        <f aca="false">SUM(BP44/2,BP45:BP47,BP48/2)/4</f>
        <v>546.73375</v>
      </c>
      <c r="BR46" s="1" t="n">
        <f aca="false">BQ46/BP46</f>
        <v>0.980354229051982</v>
      </c>
      <c r="BS46" s="53" t="n">
        <f aca="false">BP46*$C$29</f>
        <v>558.809533550151</v>
      </c>
      <c r="BU46" s="1" t="s">
        <v>64</v>
      </c>
      <c r="BV46" s="1" t="n">
        <v>779.45</v>
      </c>
      <c r="BW46" s="157" t="n">
        <f aca="false">SUM(BV44/2,BV45:BV47,BV48/2)/4</f>
        <v>780.08375</v>
      </c>
      <c r="BX46" s="1" t="n">
        <f aca="false">BW46/BV46</f>
        <v>1.00081307332093</v>
      </c>
      <c r="BY46" s="53" t="n">
        <f aca="false">BV46*$C$29</f>
        <v>781.014705168939</v>
      </c>
      <c r="CA46" s="1" t="s">
        <v>64</v>
      </c>
      <c r="CB46" s="1" t="n">
        <v>2140.14</v>
      </c>
      <c r="CC46" s="157" t="n">
        <f aca="false">SUM(CB44/2,CB45:CB47,CB48/2)/4</f>
        <v>2087.89375</v>
      </c>
      <c r="CD46" s="1" t="n">
        <f aca="false">CC46/CB46</f>
        <v>0.975587461567935</v>
      </c>
      <c r="CE46" s="53" t="n">
        <f aca="false">CB46*$C$29</f>
        <v>2144.43621928315</v>
      </c>
      <c r="CG46" s="1" t="s">
        <v>64</v>
      </c>
      <c r="CH46" s="1" t="n">
        <v>1218.32</v>
      </c>
      <c r="CI46" s="157" t="n">
        <f aca="false">SUM(CH44/2,CH45:CH47,CH48/2)/4</f>
        <v>1199.74</v>
      </c>
      <c r="CJ46" s="1" t="n">
        <f aca="false">CI46/CH46</f>
        <v>0.984749491102502</v>
      </c>
      <c r="CK46" s="53" t="n">
        <f aca="false">CH46*$C$29</f>
        <v>1220.76571377436</v>
      </c>
    </row>
    <row r="47" customFormat="false" ht="12.8" hidden="false" customHeight="false" outlineLevel="0" collapsed="false">
      <c r="A47" s="1" t="s">
        <v>62</v>
      </c>
      <c r="B47" s="53" t="n">
        <v>4307.54</v>
      </c>
      <c r="C47" s="157" t="n">
        <f aca="false">SUM(B45/2,B46:B48,B49/2)/4</f>
        <v>4408.855</v>
      </c>
      <c r="D47" s="1" t="n">
        <f aca="false">C47/B47</f>
        <v>1.02352038518505</v>
      </c>
      <c r="E47" s="53" t="n">
        <f aca="false">$C$30*B47</f>
        <v>4300.36497080593</v>
      </c>
      <c r="G47" s="1" t="s">
        <v>62</v>
      </c>
      <c r="H47" s="1" t="n">
        <v>33843.92</v>
      </c>
      <c r="I47" s="157" t="n">
        <f aca="false">SUM(H45/2,H46:H48,H49/2)/4</f>
        <v>34643.615</v>
      </c>
      <c r="J47" s="1" t="n">
        <f aca="false">I47/H47</f>
        <v>1.0236289117809</v>
      </c>
      <c r="K47" s="53" t="n">
        <f aca="false">$C$30*H47</f>
        <v>33787.5464981772</v>
      </c>
      <c r="M47" s="1" t="s">
        <v>62</v>
      </c>
      <c r="N47" s="1" t="n">
        <v>2204.37</v>
      </c>
      <c r="O47" s="157" t="n">
        <f aca="false">SUM(N45/2,N46:N48,N49/2)/4</f>
        <v>2227.25875</v>
      </c>
      <c r="P47" s="1" t="n">
        <f aca="false">O47/N47</f>
        <v>1.01038335215957</v>
      </c>
      <c r="Q47" s="53" t="n">
        <f aca="false">$C$30*N47</f>
        <v>2200.698201455</v>
      </c>
      <c r="S47" s="1" t="s">
        <v>62</v>
      </c>
      <c r="T47" s="1" t="n">
        <v>7086.42</v>
      </c>
      <c r="U47" s="157" t="n">
        <f aca="false">SUM(T45/2,T46:T48,T49/2)/4</f>
        <v>7160.38875</v>
      </c>
      <c r="V47" s="1" t="n">
        <f aca="false">U47/T47</f>
        <v>1.0104380985039</v>
      </c>
      <c r="W47" s="53" t="n">
        <f aca="false">$C$30*T47</f>
        <v>7074.61621631338</v>
      </c>
      <c r="Y47" s="1" t="s">
        <v>62</v>
      </c>
      <c r="Z47" s="1" t="n">
        <v>15260.69</v>
      </c>
      <c r="AA47" s="157" t="n">
        <f aca="false">SUM(Z45/2,Z46:Z48,Z49/2)/4</f>
        <v>15398.6325</v>
      </c>
      <c r="AB47" s="1" t="n">
        <f aca="false">AA47/Z47</f>
        <v>1.00903907359366</v>
      </c>
      <c r="AC47" s="53" t="n">
        <f aca="false">$C$30*Z47</f>
        <v>15235.27041103</v>
      </c>
      <c r="AE47" s="1" t="s">
        <v>62</v>
      </c>
      <c r="AF47" s="1" t="n">
        <v>6520.01</v>
      </c>
      <c r="AG47" s="157" t="n">
        <f aca="false">SUM(AF45/2,AF46:AF48,AF49/2)/4</f>
        <v>6641.155</v>
      </c>
      <c r="AH47" s="1" t="n">
        <f aca="false">AG47/AF47</f>
        <v>1.0185804929747</v>
      </c>
      <c r="AI47" s="53" t="n">
        <f aca="false">$C$30*AF47</f>
        <v>6509.14968016649</v>
      </c>
      <c r="AK47" s="1" t="s">
        <v>62</v>
      </c>
      <c r="AL47" s="1" t="n">
        <v>4048.08</v>
      </c>
      <c r="AM47" s="157" t="n">
        <f aca="false">SUM(AL45/2,AL46:AL48,AL49/2)/4</f>
        <v>4082.32875</v>
      </c>
      <c r="AN47" s="1" t="n">
        <f aca="false">AM47/AL47</f>
        <v>1.00846049238157</v>
      </c>
      <c r="AO47" s="53" t="n">
        <f aca="false">$C$30*AL47</f>
        <v>4041.33715090749</v>
      </c>
      <c r="AQ47" s="1" t="s">
        <v>62</v>
      </c>
      <c r="AR47" s="1" t="n">
        <v>29452.66</v>
      </c>
      <c r="AS47" s="157" t="n">
        <f aca="false">SUM(AR45/2,AR46:AR48,AR49/2)/4</f>
        <v>28884.00375</v>
      </c>
      <c r="AT47" s="1" t="n">
        <f aca="false">AS47/AR47</f>
        <v>0.980692533373896</v>
      </c>
      <c r="AU47" s="53" t="n">
        <f aca="false">$C$30*AR47</f>
        <v>29403.6009789943</v>
      </c>
      <c r="AW47" s="1" t="s">
        <v>62</v>
      </c>
      <c r="AX47" s="1" t="n">
        <v>4103.52</v>
      </c>
      <c r="AY47" s="157" t="n">
        <f aca="false">SUM(AX45/2,AX46:AX48,AX49/2)/4</f>
        <v>3713.81125</v>
      </c>
      <c r="AZ47" s="1" t="n">
        <f aca="false">AY47/AX47</f>
        <v>0.905030620053028</v>
      </c>
      <c r="BA47" s="53" t="n">
        <f aca="false">$C$30*AX47</f>
        <v>4096.68480501668</v>
      </c>
      <c r="BC47" s="1" t="s">
        <v>62</v>
      </c>
      <c r="BD47" s="1" t="n">
        <v>4866.38</v>
      </c>
      <c r="BE47" s="157" t="n">
        <f aca="false">SUM(BD45/2,BD46:BD48,BD49/2)/4</f>
        <v>4911.8525</v>
      </c>
      <c r="BF47" s="1" t="n">
        <f aca="false">BE47/BD47</f>
        <v>1.00934421479621</v>
      </c>
      <c r="BG47" s="53" t="n">
        <f aca="false">$C$30*BD47</f>
        <v>4858.2741162312</v>
      </c>
      <c r="BI47" s="1" t="s">
        <v>62</v>
      </c>
      <c r="BJ47" s="1" t="n">
        <v>13369.3</v>
      </c>
      <c r="BK47" s="157" t="n">
        <f aca="false">SUM(BJ45/2,BJ46:BJ48,BJ49/2)/4</f>
        <v>13772.16375</v>
      </c>
      <c r="BL47" s="1" t="n">
        <f aca="false">BK47/BJ47</f>
        <v>1.03013349614415</v>
      </c>
      <c r="BM47" s="53" t="n">
        <f aca="false">$C$30*BJ47</f>
        <v>13347.0308817087</v>
      </c>
      <c r="BO47" s="1" t="s">
        <v>62</v>
      </c>
      <c r="BP47" s="1" t="n">
        <v>585.36</v>
      </c>
      <c r="BQ47" s="157" t="n">
        <f aca="false">SUM(BP45/2,BP46:BP48,BP49/2)/4</f>
        <v>585.8125</v>
      </c>
      <c r="BR47" s="1" t="n">
        <f aca="false">BQ47/BP47</f>
        <v>1.00077302856362</v>
      </c>
      <c r="BS47" s="53" t="n">
        <f aca="false">$C$30*BP47</f>
        <v>584.384971308672</v>
      </c>
      <c r="BU47" s="1" t="s">
        <v>62</v>
      </c>
      <c r="BV47" s="1" t="n">
        <v>802.81</v>
      </c>
      <c r="BW47" s="157" t="n">
        <f aca="false">SUM(BV45/2,BV46:BV48,BV49/2)/4</f>
        <v>800.12625</v>
      </c>
      <c r="BX47" s="1" t="n">
        <f aca="false">BW47/BV47</f>
        <v>0.996657054595733</v>
      </c>
      <c r="BY47" s="53" t="n">
        <f aca="false">$C$30*BV47</f>
        <v>801.472766872207</v>
      </c>
      <c r="CA47" s="1" t="s">
        <v>62</v>
      </c>
      <c r="CB47" s="1" t="n">
        <v>2095.08</v>
      </c>
      <c r="CC47" s="157" t="n">
        <f aca="false">SUM(CB45/2,CB46:CB48,CB49/2)/4</f>
        <v>2119.96375</v>
      </c>
      <c r="CD47" s="1" t="n">
        <f aca="false">CC47/CB47</f>
        <v>1.01187723141837</v>
      </c>
      <c r="CE47" s="53" t="n">
        <f aca="false">$C$30*CB47</f>
        <v>2091.59024478846</v>
      </c>
      <c r="CG47" s="1" t="s">
        <v>62</v>
      </c>
      <c r="CH47" s="1" t="n">
        <v>1228.54</v>
      </c>
      <c r="CI47" s="157" t="n">
        <f aca="false">SUM(CH45/2,CH46:CH48,CH49/2)/4</f>
        <v>1231.89875</v>
      </c>
      <c r="CJ47" s="1" t="n">
        <f aca="false">CI47/CH47</f>
        <v>1.00273393621697</v>
      </c>
      <c r="CK47" s="53" t="n">
        <f aca="false">$C$30*CH47</f>
        <v>1226.49363238273</v>
      </c>
    </row>
    <row r="48" customFormat="false" ht="12.8" hidden="false" customHeight="false" outlineLevel="0" collapsed="false">
      <c r="A48" s="161" t="s">
        <v>61</v>
      </c>
      <c r="B48" s="162" t="n">
        <v>4778.73</v>
      </c>
      <c r="C48" s="162" t="n">
        <f aca="false">SUM(B46/2,B47:B49,B50/2)/4</f>
        <v>4414.53</v>
      </c>
      <c r="D48" s="163" t="n">
        <f aca="false">C48/B48</f>
        <v>0.923787282395113</v>
      </c>
      <c r="E48" s="162" t="n">
        <f aca="false">$C$31*B48</f>
        <v>4748.77931696799</v>
      </c>
      <c r="G48" s="161" t="s">
        <v>61</v>
      </c>
      <c r="H48" s="1" t="n">
        <v>36398.08</v>
      </c>
      <c r="I48" s="162" t="n">
        <f aca="false">SUM(H46/2,H47:H49,H50/2)/4</f>
        <v>34389.83</v>
      </c>
      <c r="J48" s="163" t="n">
        <f aca="false">I48/H48</f>
        <v>0.944825386394008</v>
      </c>
      <c r="K48" s="162" t="n">
        <f aca="false">$C$31*H48</f>
        <v>36169.9550887676</v>
      </c>
      <c r="M48" s="161" t="s">
        <v>61</v>
      </c>
      <c r="N48" s="1" t="n">
        <v>2248.79</v>
      </c>
      <c r="O48" s="162" t="n">
        <f aca="false">SUM(N46/2,N47:N49,N50/2)/4</f>
        <v>2133.14</v>
      </c>
      <c r="P48" s="163" t="n">
        <f aca="false">O48/N48</f>
        <v>0.94857234334909</v>
      </c>
      <c r="Q48" s="162" t="n">
        <f aca="false">$C$31*N48</f>
        <v>2234.69571208343</v>
      </c>
      <c r="S48" s="161" t="s">
        <v>61</v>
      </c>
      <c r="T48" s="1" t="n">
        <v>7403.01</v>
      </c>
      <c r="U48" s="162" t="n">
        <f aca="false">SUM(T46/2,T47:T49,T50/2)/4</f>
        <v>7277.12125</v>
      </c>
      <c r="V48" s="163" t="n">
        <f aca="false">U48/T48</f>
        <v>0.982994923686447</v>
      </c>
      <c r="W48" s="162" t="n">
        <f aca="false">$C$31*T48</f>
        <v>7356.61164604554</v>
      </c>
      <c r="Y48" s="161" t="s">
        <v>61</v>
      </c>
      <c r="Z48" s="1" t="n">
        <v>15884.86</v>
      </c>
      <c r="AA48" s="162" t="n">
        <f aca="false">SUM(Z46/2,Z47:Z49,Z50/2)/4</f>
        <v>14929.42625</v>
      </c>
      <c r="AB48" s="163" t="n">
        <f aca="false">AA48/Z48</f>
        <v>0.93985255457083</v>
      </c>
      <c r="AC48" s="162" t="n">
        <f aca="false">$C$31*Z48</f>
        <v>15785.3016640263</v>
      </c>
      <c r="AE48" s="161" t="s">
        <v>61</v>
      </c>
      <c r="AF48" s="1" t="n">
        <v>7173.23</v>
      </c>
      <c r="AG48" s="162" t="n">
        <f aca="false">SUM(AF46/2,AF47:AF49,AF50/2)/4</f>
        <v>6642.11375</v>
      </c>
      <c r="AH48" s="163" t="n">
        <f aca="false">AG48/AF48</f>
        <v>0.925958563994184</v>
      </c>
      <c r="AI48" s="162" t="n">
        <f aca="false">$C$31*AF48</f>
        <v>7128.27179184727</v>
      </c>
      <c r="AK48" s="161" t="s">
        <v>61</v>
      </c>
      <c r="AL48" s="1" t="n">
        <v>4306.07</v>
      </c>
      <c r="AM48" s="162" t="n">
        <f aca="false">SUM(AL46/2,AL47:AL49,AL50/2)/4</f>
        <v>4004.0625</v>
      </c>
      <c r="AN48" s="163" t="n">
        <f aca="false">AM48/AL48</f>
        <v>0.929864702617468</v>
      </c>
      <c r="AO48" s="162" t="n">
        <f aca="false">$C$31*AL48</f>
        <v>4279.08171280159</v>
      </c>
      <c r="AQ48" s="161" t="s">
        <v>61</v>
      </c>
      <c r="AR48" s="1" t="n">
        <v>28791.71</v>
      </c>
      <c r="AS48" s="162" t="n">
        <f aca="false">SUM(AR46/2,AR47:AR49,AR50/2)/4</f>
        <v>28414.52125</v>
      </c>
      <c r="AT48" s="163" t="n">
        <f aca="false">AS48/AR48</f>
        <v>0.986899397430719</v>
      </c>
      <c r="AU48" s="162" t="n">
        <f aca="false">$C$31*AR48</f>
        <v>28611.2580012138</v>
      </c>
      <c r="AW48" s="161" t="s">
        <v>61</v>
      </c>
      <c r="AX48" s="1" t="n">
        <v>3787.26</v>
      </c>
      <c r="AY48" s="162" t="n">
        <f aca="false">SUM(AX46/2,AX47:AX49,AX50/2)/4</f>
        <v>3404.41</v>
      </c>
      <c r="AZ48" s="163" t="n">
        <f aca="false">AY48/AX48</f>
        <v>0.898911086115028</v>
      </c>
      <c r="BA48" s="162" t="n">
        <f aca="false">$C$31*AX48</f>
        <v>3763.52335369025</v>
      </c>
      <c r="BC48" s="161" t="s">
        <v>61</v>
      </c>
      <c r="BD48" s="1" t="n">
        <v>4921.51</v>
      </c>
      <c r="BE48" s="162" t="n">
        <f aca="false">SUM(BD46/2,BD47:BD49,BD50/2)/4</f>
        <v>4716.25375</v>
      </c>
      <c r="BF48" s="163" t="n">
        <f aca="false">BE48/BD48</f>
        <v>0.958294049996851</v>
      </c>
      <c r="BG48" s="162" t="n">
        <f aca="false">$C$31*BD48</f>
        <v>4890.6644435344</v>
      </c>
      <c r="BI48" s="161" t="s">
        <v>61</v>
      </c>
      <c r="BJ48" s="1" t="n">
        <v>14265.96</v>
      </c>
      <c r="BK48" s="162" t="n">
        <f aca="false">SUM(BJ46/2,BJ47:BJ49,BJ50/2)/4</f>
        <v>13516.03875</v>
      </c>
      <c r="BL48" s="163" t="n">
        <f aca="false">BK48/BJ48</f>
        <v>0.947432822607101</v>
      </c>
      <c r="BM48" s="162" t="n">
        <f aca="false">$C$31*BJ48</f>
        <v>14176.5481173225</v>
      </c>
      <c r="BO48" s="161" t="s">
        <v>61</v>
      </c>
      <c r="BP48" s="1" t="n">
        <v>635.68</v>
      </c>
      <c r="BQ48" s="162" t="n">
        <f aca="false">SUM(BP46/2,BP47:BP49,BP50/2)/4</f>
        <v>608.3125</v>
      </c>
      <c r="BR48" s="163" t="n">
        <f aca="false">BQ48/BP48</f>
        <v>0.95694767807702</v>
      </c>
      <c r="BS48" s="162" t="n">
        <f aca="false">$C$31*BP48</f>
        <v>631.695876563483</v>
      </c>
      <c r="BU48" s="161" t="s">
        <v>61</v>
      </c>
      <c r="BV48" s="1" t="n">
        <v>820.78</v>
      </c>
      <c r="BW48" s="162" t="n">
        <f aca="false">SUM(BV46/2,BV47:BV49,BV50/2)/4</f>
        <v>818.41375</v>
      </c>
      <c r="BX48" s="163" t="n">
        <f aca="false">BW48/BV48</f>
        <v>0.997117071566071</v>
      </c>
      <c r="BY48" s="162" t="n">
        <f aca="false">$C$31*BV48</f>
        <v>815.635762594034</v>
      </c>
      <c r="CA48" s="161" t="s">
        <v>61</v>
      </c>
      <c r="CB48" s="1" t="n">
        <v>2142.11</v>
      </c>
      <c r="CC48" s="162" t="n">
        <f aca="false">SUM(CB46/2,CB47:CB49,CB50/2)/4</f>
        <v>2101.63</v>
      </c>
      <c r="CD48" s="163" t="n">
        <f aca="false">CC48/CB48</f>
        <v>0.981102744490246</v>
      </c>
      <c r="CE48" s="162" t="n">
        <f aca="false">$C$31*CB48</f>
        <v>2128.68432882174</v>
      </c>
      <c r="CG48" s="161" t="s">
        <v>61</v>
      </c>
      <c r="CH48" s="1" t="n">
        <v>1262.31</v>
      </c>
      <c r="CI48" s="162" t="n">
        <f aca="false">SUM(CH46/2,CH47:CH49,CH50/2)/4</f>
        <v>1238.98625</v>
      </c>
      <c r="CJ48" s="163" t="n">
        <f aca="false">CI48/CH48</f>
        <v>0.98152296187149</v>
      </c>
      <c r="CK48" s="162" t="n">
        <f aca="false">$C$31*CH48</f>
        <v>1254.39847398825</v>
      </c>
    </row>
    <row r="49" customFormat="false" ht="12.8" hidden="false" customHeight="false" outlineLevel="0" collapsed="false">
      <c r="A49" s="158" t="s">
        <v>57</v>
      </c>
      <c r="B49" s="159" t="n">
        <v>4530.41</v>
      </c>
      <c r="C49" s="159" t="n">
        <f aca="false">SUM(B47/2,B48:B50,B51/2)/4</f>
        <v>4260.275</v>
      </c>
      <c r="D49" s="160" t="n">
        <f aca="false">C49/B49</f>
        <v>0.940372946377922</v>
      </c>
      <c r="E49" s="159" t="n">
        <f aca="false">B49*$C$28</f>
        <v>4557.25603800386</v>
      </c>
      <c r="G49" s="158" t="s">
        <v>57</v>
      </c>
      <c r="H49" s="160" t="n">
        <v>34678.35</v>
      </c>
      <c r="I49" s="159" t="n">
        <f aca="false">SUM(H47/2,H48:H50,H51/2)/4</f>
        <v>33284.14375</v>
      </c>
      <c r="J49" s="160" t="n">
        <f aca="false">I49/H49</f>
        <v>0.959796061519652</v>
      </c>
      <c r="K49" s="159" t="n">
        <f aca="false">H49*$C$28</f>
        <v>34883.8449335736</v>
      </c>
      <c r="M49" s="158" t="s">
        <v>57</v>
      </c>
      <c r="N49" s="160" t="n">
        <v>2070.13</v>
      </c>
      <c r="O49" s="159" t="n">
        <f aca="false">SUM(N47/2,N48:N50,N51/2)/4</f>
        <v>1990.36375</v>
      </c>
      <c r="P49" s="160" t="n">
        <f aca="false">O49/N49</f>
        <v>0.961467999594228</v>
      </c>
      <c r="Q49" s="159" t="n">
        <f aca="false">N49*$C$28</f>
        <v>2082.39705500229</v>
      </c>
      <c r="S49" s="158" t="s">
        <v>57</v>
      </c>
      <c r="T49" s="160" t="n">
        <v>7515.68</v>
      </c>
      <c r="U49" s="159" t="n">
        <f aca="false">SUM(T47/2,T48:T50,T51/2)/4</f>
        <v>7269.52125</v>
      </c>
      <c r="V49" s="160" t="n">
        <f aca="false">U49/T49</f>
        <v>0.967247308294126</v>
      </c>
      <c r="W49" s="159" t="n">
        <f aca="false">T49*$C$28</f>
        <v>7560.21597597234</v>
      </c>
      <c r="Y49" s="158" t="s">
        <v>57</v>
      </c>
      <c r="Z49" s="160" t="n">
        <v>14414.75</v>
      </c>
      <c r="AA49" s="159" t="n">
        <f aca="false">SUM(Z47/2,Z48:Z50,Z51/2)/4</f>
        <v>14192.72625</v>
      </c>
      <c r="AB49" s="160" t="n">
        <f aca="false">AA49/Z49</f>
        <v>0.984597460934113</v>
      </c>
      <c r="AC49" s="159" t="n">
        <f aca="false">Z49*$C$28</f>
        <v>14500.1680805526</v>
      </c>
      <c r="AE49" s="158" t="s">
        <v>57</v>
      </c>
      <c r="AF49" s="160" t="n">
        <v>6659.87</v>
      </c>
      <c r="AG49" s="159" t="n">
        <f aca="false">SUM(AF47/2,AF48:AF50,AF51/2)/4</f>
        <v>6474.28375</v>
      </c>
      <c r="AH49" s="160" t="n">
        <f aca="false">AG49/AF49</f>
        <v>0.972133652758988</v>
      </c>
      <c r="AI49" s="159" t="n">
        <f aca="false">AF49*$C$28</f>
        <v>6699.33466724221</v>
      </c>
      <c r="AK49" s="158" t="s">
        <v>57</v>
      </c>
      <c r="AL49" s="160" t="n">
        <v>3902.52</v>
      </c>
      <c r="AM49" s="159" t="n">
        <f aca="false">SUM(AL47/2,AL48:AL50,AL51/2)/4</f>
        <v>3836.6475</v>
      </c>
      <c r="AN49" s="160" t="n">
        <f aca="false">AM49/AL49</f>
        <v>0.983120522124166</v>
      </c>
      <c r="AO49" s="159" t="n">
        <f aca="false">AL49*$C$28</f>
        <v>3925.64532424898</v>
      </c>
      <c r="AQ49" s="158" t="s">
        <v>57</v>
      </c>
      <c r="AR49" s="160" t="n">
        <v>27821.43</v>
      </c>
      <c r="AS49" s="159" t="n">
        <f aca="false">SUM(AR47/2,AR48:AR50,AR51/2)/4</f>
        <v>27675.27875</v>
      </c>
      <c r="AT49" s="160" t="n">
        <f aca="false">AS49/AR49</f>
        <v>0.994746810282577</v>
      </c>
      <c r="AU49" s="159" t="n">
        <f aca="false">AR49*$C$28</f>
        <v>27986.2925989925</v>
      </c>
      <c r="AW49" s="158" t="s">
        <v>57</v>
      </c>
      <c r="AX49" s="160" t="n">
        <v>2703.51</v>
      </c>
      <c r="AY49" s="159" t="n">
        <f aca="false">SUM(AX47/2,AX48:AX50,AX51/2)/4</f>
        <v>2931.50875</v>
      </c>
      <c r="AZ49" s="160" t="n">
        <f aca="false">AY49/AX49</f>
        <v>1.0843343468306</v>
      </c>
      <c r="BA49" s="159" t="n">
        <f aca="false">AX49*$C$28</f>
        <v>2719.53030107735</v>
      </c>
      <c r="BC49" s="158" t="s">
        <v>57</v>
      </c>
      <c r="BD49" s="160" t="n">
        <v>4222.6</v>
      </c>
      <c r="BE49" s="159" t="n">
        <f aca="false">SUM(BD47/2,BD48:BD50,BD51/2)/4</f>
        <v>4491.18875</v>
      </c>
      <c r="BF49" s="160" t="n">
        <f aca="false">BE49/BD49</f>
        <v>1.06360743380855</v>
      </c>
      <c r="BG49" s="159" t="n">
        <f aca="false">BD49*$C$28</f>
        <v>4247.62203554979</v>
      </c>
      <c r="BI49" s="158" t="s">
        <v>57</v>
      </c>
      <c r="BJ49" s="160" t="n">
        <v>13828.59</v>
      </c>
      <c r="BK49" s="159" t="n">
        <f aca="false">SUM(BJ47/2,BJ48:BJ50,BJ51/2)/4</f>
        <v>12796.41875</v>
      </c>
      <c r="BL49" s="160" t="n">
        <f aca="false">BK49/BJ49</f>
        <v>0.925359617285638</v>
      </c>
      <c r="BM49" s="159" t="n">
        <f aca="false">BJ49*$C$28</f>
        <v>13910.5346479855</v>
      </c>
      <c r="BO49" s="158" t="s">
        <v>57</v>
      </c>
      <c r="BP49" s="160" t="n">
        <v>626.76</v>
      </c>
      <c r="BQ49" s="159" t="n">
        <f aca="false">SUM(BP47/2,BP48:BP50,BP51/2)/4</f>
        <v>615.47625</v>
      </c>
      <c r="BR49" s="160" t="n">
        <f aca="false">BQ49/BP49</f>
        <v>0.981996697300402</v>
      </c>
      <c r="BS49" s="159" t="n">
        <f aca="false">BP49*$C$28</f>
        <v>630.474017667121</v>
      </c>
      <c r="BU49" s="158" t="s">
        <v>57</v>
      </c>
      <c r="BV49" s="160" t="n">
        <v>840.53</v>
      </c>
      <c r="BW49" s="159" t="n">
        <f aca="false">SUM(BV47/2,BV48:BV50,BV51/2)/4</f>
        <v>829.005</v>
      </c>
      <c r="BX49" s="160" t="n">
        <f aca="false">BW49/BV49</f>
        <v>0.98628841326306</v>
      </c>
      <c r="BY49" s="159" t="n">
        <f aca="false">BV49*$C$28</f>
        <v>845.510763401852</v>
      </c>
      <c r="CA49" s="158" t="s">
        <v>57</v>
      </c>
      <c r="CB49" s="160" t="n">
        <v>2127.94</v>
      </c>
      <c r="CC49" s="159" t="n">
        <f aca="false">SUM(CB47/2,CB48:CB50,CB51/2)/4</f>
        <v>2053.11375</v>
      </c>
      <c r="CD49" s="160" t="n">
        <f aca="false">CC49/CB49</f>
        <v>0.964836297076045</v>
      </c>
      <c r="CE49" s="159" t="n">
        <f aca="false">CB49*$C$28</f>
        <v>2140.54962211145</v>
      </c>
      <c r="CG49" s="158" t="s">
        <v>57</v>
      </c>
      <c r="CH49" s="160" t="n">
        <v>1259.81</v>
      </c>
      <c r="CI49" s="159" t="n">
        <f aca="false">SUM(CH47/2,CH48:CH50,CH51/2)/4</f>
        <v>1223.11875</v>
      </c>
      <c r="CJ49" s="160" t="n">
        <f aca="false">CI49/CH49</f>
        <v>0.970875568538113</v>
      </c>
      <c r="CK49" s="159" t="n">
        <f aca="false">CH49*$C$28</f>
        <v>1267.27530824752</v>
      </c>
    </row>
    <row r="50" customFormat="false" ht="12.8" hidden="false" customHeight="false" outlineLevel="0" collapsed="false">
      <c r="A50" s="1" t="s">
        <v>56</v>
      </c>
      <c r="B50" s="53" t="n">
        <v>3785.38</v>
      </c>
      <c r="C50" s="157" t="n">
        <f aca="false">SUM(B48/2,B49:B51,B52/2)/4</f>
        <v>4053.85375</v>
      </c>
      <c r="D50" s="1" t="n">
        <f aca="false">C50/B50</f>
        <v>1.07092385705002</v>
      </c>
      <c r="E50" s="53" t="n">
        <f aca="false">B50*$C$29</f>
        <v>3792.978952662</v>
      </c>
      <c r="G50" s="1" t="s">
        <v>56</v>
      </c>
      <c r="H50" s="1" t="n">
        <v>30775.43</v>
      </c>
      <c r="I50" s="157" t="n">
        <f aca="false">SUM(H48/2,H49:H51,H52/2)/4</f>
        <v>32247.1825</v>
      </c>
      <c r="J50" s="1" t="n">
        <f aca="false">I50/H50</f>
        <v>1.04782232124783</v>
      </c>
      <c r="K50" s="53" t="n">
        <f aca="false">H50*$C$29</f>
        <v>30837.2100685064</v>
      </c>
      <c r="M50" s="1" t="s">
        <v>56</v>
      </c>
      <c r="N50" s="1" t="n">
        <v>1707.99</v>
      </c>
      <c r="O50" s="157" t="n">
        <f aca="false">SUM(N48/2,N49:N51,N52/2)/4</f>
        <v>1862.59</v>
      </c>
      <c r="P50" s="1" t="n">
        <f aca="false">O50/N50</f>
        <v>1.09051575243415</v>
      </c>
      <c r="Q50" s="53" t="n">
        <f aca="false">N50*$C$29</f>
        <v>1711.41870072679</v>
      </c>
      <c r="S50" s="1" t="s">
        <v>56</v>
      </c>
      <c r="T50" s="1" t="n">
        <v>7169.28</v>
      </c>
      <c r="U50" s="157" t="n">
        <f aca="false">SUM(T48/2,T49:T51,T52/2)/4</f>
        <v>7259.15875</v>
      </c>
      <c r="V50" s="1" t="n">
        <f aca="false">U50/T50</f>
        <v>1.01253664942644</v>
      </c>
      <c r="W50" s="53" t="n">
        <f aca="false">T50*$C$29</f>
        <v>7183.67195519093</v>
      </c>
      <c r="Y50" s="1" t="s">
        <v>56</v>
      </c>
      <c r="Z50" s="1" t="n">
        <v>12783.77</v>
      </c>
      <c r="AA50" s="157" t="n">
        <f aca="false">SUM(Z48/2,Z49:Z51,Z52/2)/4</f>
        <v>13572.7925</v>
      </c>
      <c r="AB50" s="1" t="n">
        <f aca="false">AA50/Z50</f>
        <v>1.06172064265862</v>
      </c>
      <c r="AC50" s="53" t="n">
        <f aca="false">Z50*$C$29</f>
        <v>12809.4327506543</v>
      </c>
      <c r="AE50" s="1" t="s">
        <v>56</v>
      </c>
      <c r="AF50" s="1" t="n">
        <v>5922.86</v>
      </c>
      <c r="AG50" s="157" t="n">
        <f aca="false">SUM(AF48/2,AF49:AF51,AF52/2)/4</f>
        <v>6304.605</v>
      </c>
      <c r="AH50" s="1" t="n">
        <f aca="false">AG50/AF50</f>
        <v>1.06445281502517</v>
      </c>
      <c r="AI50" s="53" t="n">
        <f aca="false">AF50*$C$29</f>
        <v>5934.74983213407</v>
      </c>
      <c r="AK50" s="1" t="s">
        <v>56</v>
      </c>
      <c r="AL50" s="1" t="n">
        <v>3454.86</v>
      </c>
      <c r="AM50" s="157" t="n">
        <f aca="false">SUM(AL48/2,AL49:AL51,AL52/2)/4</f>
        <v>3688.4125</v>
      </c>
      <c r="AN50" s="1" t="n">
        <f aca="false">AM50/AL50</f>
        <v>1.06760114736921</v>
      </c>
      <c r="AO50" s="53" t="n">
        <f aca="false">AL50*$C$29</f>
        <v>3461.79545102311</v>
      </c>
      <c r="AQ50" s="1" t="s">
        <v>56</v>
      </c>
      <c r="AR50" s="1" t="n">
        <v>26393.04</v>
      </c>
      <c r="AS50" s="157" t="n">
        <f aca="false">SUM(AR48/2,AR49:AR51,AR52/2)/4</f>
        <v>26898.5925</v>
      </c>
      <c r="AT50" s="1" t="n">
        <f aca="false">AS50/AR50</f>
        <v>1.01915476580189</v>
      </c>
      <c r="AU50" s="53" t="n">
        <f aca="false">AR50*$C$29</f>
        <v>26446.0226494477</v>
      </c>
      <c r="AW50" s="1" t="s">
        <v>56</v>
      </c>
      <c r="AX50" s="1" t="n">
        <v>2204.85</v>
      </c>
      <c r="AY50" s="157" t="n">
        <f aca="false">SUM(AX48/2,AX49:AX51,AX52/2)/4</f>
        <v>2458.2075</v>
      </c>
      <c r="AZ50" s="1" t="n">
        <f aca="false">AY50/AX50</f>
        <v>1.11490917749507</v>
      </c>
      <c r="BA50" s="53" t="n">
        <f aca="false">AX50*$C$29</f>
        <v>2209.27612122873</v>
      </c>
      <c r="BC50" s="1" t="s">
        <v>56</v>
      </c>
      <c r="BD50" s="1" t="n">
        <v>4485.01</v>
      </c>
      <c r="BE50" s="157" t="n">
        <f aca="false">SUM(BD48/2,BD49:BD51,BD52/2)/4</f>
        <v>4225.40125</v>
      </c>
      <c r="BF50" s="1" t="n">
        <f aca="false">BE50/BD50</f>
        <v>0.942116349796321</v>
      </c>
      <c r="BG50" s="53" t="n">
        <f aca="false">BD50*$C$29</f>
        <v>4494.01342334947</v>
      </c>
      <c r="BI50" s="1" t="s">
        <v>56</v>
      </c>
      <c r="BJ50" s="1" t="n">
        <v>11357.32</v>
      </c>
      <c r="BK50" s="157" t="n">
        <f aca="false">SUM(BJ48/2,BJ49:BJ51,BJ52/2)/4</f>
        <v>11938.0625</v>
      </c>
      <c r="BL50" s="1" t="n">
        <f aca="false">BK50/BJ50</f>
        <v>1.05113376219038</v>
      </c>
      <c r="BM50" s="53" t="n">
        <f aca="false">BJ50*$C$29</f>
        <v>11380.1192267744</v>
      </c>
      <c r="BO50" s="1" t="s">
        <v>56</v>
      </c>
      <c r="BP50" s="1" t="n">
        <v>613.21</v>
      </c>
      <c r="BQ50" s="157" t="n">
        <f aca="false">SUM(BP48/2,BP49:BP51,BP52/2)/4</f>
        <v>611.5975</v>
      </c>
      <c r="BR50" s="1" t="n">
        <f aca="false">BQ50/BP50</f>
        <v>0.997370395133804</v>
      </c>
      <c r="BS50" s="53" t="n">
        <f aca="false">BP50*$C$29</f>
        <v>614.44098705067</v>
      </c>
      <c r="BU50" s="1" t="s">
        <v>56</v>
      </c>
      <c r="BV50" s="1" t="n">
        <v>839.62</v>
      </c>
      <c r="BW50" s="157" t="n">
        <f aca="false">SUM(BV48/2,BV49:BV51,BV52/2)/4</f>
        <v>832.55375</v>
      </c>
      <c r="BX50" s="1" t="n">
        <f aca="false">BW50/BV50</f>
        <v>0.991583990376599</v>
      </c>
      <c r="BY50" s="53" t="n">
        <f aca="false">BV50*$C$29</f>
        <v>841.305493301616</v>
      </c>
      <c r="CA50" s="1" t="s">
        <v>56</v>
      </c>
      <c r="CB50" s="1" t="n">
        <v>1942.64</v>
      </c>
      <c r="CC50" s="157" t="n">
        <f aca="false">SUM(CB48/2,CB49:CB51,CB52/2)/4</f>
        <v>2040.0925</v>
      </c>
      <c r="CD50" s="1" t="n">
        <f aca="false">CC50/CB50</f>
        <v>1.05016498167442</v>
      </c>
      <c r="CE50" s="53" t="n">
        <f aca="false">CB50*$C$29</f>
        <v>1946.53974834741</v>
      </c>
      <c r="CG50" s="1" t="s">
        <v>56</v>
      </c>
      <c r="CH50" s="1" t="n">
        <v>1192.25</v>
      </c>
      <c r="CI50" s="157" t="n">
        <f aca="false">SUM(CH48/2,CH49:CH51,CH52/2)/4</f>
        <v>1197.24</v>
      </c>
      <c r="CJ50" s="1" t="n">
        <f aca="false">CI50/CH50</f>
        <v>1.00418536380793</v>
      </c>
      <c r="CK50" s="53" t="n">
        <f aca="false">CH50*$C$29</f>
        <v>1194.64337961084</v>
      </c>
    </row>
    <row r="51" customFormat="false" ht="12.8" hidden="false" customHeight="false" outlineLevel="0" collapsed="false">
      <c r="A51" s="1" t="s">
        <v>54</v>
      </c>
      <c r="B51" s="53" t="n">
        <v>3585.62</v>
      </c>
      <c r="C51" s="157" t="n">
        <f aca="false">SUM(B49/2,B50:B52,B53/2)/4</f>
        <v>3885.035</v>
      </c>
      <c r="D51" s="1" t="n">
        <f aca="false">C51/B51</f>
        <v>1.08350438696794</v>
      </c>
      <c r="E51" s="53" t="n">
        <f aca="false">$C$30*B51</f>
        <v>3579.64746621532</v>
      </c>
      <c r="G51" s="1" t="s">
        <v>54</v>
      </c>
      <c r="H51" s="1" t="n">
        <v>28725.51</v>
      </c>
      <c r="I51" s="157" t="n">
        <f aca="false">SUM(H49/2,H50:H52,H53/2)/4</f>
        <v>31674.4975</v>
      </c>
      <c r="J51" s="1" t="n">
        <f aca="false">I51/H51</f>
        <v>1.10266092751704</v>
      </c>
      <c r="K51" s="53" t="n">
        <f aca="false">$C$30*H51</f>
        <v>28677.6621859659</v>
      </c>
      <c r="M51" s="1" t="s">
        <v>54</v>
      </c>
      <c r="N51" s="1" t="n">
        <v>1664.72</v>
      </c>
      <c r="O51" s="157" t="n">
        <f aca="false">SUM(N49/2,N50:N52,N53/2)/4</f>
        <v>1768.81625</v>
      </c>
      <c r="P51" s="1" t="n">
        <f aca="false">O51/N51</f>
        <v>1.062530785958</v>
      </c>
      <c r="Q51" s="53" t="n">
        <f aca="false">$C$30*N51</f>
        <v>1661.94709142574</v>
      </c>
      <c r="S51" s="1" t="s">
        <v>54</v>
      </c>
      <c r="T51" s="1" t="n">
        <v>6893.81</v>
      </c>
      <c r="U51" s="157" t="n">
        <f aca="false">SUM(T49/2,T50:T52,T53/2)/4</f>
        <v>7287.38</v>
      </c>
      <c r="V51" s="1" t="n">
        <f aca="false">U51/T51</f>
        <v>1.05709034626716</v>
      </c>
      <c r="W51" s="53" t="n">
        <f aca="false">$C$30*T51</f>
        <v>6882.32704499357</v>
      </c>
      <c r="Y51" s="1" t="s">
        <v>54</v>
      </c>
      <c r="Z51" s="1" t="n">
        <v>12114.36</v>
      </c>
      <c r="AA51" s="157" t="n">
        <f aca="false">SUM(Z49/2,Z50:Z52,Z53/2)/4</f>
        <v>13484.60625</v>
      </c>
      <c r="AB51" s="1" t="n">
        <f aca="false">AA51/Z51</f>
        <v>1.11310925628758</v>
      </c>
      <c r="AC51" s="53" t="n">
        <f aca="false">$C$30*Z51</f>
        <v>12094.1812235597</v>
      </c>
      <c r="AE51" s="1" t="s">
        <v>54</v>
      </c>
      <c r="AF51" s="1" t="n">
        <v>5762.34</v>
      </c>
      <c r="AG51" s="157" t="n">
        <f aca="false">SUM(AF49/2,AF50:AF52,AF53/2)/4</f>
        <v>6312.45</v>
      </c>
      <c r="AH51" s="1" t="n">
        <f aca="false">AG51/AF51</f>
        <v>1.09546642509814</v>
      </c>
      <c r="AI51" s="53" t="n">
        <f aca="false">$C$30*AF51</f>
        <v>5752.74172401738</v>
      </c>
      <c r="AK51" s="1" t="s">
        <v>54</v>
      </c>
      <c r="AL51" s="1" t="n">
        <v>3318.2</v>
      </c>
      <c r="AM51" s="157" t="n">
        <f aca="false">SUM(AL49/2,AL50:AL52,AL53/2)/4</f>
        <v>3682.97875</v>
      </c>
      <c r="AN51" s="1" t="n">
        <f aca="false">AM51/AL51</f>
        <v>1.10993271954674</v>
      </c>
      <c r="AO51" s="53" t="n">
        <f aca="false">$C$30*AL51</f>
        <v>3312.67290521463</v>
      </c>
      <c r="AQ51" s="1" t="s">
        <v>54</v>
      </c>
      <c r="AR51" s="1" t="n">
        <v>25937.21</v>
      </c>
      <c r="AS51" s="157" t="n">
        <f aca="false">SUM(AR49/2,AR50:AR52,AR53/2)/4</f>
        <v>26588.84375</v>
      </c>
      <c r="AT51" s="1" t="n">
        <f aca="false">AS51/AR51</f>
        <v>1.02512350981466</v>
      </c>
      <c r="AU51" s="53" t="n">
        <f aca="false">$C$30*AR51</f>
        <v>25894.0066312645</v>
      </c>
      <c r="AW51" s="1" t="s">
        <v>54</v>
      </c>
      <c r="AX51" s="1" t="n">
        <v>1957.31</v>
      </c>
      <c r="AY51" s="157" t="n">
        <f aca="false">SUM(AX49/2,AX50:AX52,AX53/2)/4</f>
        <v>2221.5775</v>
      </c>
      <c r="AZ51" s="1" t="n">
        <f aca="false">AY51/AX51</f>
        <v>1.13501565924662</v>
      </c>
      <c r="BA51" s="53" t="n">
        <f aca="false">$C$30*AX51</f>
        <v>1954.04972699224</v>
      </c>
      <c r="BC51" s="1" t="s">
        <v>54</v>
      </c>
      <c r="BD51" s="1" t="n">
        <v>3804.89</v>
      </c>
      <c r="BE51" s="157" t="n">
        <f aca="false">SUM(BD49/2,BD50:BD52,BD53/2)/4</f>
        <v>4070.84125</v>
      </c>
      <c r="BF51" s="1" t="n">
        <f aca="false">BE51/BD51</f>
        <v>1.06989722436128</v>
      </c>
      <c r="BG51" s="53" t="n">
        <f aca="false">$C$30*BD51</f>
        <v>3798.55223022184</v>
      </c>
      <c r="BI51" s="1" t="s">
        <v>54</v>
      </c>
      <c r="BJ51" s="1" t="n">
        <v>10098.31</v>
      </c>
      <c r="BK51" s="157" t="n">
        <f aca="false">SUM(BJ49/2,BJ50:BJ52,BJ53/2)/4</f>
        <v>11276.4825</v>
      </c>
      <c r="BL51" s="1" t="n">
        <f aca="false">BK51/BJ51</f>
        <v>1.11667026462844</v>
      </c>
      <c r="BM51" s="53" t="n">
        <f aca="false">$C$30*BJ51</f>
        <v>10081.4893392375</v>
      </c>
      <c r="BO51" s="1" t="s">
        <v>54</v>
      </c>
      <c r="BP51" s="1" t="n">
        <v>587.15</v>
      </c>
      <c r="BQ51" s="157" t="n">
        <f aca="false">SUM(BP49/2,BP50:BP52,BP53/2)/4</f>
        <v>605.49875</v>
      </c>
      <c r="BR51" s="1" t="n">
        <f aca="false">BQ51/BP51</f>
        <v>1.03125053223197</v>
      </c>
      <c r="BS51" s="53" t="n">
        <f aca="false">$C$30*BP51</f>
        <v>586.171989722371</v>
      </c>
      <c r="BU51" s="1" t="s">
        <v>54</v>
      </c>
      <c r="BV51" s="1" t="n">
        <v>827.37</v>
      </c>
      <c r="BW51" s="157" t="n">
        <f aca="false">SUM(BV49/2,BV50:BV52,BV53/2)/4</f>
        <v>839.3775</v>
      </c>
      <c r="BX51" s="1" t="n">
        <f aca="false">BW51/BV51</f>
        <v>1.0145128539831</v>
      </c>
      <c r="BY51" s="53" t="n">
        <f aca="false">$C$30*BV51</f>
        <v>825.991857509321</v>
      </c>
      <c r="CA51" s="1" t="s">
        <v>54</v>
      </c>
      <c r="CB51" s="1" t="n">
        <v>1904.45</v>
      </c>
      <c r="CC51" s="157" t="n">
        <f aca="false">SUM(CB49/2,CB50:CB52,CB53/2)/4</f>
        <v>2103.51875</v>
      </c>
      <c r="CD51" s="1" t="n">
        <f aca="false">CC51/CB51</f>
        <v>1.10452821024443</v>
      </c>
      <c r="CE51" s="53" t="n">
        <f aca="false">$C$30*CB51</f>
        <v>1901.27777540112</v>
      </c>
      <c r="CG51" s="1" t="s">
        <v>54</v>
      </c>
      <c r="CH51" s="1" t="n">
        <v>1127.67</v>
      </c>
      <c r="CI51" s="157" t="n">
        <f aca="false">SUM(CH49/2,CH50:CH52,CH53/2)/4</f>
        <v>1185.8525</v>
      </c>
      <c r="CJ51" s="1" t="n">
        <f aca="false">CI51/CH51</f>
        <v>1.05159532487341</v>
      </c>
      <c r="CK51" s="53" t="n">
        <f aca="false">$C$30*CH51</f>
        <v>1125.79165060074</v>
      </c>
    </row>
    <row r="52" customFormat="false" ht="12.8" hidden="false" customHeight="false" outlineLevel="0" collapsed="false">
      <c r="A52" s="161" t="s">
        <v>53</v>
      </c>
      <c r="B52" s="162" t="n">
        <v>3849.28</v>
      </c>
      <c r="C52" s="162" t="n">
        <f aca="false">SUM(B50/2,B51:B53,B54/2)/4</f>
        <v>3915.5225</v>
      </c>
      <c r="D52" s="163" t="n">
        <f aca="false">C52/B52</f>
        <v>1.01720906247402</v>
      </c>
      <c r="E52" s="162" t="n">
        <f aca="false">$C$31*B52</f>
        <v>3825.15464343425</v>
      </c>
      <c r="G52" s="161" t="s">
        <v>53</v>
      </c>
      <c r="H52" s="1" t="n">
        <v>33220.8</v>
      </c>
      <c r="I52" s="162" t="n">
        <f aca="false">SUM(H50/2,H51:H53,H54/2)/4</f>
        <v>31952.99375</v>
      </c>
      <c r="J52" s="163" t="n">
        <f aca="false">I52/H52</f>
        <v>0.961836974124645</v>
      </c>
      <c r="K52" s="162" t="n">
        <f aca="false">$C$31*H52</f>
        <v>33012.5886863519</v>
      </c>
      <c r="M52" s="161" t="s">
        <v>53</v>
      </c>
      <c r="N52" s="1" t="n">
        <v>1766.25</v>
      </c>
      <c r="O52" s="162" t="n">
        <f aca="false">SUM(N50/2,N51:N53,N54/2)/4</f>
        <v>1757.9525</v>
      </c>
      <c r="P52" s="163" t="n">
        <f aca="false">O52/N52</f>
        <v>0.995302193913659</v>
      </c>
      <c r="Q52" s="162" t="n">
        <f aca="false">$C$31*N52</f>
        <v>1755.18003080206</v>
      </c>
      <c r="S52" s="161" t="s">
        <v>53</v>
      </c>
      <c r="T52" s="1" t="n">
        <v>7512.72</v>
      </c>
      <c r="U52" s="162" t="n">
        <f aca="false">SUM(T50/2,T51:T53,T54/2)/4</f>
        <v>7347.16875</v>
      </c>
      <c r="V52" s="163" t="n">
        <f aca="false">U52/T52</f>
        <v>0.977963873270933</v>
      </c>
      <c r="W52" s="162" t="n">
        <f aca="false">$C$31*T52</f>
        <v>7465.63403878683</v>
      </c>
      <c r="Y52" s="161" t="s">
        <v>53</v>
      </c>
      <c r="Z52" s="1" t="n">
        <v>14071.72</v>
      </c>
      <c r="AA52" s="162" t="n">
        <f aca="false">SUM(Z50/2,Z51:Z53,Z54/2)/4</f>
        <v>14043.57875</v>
      </c>
      <c r="AB52" s="163" t="n">
        <f aca="false">AA52/Z52</f>
        <v>0.998000155631295</v>
      </c>
      <c r="AC52" s="162" t="n">
        <f aca="false">$C$31*Z52</f>
        <v>13983.5255162281</v>
      </c>
      <c r="AE52" s="161" t="s">
        <v>53</v>
      </c>
      <c r="AF52" s="1" t="n">
        <v>6573.47</v>
      </c>
      <c r="AG52" s="162" t="n">
        <f aca="false">SUM(AF50/2,AF51:AF53,AF54/2)/4</f>
        <v>6579.915</v>
      </c>
      <c r="AH52" s="163" t="n">
        <f aca="false">AG52/AF52</f>
        <v>1.00098045628869</v>
      </c>
      <c r="AI52" s="162" t="n">
        <f aca="false">$C$31*AF52</f>
        <v>6532.27078673823</v>
      </c>
      <c r="AK52" s="161" t="s">
        <v>53</v>
      </c>
      <c r="AL52" s="1" t="n">
        <v>3850.07</v>
      </c>
      <c r="AM52" s="162" t="n">
        <f aca="false">SUM(AL50/2,AL51:AL53,AL54/2)/4</f>
        <v>3852.57375</v>
      </c>
      <c r="AN52" s="163" t="n">
        <f aca="false">AM52/AL52</f>
        <v>1.00065031285145</v>
      </c>
      <c r="AO52" s="162" t="n">
        <f aca="false">$C$31*AL52</f>
        <v>3825.93969211045</v>
      </c>
      <c r="AQ52" s="161" t="s">
        <v>53</v>
      </c>
      <c r="AR52" s="1" t="n">
        <v>26093.67</v>
      </c>
      <c r="AS52" s="162" t="n">
        <f aca="false">SUM(AR50/2,AR51:AR53,AR54/2)/4</f>
        <v>27465.85</v>
      </c>
      <c r="AT52" s="163" t="n">
        <f aca="false">AS52/AR52</f>
        <v>1.05258670014605</v>
      </c>
      <c r="AU52" s="162" t="n">
        <f aca="false">$C$31*AR52</f>
        <v>25930.1279628245</v>
      </c>
      <c r="AW52" s="161" t="s">
        <v>53</v>
      </c>
      <c r="AX52" s="1" t="n">
        <v>2147.06</v>
      </c>
      <c r="AY52" s="162" t="n">
        <f aca="false">SUM(AX50/2,AX51:AX53,AX54/2)/4</f>
        <v>2264.0375</v>
      </c>
      <c r="AZ52" s="163" t="n">
        <f aca="false">AY52/AX52</f>
        <v>1.05448264137937</v>
      </c>
      <c r="BA52" s="162" t="n">
        <f aca="false">$C$31*AX52</f>
        <v>2133.60330470424</v>
      </c>
      <c r="BC52" s="161" t="s">
        <v>53</v>
      </c>
      <c r="BD52" s="1" t="n">
        <v>3856.7</v>
      </c>
      <c r="BE52" s="162" t="n">
        <f aca="false">SUM(BD50/2,BD51:BD53,BD54/2)/4</f>
        <v>3969.0625</v>
      </c>
      <c r="BF52" s="163" t="n">
        <f aca="false">BE52/BD52</f>
        <v>1.02913436357508</v>
      </c>
      <c r="BG52" s="162" t="n">
        <f aca="false">$C$31*BD52</f>
        <v>3832.5281385955</v>
      </c>
      <c r="BI52" s="161" t="s">
        <v>53</v>
      </c>
      <c r="BJ52" s="1" t="n">
        <v>10670.1</v>
      </c>
      <c r="BK52" s="162" t="n">
        <f aca="false">SUM(BJ50/2,BJ51:BJ53,BJ54/2)/4</f>
        <v>11234.935</v>
      </c>
      <c r="BL52" s="163" t="n">
        <f aca="false">BK52/BJ52</f>
        <v>1.05293624239698</v>
      </c>
      <c r="BM52" s="162" t="n">
        <f aca="false">$C$31*BJ52</f>
        <v>10603.2251644224</v>
      </c>
      <c r="BO52" s="161" t="s">
        <v>53</v>
      </c>
      <c r="BP52" s="1" t="n">
        <v>602.86</v>
      </c>
      <c r="BQ52" s="162" t="n">
        <f aca="false">SUM(BP50/2,BP51:BP53,BP54/2)/4</f>
        <v>610.58875</v>
      </c>
      <c r="BR52" s="163" t="n">
        <f aca="false">BQ52/BP52</f>
        <v>1.01282014066284</v>
      </c>
      <c r="BS52" s="162" t="n">
        <f aca="false">$C$31*BP52</f>
        <v>599.081575863739</v>
      </c>
      <c r="BU52" s="161" t="s">
        <v>53</v>
      </c>
      <c r="BV52" s="1" t="n">
        <v>824.61</v>
      </c>
      <c r="BW52" s="162" t="n">
        <f aca="false">SUM(BV50/2,BV51:BV53,BV54/2)/4</f>
        <v>849.445</v>
      </c>
      <c r="BX52" s="163" t="n">
        <f aca="false">BW52/BV52</f>
        <v>1.03011726755678</v>
      </c>
      <c r="BY52" s="162" t="n">
        <f aca="false">$C$31*BV52</f>
        <v>819.441758074839</v>
      </c>
      <c r="CA52" s="161" t="s">
        <v>53</v>
      </c>
      <c r="CB52" s="1" t="n">
        <v>2228.57</v>
      </c>
      <c r="CC52" s="162" t="n">
        <f aca="false">SUM(CB50/2,CB51:CB53,CB54/2)/4</f>
        <v>2300.64</v>
      </c>
      <c r="CD52" s="163" t="n">
        <f aca="false">CC52/CB52</f>
        <v>1.03233912329431</v>
      </c>
      <c r="CE52" s="162" t="n">
        <f aca="false">$C$31*CB52</f>
        <v>2214.60244090278</v>
      </c>
      <c r="CG52" s="161" t="s">
        <v>53</v>
      </c>
      <c r="CH52" s="1" t="n">
        <v>1156.15</v>
      </c>
      <c r="CI52" s="162" t="n">
        <f aca="false">SUM(CH50/2,CH51:CH53,CH54/2)/4</f>
        <v>1210.1525</v>
      </c>
      <c r="CJ52" s="163" t="n">
        <f aca="false">CI52/CH52</f>
        <v>1.04670890455391</v>
      </c>
      <c r="CK52" s="162" t="n">
        <f aca="false">$C$31*CH52</f>
        <v>1148.90383162735</v>
      </c>
    </row>
    <row r="53" customFormat="false" ht="12.8" hidden="false" customHeight="false" outlineLevel="0" collapsed="false">
      <c r="A53" s="158" t="s">
        <v>52</v>
      </c>
      <c r="B53" s="159" t="n">
        <v>4109.31</v>
      </c>
      <c r="C53" s="159" t="n">
        <f aca="false">SUM(B51/2,B52:B54,B55/2)/4</f>
        <v>4086.45125</v>
      </c>
      <c r="D53" s="160" t="n">
        <f aca="false">C53/B53</f>
        <v>0.994437326461133</v>
      </c>
      <c r="E53" s="159" t="n">
        <f aca="false">B53*$C$28</f>
        <v>4133.66070830888</v>
      </c>
      <c r="G53" s="158" t="s">
        <v>52</v>
      </c>
      <c r="H53" s="160" t="n">
        <v>33274.15</v>
      </c>
      <c r="I53" s="159" t="n">
        <f aca="false">SUM(H51/2,H52:H54,H55/2)/4</f>
        <v>33004.76375</v>
      </c>
      <c r="J53" s="160" t="n">
        <f aca="false">I53/H53</f>
        <v>0.991904038119681</v>
      </c>
      <c r="K53" s="159" t="n">
        <f aca="false">H53*$C$28</f>
        <v>33471.3240075283</v>
      </c>
      <c r="M53" s="158" t="s">
        <v>52</v>
      </c>
      <c r="N53" s="160" t="n">
        <v>1802.48</v>
      </c>
      <c r="O53" s="159" t="n">
        <f aca="false">SUM(N51/2,N52:N54,N55/2)/4</f>
        <v>1795.5925</v>
      </c>
      <c r="P53" s="160" t="n">
        <f aca="false">O53/N53</f>
        <v>0.99617887577116</v>
      </c>
      <c r="Q53" s="159" t="n">
        <f aca="false">N53*$C$28</f>
        <v>1813.16103032202</v>
      </c>
      <c r="S53" s="158" t="s">
        <v>52</v>
      </c>
      <c r="T53" s="160" t="n">
        <v>7631.74</v>
      </c>
      <c r="U53" s="159" t="n">
        <f aca="false">SUM(T51/2,T52:T54,T55/2)/4</f>
        <v>7481.73375</v>
      </c>
      <c r="V53" s="160" t="n">
        <f aca="false">U53/T53</f>
        <v>0.980344423421133</v>
      </c>
      <c r="W53" s="159" t="n">
        <f aca="false">T53*$C$28</f>
        <v>7676.96371751687</v>
      </c>
      <c r="Y53" s="158" t="s">
        <v>52</v>
      </c>
      <c r="Z53" s="160" t="n">
        <v>15522.4</v>
      </c>
      <c r="AA53" s="159" t="n">
        <f aca="false">SUM(Z51/2,Z52:Z54,Z55/2)/4</f>
        <v>14873.1225</v>
      </c>
      <c r="AB53" s="160" t="n">
        <f aca="false">AA53/Z53</f>
        <v>0.958171577848786</v>
      </c>
      <c r="AC53" s="159" t="n">
        <f aca="false">Z53*$C$28</f>
        <v>15614.3817279918</v>
      </c>
      <c r="AE53" s="158" t="s">
        <v>52</v>
      </c>
      <c r="AF53" s="160" t="n">
        <v>7322.39</v>
      </c>
      <c r="AG53" s="159" t="n">
        <f aca="false">SUM(AF51/2,AF52:AF54,AF55/2)/4</f>
        <v>6936.155</v>
      </c>
      <c r="AH53" s="160" t="n">
        <f aca="false">AG53/AF53</f>
        <v>0.947252877817216</v>
      </c>
      <c r="AI53" s="159" t="n">
        <f aca="false">AF53*$C$28</f>
        <v>7365.78058942107</v>
      </c>
      <c r="AK53" s="158" t="s">
        <v>52</v>
      </c>
      <c r="AL53" s="160" t="n">
        <v>4315.05</v>
      </c>
      <c r="AM53" s="159" t="n">
        <f aca="false">SUM(AL51/2,AL52:AL54,AL55/2)/4</f>
        <v>4077.66</v>
      </c>
      <c r="AN53" s="160" t="n">
        <f aca="false">AM53/AL53</f>
        <v>0.944985573747697</v>
      </c>
      <c r="AO53" s="159" t="n">
        <f aca="false">AL53*$C$28</f>
        <v>4340.61987034034</v>
      </c>
      <c r="AQ53" s="158" t="s">
        <v>52</v>
      </c>
      <c r="AR53" s="160" t="n">
        <v>28041.48</v>
      </c>
      <c r="AS53" s="159" t="n">
        <f aca="false">SUM(AR51/2,AR52:AR54,AR55/2)/4</f>
        <v>29055.40125</v>
      </c>
      <c r="AT53" s="160" t="n">
        <f aca="false">AS53/AR53</f>
        <v>1.0361579078565</v>
      </c>
      <c r="AU53" s="159" t="n">
        <f aca="false">AR53*$C$28</f>
        <v>28207.6465583831</v>
      </c>
      <c r="AW53" s="158" t="s">
        <v>52</v>
      </c>
      <c r="AX53" s="160" t="n">
        <v>2450.67</v>
      </c>
      <c r="AY53" s="159" t="n">
        <f aca="false">SUM(AX51/2,AX52:AX54,AX55/2)/4</f>
        <v>2485.09625</v>
      </c>
      <c r="AZ53" s="160" t="n">
        <f aca="false">AY53/AX53</f>
        <v>1.01404768899933</v>
      </c>
      <c r="BA53" s="159" t="n">
        <f aca="false">AX53*$C$28</f>
        <v>2465.19203662691</v>
      </c>
      <c r="BC53" s="158" t="s">
        <v>52</v>
      </c>
      <c r="BD53" s="160" t="n">
        <v>4050.93</v>
      </c>
      <c r="BE53" s="159" t="n">
        <f aca="false">SUM(BD51/2,BD52:BD54,BD55/2)/4</f>
        <v>3874.32125</v>
      </c>
      <c r="BF53" s="160" t="n">
        <f aca="false">BE53/BD53</f>
        <v>0.956402912417642</v>
      </c>
      <c r="BG53" s="159" t="n">
        <f aca="false">BD53*$C$28</f>
        <v>4074.93476352714</v>
      </c>
      <c r="BI53" s="158" t="s">
        <v>52</v>
      </c>
      <c r="BJ53" s="160" t="n">
        <v>12131.81</v>
      </c>
      <c r="BK53" s="159" t="n">
        <f aca="false">SUM(BJ51/2,BJ52:BJ54,BJ55/2)/4</f>
        <v>11650.5775</v>
      </c>
      <c r="BL53" s="160" t="n">
        <f aca="false">BK53/BJ53</f>
        <v>0.960333000599251</v>
      </c>
      <c r="BM53" s="159" t="n">
        <f aca="false">BJ53*$C$28</f>
        <v>12203.6999685273</v>
      </c>
      <c r="BO53" s="158" t="s">
        <v>52</v>
      </c>
      <c r="BP53" s="160" t="n">
        <v>610.79</v>
      </c>
      <c r="BQ53" s="159" t="n">
        <f aca="false">SUM(BP51/2,BP52:BP54,BP55/2)/4</f>
        <v>638.7475</v>
      </c>
      <c r="BR53" s="160" t="n">
        <f aca="false">BQ53/BP53</f>
        <v>1.04577268783051</v>
      </c>
      <c r="BS53" s="159" t="n">
        <f aca="false">BP53*$C$28</f>
        <v>614.409383577287</v>
      </c>
      <c r="BU53" s="158" t="s">
        <v>52</v>
      </c>
      <c r="BV53" s="160" t="n">
        <v>891.29</v>
      </c>
      <c r="BW53" s="159" t="n">
        <f aca="false">SUM(BV51/2,BV52:BV54,BV55/2)/4</f>
        <v>860.6075</v>
      </c>
      <c r="BX53" s="160" t="n">
        <f aca="false">BW53/BV53</f>
        <v>0.965575177551639</v>
      </c>
      <c r="BY53" s="159" t="n">
        <f aca="false">BV53*$C$28</f>
        <v>896.571554034284</v>
      </c>
      <c r="CA53" s="158" t="s">
        <v>52</v>
      </c>
      <c r="CB53" s="160" t="n">
        <v>2548.89</v>
      </c>
      <c r="CC53" s="159" t="n">
        <f aca="false">SUM(CB51/2,CB52:CB54,CB55/2)/4</f>
        <v>2573.7475</v>
      </c>
      <c r="CD53" s="160" t="n">
        <f aca="false">CC53/CB53</f>
        <v>1.00975228432769</v>
      </c>
      <c r="CE53" s="159" t="n">
        <f aca="false">CB53*$C$28</f>
        <v>2563.99406294522</v>
      </c>
      <c r="CG53" s="158" t="s">
        <v>52</v>
      </c>
      <c r="CH53" s="160" t="n">
        <v>1274.87</v>
      </c>
      <c r="CI53" s="159" t="n">
        <f aca="false">SUM(CH51/2,CH52:CH54,CH55/2)/4</f>
        <v>1276.17125</v>
      </c>
      <c r="CJ53" s="160" t="n">
        <f aca="false">CI53/CH53</f>
        <v>1.00102069230588</v>
      </c>
      <c r="CK53" s="159" t="n">
        <f aca="false">CH53*$C$28</f>
        <v>1282.4245499127</v>
      </c>
    </row>
    <row r="54" customFormat="false" ht="12.8" hidden="false" customHeight="false" outlineLevel="0" collapsed="false">
      <c r="A54" s="1" t="s">
        <v>51</v>
      </c>
      <c r="B54" s="53" t="n">
        <v>4450.38</v>
      </c>
      <c r="C54" s="157" t="n">
        <f aca="false">SUM(B52/2,B53:B55,B56/2)/4</f>
        <v>4291.01375</v>
      </c>
      <c r="D54" s="1" t="n">
        <f aca="false">C54/B54</f>
        <v>0.964190417447499</v>
      </c>
      <c r="E54" s="53" t="n">
        <f aca="false">B54*$C$29</f>
        <v>4459.31390543299</v>
      </c>
      <c r="G54" s="1" t="s">
        <v>51</v>
      </c>
      <c r="H54" s="1" t="n">
        <v>34407.6</v>
      </c>
      <c r="I54" s="157" t="n">
        <f aca="false">SUM(H52/2,H53:H55,H56/2)/4</f>
        <v>34163.675</v>
      </c>
      <c r="J54" s="1" t="n">
        <f aca="false">I54/H54</f>
        <v>0.992910723212314</v>
      </c>
      <c r="K54" s="53" t="n">
        <f aca="false">H54*$C$29</f>
        <v>34476.6714600947</v>
      </c>
      <c r="M54" s="1" t="s">
        <v>51</v>
      </c>
      <c r="N54" s="1" t="n">
        <v>1888.73</v>
      </c>
      <c r="O54" s="157" t="n">
        <f aca="false">SUM(N52/2,N53:N55,N56/2)/4</f>
        <v>1847.15125</v>
      </c>
      <c r="P54" s="1" t="n">
        <f aca="false">O54/N54</f>
        <v>0.977985868811318</v>
      </c>
      <c r="Q54" s="53" t="n">
        <f aca="false">N54*$C$29</f>
        <v>1892.52152683781</v>
      </c>
      <c r="S54" s="1" t="s">
        <v>51</v>
      </c>
      <c r="T54" s="1" t="n">
        <v>7531.53</v>
      </c>
      <c r="U54" s="157" t="n">
        <f aca="false">SUM(T52/2,T53:T55,T56/2)/4</f>
        <v>7597.27</v>
      </c>
      <c r="V54" s="1" t="n">
        <f aca="false">U54/T54</f>
        <v>1.0087286381386</v>
      </c>
      <c r="W54" s="53" t="n">
        <f aca="false">T54*$C$29</f>
        <v>7546.64915314775</v>
      </c>
      <c r="Y54" s="1" t="s">
        <v>51</v>
      </c>
      <c r="Z54" s="1" t="n">
        <v>16147.9</v>
      </c>
      <c r="AA54" s="157" t="n">
        <f aca="false">SUM(Z52/2,Z53:Z55,Z56/2)/4</f>
        <v>15610.87875</v>
      </c>
      <c r="AB54" s="1" t="n">
        <f aca="false">AA54/Z54</f>
        <v>0.966743585853269</v>
      </c>
      <c r="AC54" s="53" t="n">
        <f aca="false">Z54*$C$29</f>
        <v>16180.3160659407</v>
      </c>
      <c r="AE54" s="1" t="s">
        <v>51</v>
      </c>
      <c r="AF54" s="1" t="n">
        <v>7400.06</v>
      </c>
      <c r="AG54" s="157" t="n">
        <f aca="false">SUM(AF52/2,AF53:AF55,AF56/2)/4</f>
        <v>7227.95625</v>
      </c>
      <c r="AH54" s="1" t="n">
        <f aca="false">AG54/AF54</f>
        <v>0.976742925057364</v>
      </c>
      <c r="AI54" s="53" t="n">
        <f aca="false">AF54*$C$29</f>
        <v>7414.91523398866</v>
      </c>
      <c r="AK54" s="1" t="s">
        <v>51</v>
      </c>
      <c r="AL54" s="1" t="n">
        <v>4399.09</v>
      </c>
      <c r="AM54" s="157" t="n">
        <f aca="false">SUM(AL52/2,AL53:AL55,AL56/2)/4</f>
        <v>4267.75625</v>
      </c>
      <c r="AN54" s="1" t="n">
        <f aca="false">AM54/AL54</f>
        <v>0.970145245948594</v>
      </c>
      <c r="AO54" s="53" t="n">
        <f aca="false">AL54*$C$29</f>
        <v>4407.92094343656</v>
      </c>
      <c r="AQ54" s="1" t="s">
        <v>51</v>
      </c>
      <c r="AR54" s="1" t="n">
        <v>33189.04</v>
      </c>
      <c r="AS54" s="157" t="n">
        <f aca="false">SUM(AR52/2,AR53:AR55,AR56/2)/4</f>
        <v>30726.19625</v>
      </c>
      <c r="AT54" s="1" t="n">
        <f aca="false">AS54/AR54</f>
        <v>0.925793462239342</v>
      </c>
      <c r="AU54" s="53" t="n">
        <f aca="false">AR54*$C$29</f>
        <v>33255.6652645328</v>
      </c>
      <c r="AW54" s="1" t="s">
        <v>51</v>
      </c>
      <c r="AX54" s="1" t="n">
        <v>2797.37</v>
      </c>
      <c r="AY54" s="157" t="n">
        <f aca="false">SUM(AX52/2,AX53:AX55,AX56/2)/4</f>
        <v>2751.45625</v>
      </c>
      <c r="AZ54" s="1" t="n">
        <f aca="false">AY54/AX54</f>
        <v>0.983586815473105</v>
      </c>
      <c r="BA54" s="53" t="n">
        <f aca="false">AX54*$C$29</f>
        <v>2802.98557418492</v>
      </c>
      <c r="BC54" s="1" t="s">
        <v>51</v>
      </c>
      <c r="BD54" s="1" t="n">
        <v>3842.45</v>
      </c>
      <c r="BE54" s="157" t="n">
        <f aca="false">SUM(BD52/2,BD53:BD55,BD56/2)/4</f>
        <v>3804.63</v>
      </c>
      <c r="BF54" s="1" t="n">
        <f aca="false">BE54/BD54</f>
        <v>0.990157321500605</v>
      </c>
      <c r="BG54" s="53" t="n">
        <f aca="false">BD54*$C$29</f>
        <v>3850.16351770657</v>
      </c>
      <c r="BI54" s="1" t="s">
        <v>51</v>
      </c>
      <c r="BJ54" s="1" t="n">
        <v>12721.72</v>
      </c>
      <c r="BK54" s="157" t="n">
        <f aca="false">SUM(BJ52/2,BJ53:BJ55,BJ56/2)/4</f>
        <v>12233.275</v>
      </c>
      <c r="BL54" s="1" t="n">
        <f aca="false">BK54/BJ54</f>
        <v>0.96160542756797</v>
      </c>
      <c r="BM54" s="53" t="n">
        <f aca="false">BJ54*$C$29</f>
        <v>12747.2581885198</v>
      </c>
      <c r="BO54" s="1" t="s">
        <v>51</v>
      </c>
      <c r="BP54" s="1" t="n">
        <v>669.9</v>
      </c>
      <c r="BQ54" s="157" t="n">
        <f aca="false">SUM(BP52/2,BP53:BP55,BP56/2)/4</f>
        <v>677.22375</v>
      </c>
      <c r="BR54" s="1" t="n">
        <f aca="false">BQ54/BP54</f>
        <v>1.01093260188088</v>
      </c>
      <c r="BS54" s="53" t="n">
        <f aca="false">BP54*$C$29</f>
        <v>671.244789265087</v>
      </c>
      <c r="BU54" s="1" t="s">
        <v>51</v>
      </c>
      <c r="BV54" s="1" t="n">
        <v>869.4</v>
      </c>
      <c r="BW54" s="157" t="n">
        <f aca="false">SUM(BV52/2,BV53:BV55,BV56/2)/4</f>
        <v>874.42875</v>
      </c>
      <c r="BX54" s="1" t="n">
        <f aca="false">BW54/BV54</f>
        <v>1.00578416149068</v>
      </c>
      <c r="BY54" s="53" t="n">
        <f aca="false">BV54*$C$29</f>
        <v>871.145275096383</v>
      </c>
      <c r="CA54" s="1" t="s">
        <v>51</v>
      </c>
      <c r="CB54" s="1" t="n">
        <v>3098.66</v>
      </c>
      <c r="CC54" s="157" t="n">
        <f aca="false">SUM(CB52/2,CB53:CB55,CB56/2)/4</f>
        <v>2811.515</v>
      </c>
      <c r="CD54" s="1" t="n">
        <f aca="false">CC54/CB54</f>
        <v>0.907332524381507</v>
      </c>
      <c r="CE54" s="53" t="n">
        <f aca="false">CB54*$C$29</f>
        <v>3104.88039812532</v>
      </c>
      <c r="CG54" s="1" t="s">
        <v>51</v>
      </c>
      <c r="CH54" s="1" t="n">
        <v>1371.59</v>
      </c>
      <c r="CI54" s="157" t="n">
        <f aca="false">SUM(CH52/2,CH53:CH55,CH56/2)/4</f>
        <v>1366.19375</v>
      </c>
      <c r="CJ54" s="1" t="n">
        <f aca="false">CI54/CH54</f>
        <v>0.996065697475193</v>
      </c>
      <c r="CK54" s="53" t="n">
        <f aca="false">CH54*$C$29</f>
        <v>1374.34339529497</v>
      </c>
    </row>
    <row r="55" customFormat="false" ht="12.8" hidden="false" customHeight="false" outlineLevel="0" collapsed="false">
      <c r="A55" s="1" t="s">
        <v>33</v>
      </c>
      <c r="B55" s="53" t="n">
        <v>4288.05</v>
      </c>
      <c r="C55" s="157" t="n">
        <f aca="false">SUM(B53/2,B54:B56,B57/2)/4</f>
        <v>4549.58</v>
      </c>
      <c r="D55" s="1" t="n">
        <f aca="false">C55/B55</f>
        <v>1.06099042688402</v>
      </c>
      <c r="E55" s="53" t="n">
        <f aca="false">$C$30*B55</f>
        <v>4280.90743511711</v>
      </c>
      <c r="G55" s="1" t="s">
        <v>33</v>
      </c>
      <c r="H55" s="1" t="n">
        <v>33507.5</v>
      </c>
      <c r="I55" s="157" t="n">
        <f aca="false">SUM(H53/2,H54:H56,H57/2)/4</f>
        <v>35511.425</v>
      </c>
      <c r="J55" s="1" t="n">
        <f aca="false">I55/H55</f>
        <v>1.05980526747743</v>
      </c>
      <c r="K55" s="53" t="n">
        <f aca="false">$C$30*H55</f>
        <v>33451.6868698328</v>
      </c>
      <c r="M55" s="1" t="s">
        <v>33</v>
      </c>
      <c r="N55" s="1" t="n">
        <v>1785.1</v>
      </c>
      <c r="O55" s="157" t="n">
        <f aca="false">SUM(N53/2,N54:N56,N57/2)/4</f>
        <v>1921.2075</v>
      </c>
      <c r="P55" s="1" t="n">
        <f aca="false">O55/N55</f>
        <v>1.0762464287715</v>
      </c>
      <c r="Q55" s="53" t="n">
        <f aca="false">$C$30*N55</f>
        <v>1782.12657558274</v>
      </c>
      <c r="S55" s="1" t="s">
        <v>33</v>
      </c>
      <c r="T55" s="1" t="n">
        <v>7608.08</v>
      </c>
      <c r="U55" s="157" t="n">
        <f aca="false">SUM(T53/2,T54:T56,T57/2)/4</f>
        <v>7661.44125</v>
      </c>
      <c r="V55" s="1" t="n">
        <f aca="false">U55/T55</f>
        <v>1.00701376037055</v>
      </c>
      <c r="W55" s="53" t="n">
        <f aca="false">$C$30*T55</f>
        <v>7595.40729211781</v>
      </c>
      <c r="Y55" s="1" t="s">
        <v>33</v>
      </c>
      <c r="Z55" s="1" t="n">
        <v>15386.58</v>
      </c>
      <c r="AA55" s="157" t="n">
        <f aca="false">SUM(Z53/2,Z54:Z56,Z57/2)/4</f>
        <v>16310.86875</v>
      </c>
      <c r="AB55" s="1" t="n">
        <f aca="false">AA55/Z55</f>
        <v>1.06007109767083</v>
      </c>
      <c r="AC55" s="53" t="n">
        <f aca="false">$C$30*Z55</f>
        <v>15360.9507172314</v>
      </c>
      <c r="AE55" s="1" t="s">
        <v>33</v>
      </c>
      <c r="AF55" s="1" t="n">
        <v>7135.06</v>
      </c>
      <c r="AG55" s="157" t="n">
        <f aca="false">SUM(AF53/2,AF54:AF56,AF57/2)/4</f>
        <v>7449.125</v>
      </c>
      <c r="AH55" s="1" t="n">
        <f aca="false">AG55/AF55</f>
        <v>1.04401714911998</v>
      </c>
      <c r="AI55" s="53" t="n">
        <f aca="false">$C$30*AF55</f>
        <v>7123.17519711913</v>
      </c>
      <c r="AK55" s="1" t="s">
        <v>33</v>
      </c>
      <c r="AL55" s="1" t="n">
        <v>4174.66</v>
      </c>
      <c r="AM55" s="157" t="n">
        <f aca="false">SUM(AL53/2,AL54:AL56,AL57/2)/4</f>
        <v>4441.66375</v>
      </c>
      <c r="AN55" s="1" t="n">
        <f aca="false">AM55/AL55</f>
        <v>1.06395820258416</v>
      </c>
      <c r="AO55" s="53" t="n">
        <f aca="false">$C$30*AL55</f>
        <v>4167.70630778233</v>
      </c>
      <c r="AQ55" s="1" t="s">
        <v>33</v>
      </c>
      <c r="AR55" s="1" t="n">
        <v>31857.62</v>
      </c>
      <c r="AS55" s="157" t="n">
        <f aca="false">SUM(AR53/2,AR54:AR56,AR57/2)/4</f>
        <v>33197.935</v>
      </c>
      <c r="AT55" s="1" t="n">
        <f aca="false">AS55/AR55</f>
        <v>1.04207203802418</v>
      </c>
      <c r="AU55" s="53" t="n">
        <f aca="false">$C$30*AR55</f>
        <v>31804.5550595575</v>
      </c>
      <c r="AW55" s="1" t="s">
        <v>33</v>
      </c>
      <c r="AX55" s="1" t="n">
        <v>3133.26</v>
      </c>
      <c r="AY55" s="157" t="n">
        <f aca="false">SUM(AX53/2,AX54:AX56,AX57/2)/4</f>
        <v>2981.055</v>
      </c>
      <c r="AZ55" s="1" t="n">
        <f aca="false">AY55/AX55</f>
        <v>0.951422799257004</v>
      </c>
      <c r="BA55" s="53" t="n">
        <f aca="false">$C$30*AX55</f>
        <v>3128.04095804737</v>
      </c>
      <c r="BC55" s="1" t="s">
        <v>33</v>
      </c>
      <c r="BD55" s="1" t="n">
        <v>3689.52</v>
      </c>
      <c r="BE55" s="157" t="n">
        <f aca="false">SUM(BD53/2,BD54:BD56,BD57/2)/4</f>
        <v>3685.17875</v>
      </c>
      <c r="BF55" s="1" t="n">
        <f aca="false">BE55/BD55</f>
        <v>0.998823356425768</v>
      </c>
      <c r="BG55" s="53" t="n">
        <f aca="false">$C$30*BD55</f>
        <v>3683.37440095458</v>
      </c>
      <c r="BI55" s="1" t="s">
        <v>33</v>
      </c>
      <c r="BJ55" s="1" t="n">
        <v>12059.05</v>
      </c>
      <c r="BK55" s="157" t="n">
        <f aca="false">SUM(BJ53/2,BJ54:BJ56,BJ57/2)/4</f>
        <v>13046.35625</v>
      </c>
      <c r="BL55" s="1" t="n">
        <f aca="false">BK55/BJ55</f>
        <v>1.08187263922117</v>
      </c>
      <c r="BM55" s="53" t="n">
        <f aca="false">$C$30*BJ55</f>
        <v>12038.9633529108</v>
      </c>
      <c r="BO55" s="1" t="s">
        <v>33</v>
      </c>
      <c r="BP55" s="1" t="n">
        <v>755.73</v>
      </c>
      <c r="BQ55" s="157" t="n">
        <f aca="false">SUM(BP53/2,BP54:BP56,BP57/2)/4</f>
        <v>719.2125</v>
      </c>
      <c r="BR55" s="1" t="n">
        <f aca="false">BQ55/BP55</f>
        <v>0.951679171132547</v>
      </c>
      <c r="BS55" s="53" t="n">
        <f aca="false">$C$30*BP55</f>
        <v>754.47118758901</v>
      </c>
      <c r="BU55" s="1" t="s">
        <v>33</v>
      </c>
      <c r="BV55" s="1" t="n">
        <v>886.89</v>
      </c>
      <c r="BW55" s="157" t="n">
        <f aca="false">SUM(BV53/2,BV54:BV56,BV57/2)/4</f>
        <v>893.1425</v>
      </c>
      <c r="BX55" s="1" t="n">
        <f aca="false">BW55/BV55</f>
        <v>1.0070499159986</v>
      </c>
      <c r="BY55" s="53" t="n">
        <f aca="false">$C$30*BV55</f>
        <v>885.412715600568</v>
      </c>
      <c r="CA55" s="1" t="s">
        <v>33</v>
      </c>
      <c r="CB55" s="1" t="n">
        <v>2933.29</v>
      </c>
      <c r="CC55" s="157" t="n">
        <f aca="false">SUM(CB53/2,CB54:CB56,CB57/2)/4</f>
        <v>3029.6175</v>
      </c>
      <c r="CD55" s="1" t="n">
        <f aca="false">CC55/CB55</f>
        <v>1.03283940558213</v>
      </c>
      <c r="CE55" s="53" t="n">
        <f aca="false">$C$30*CB55</f>
        <v>2928.4040462109</v>
      </c>
      <c r="CG55" s="1" t="s">
        <v>33</v>
      </c>
      <c r="CH55" s="1" t="n">
        <v>1476.48</v>
      </c>
      <c r="CI55" s="157" t="n">
        <f aca="false">SUM(CH53/2,CH54:CH56,CH57/2)/4</f>
        <v>1467.4025</v>
      </c>
      <c r="CJ55" s="1" t="n">
        <f aca="false">CI55/CH55</f>
        <v>0.993851931621153</v>
      </c>
      <c r="CK55" s="53" t="n">
        <f aca="false">$C$30*CH55</f>
        <v>1474.0206410377</v>
      </c>
    </row>
    <row r="56" customFormat="false" ht="12.8" hidden="false" customHeight="false" outlineLevel="0" collapsed="false">
      <c r="A56" s="161" t="s">
        <v>35</v>
      </c>
      <c r="B56" s="162" t="n">
        <v>4783.35</v>
      </c>
      <c r="C56" s="162" t="n">
        <f aca="false">SUM(B54/2,B55:B57,B58/2)/4</f>
        <v>4817.65</v>
      </c>
      <c r="D56" s="163" t="n">
        <f aca="false">C56/B56</f>
        <v>1.00717070672228</v>
      </c>
      <c r="E56" s="162" t="n">
        <f aca="false">$C$31*B56</f>
        <v>4753.37036112499</v>
      </c>
      <c r="G56" s="161" t="s">
        <v>35</v>
      </c>
      <c r="H56" s="22" t="n">
        <v>37710.1</v>
      </c>
      <c r="I56" s="162" t="n">
        <f aca="false">SUM(H54/2,H55:H57,H58/2)/4</f>
        <v>36886.92</v>
      </c>
      <c r="J56" s="163" t="n">
        <f aca="false">I56/H56</f>
        <v>0.978170834869173</v>
      </c>
      <c r="K56" s="162" t="n">
        <f aca="false">$C$31*H56</f>
        <v>37473.7520054062</v>
      </c>
      <c r="M56" s="161" t="s">
        <v>35</v>
      </c>
      <c r="N56" s="22" t="n">
        <v>2058.34</v>
      </c>
      <c r="O56" s="162" t="n">
        <f aca="false">SUM(N54/2,N55:N57,N58/2)/4</f>
        <v>1978.6225</v>
      </c>
      <c r="P56" s="163" t="n">
        <f aca="false">O56/N56</f>
        <v>0.961270975640565</v>
      </c>
      <c r="Q56" s="162" t="n">
        <f aca="false">$C$31*N56</f>
        <v>2045.43935716977</v>
      </c>
      <c r="S56" s="161" t="s">
        <v>35</v>
      </c>
      <c r="T56" s="22" t="n">
        <v>7722.74</v>
      </c>
      <c r="U56" s="162" t="n">
        <f aca="false">SUM(T54/2,T55:T57,T58/2)/4</f>
        <v>7778.43375</v>
      </c>
      <c r="V56" s="163" t="n">
        <f aca="false">U56/T56</f>
        <v>1.00721165674359</v>
      </c>
      <c r="W56" s="162" t="n">
        <f aca="false">$C$31*T56</f>
        <v>7674.33773875515</v>
      </c>
      <c r="Y56" s="161" t="s">
        <v>35</v>
      </c>
      <c r="Z56" s="22" t="n">
        <v>16701.55</v>
      </c>
      <c r="AA56" s="162" t="n">
        <f aca="false">SUM(Z54/2,Z55:Z57,Z58/2)/4</f>
        <v>16943.07375</v>
      </c>
      <c r="AB56" s="163" t="n">
        <f aca="false">AA56/Z56</f>
        <v>1.01446115779673</v>
      </c>
      <c r="AC56" s="162" t="n">
        <f aca="false">$C$31*Z56</f>
        <v>16596.8730606891</v>
      </c>
      <c r="AE56" s="161" t="s">
        <v>35</v>
      </c>
      <c r="AF56" s="22" t="n">
        <v>7535.16</v>
      </c>
      <c r="AG56" s="162" t="n">
        <f aca="false">SUM(AF54/2,AF55:AF57,AF58/2)/4</f>
        <v>7560</v>
      </c>
      <c r="AH56" s="163" t="n">
        <f aca="false">AG56/AF56</f>
        <v>1.00329654579332</v>
      </c>
      <c r="AI56" s="162" t="n">
        <f aca="false">$C$31*AF56</f>
        <v>7487.93339612084</v>
      </c>
      <c r="AK56" s="161" t="s">
        <v>35</v>
      </c>
      <c r="AL56" s="22" t="n">
        <v>4514.38</v>
      </c>
      <c r="AM56" s="162" t="n">
        <f aca="false">SUM(AL54/2,AL55:AL57,AL58/2)/4</f>
        <v>4594.39875</v>
      </c>
      <c r="AN56" s="163" t="n">
        <f aca="false">AM56/AL56</f>
        <v>1.01772530225635</v>
      </c>
      <c r="AO56" s="162" t="n">
        <f aca="false">$C$31*AL56</f>
        <v>4486.08613019232</v>
      </c>
      <c r="AQ56" s="161" t="s">
        <v>35</v>
      </c>
      <c r="AR56" s="22" t="n">
        <v>33539.62</v>
      </c>
      <c r="AS56" s="162" t="n">
        <f aca="false">SUM(AR54/2,AR55:AR57,AR58/2)/4</f>
        <v>35538.185</v>
      </c>
      <c r="AT56" s="163" t="n">
        <f aca="false">AS56/AR56</f>
        <v>1.05958818257333</v>
      </c>
      <c r="AU56" s="162" t="n">
        <f aca="false">$C$31*AR56</f>
        <v>33329.4104824851</v>
      </c>
      <c r="AW56" s="161" t="s">
        <v>35</v>
      </c>
      <c r="AX56" s="22" t="n">
        <v>3101.99</v>
      </c>
      <c r="AY56" s="162" t="n">
        <f aca="false">SUM(AX54/2,AX55:AX57,AX58/2)/4</f>
        <v>3135.44875</v>
      </c>
      <c r="AZ56" s="163" t="n">
        <f aca="false">AY56/AX56</f>
        <v>1.01078622110323</v>
      </c>
      <c r="BA56" s="162" t="n">
        <f aca="false">$C$31*AX56</f>
        <v>3082.5482823766</v>
      </c>
      <c r="BC56" s="161" t="s">
        <v>35</v>
      </c>
      <c r="BD56" s="22" t="n">
        <v>3414.54</v>
      </c>
      <c r="BE56" s="162" t="n">
        <f aca="false">SUM(BD54/2,BD55:BD57,BD58/2)/4</f>
        <v>3573.39875</v>
      </c>
      <c r="BF56" s="163" t="n">
        <f aca="false">BE56/BD56</f>
        <v>1.04652420238158</v>
      </c>
      <c r="BG56" s="162" t="n">
        <f aca="false">$C$31*BD56</f>
        <v>3393.13937572533</v>
      </c>
      <c r="BI56" s="161" t="s">
        <v>35</v>
      </c>
      <c r="BJ56" s="22" t="n">
        <v>13370.94</v>
      </c>
      <c r="BK56" s="162" t="n">
        <f aca="false">SUM(BJ54/2,BJ55:BJ57,BJ58/2)/4</f>
        <v>14260.91375</v>
      </c>
      <c r="BL56" s="163" t="n">
        <f aca="false">BK56/BJ56</f>
        <v>1.06656029792969</v>
      </c>
      <c r="BM56" s="162" t="n">
        <f aca="false">$C$31*BJ56</f>
        <v>13287.137653816</v>
      </c>
      <c r="BO56" s="161" t="s">
        <v>35</v>
      </c>
      <c r="BP56" s="22" t="n">
        <v>742.09</v>
      </c>
      <c r="BQ56" s="162" t="n">
        <f aca="false">SUM(BP54/2,BP55:BP57,BP58/2)/4</f>
        <v>766.02</v>
      </c>
      <c r="BR56" s="163" t="n">
        <f aca="false">BQ56/BP56</f>
        <v>1.03224676252207</v>
      </c>
      <c r="BS56" s="162" t="n">
        <f aca="false">$C$31*BP56</f>
        <v>737.438952049766</v>
      </c>
      <c r="BU56" s="161" t="s">
        <v>35</v>
      </c>
      <c r="BV56" s="22" t="n">
        <v>875.66</v>
      </c>
      <c r="BW56" s="162" t="n">
        <f aca="false">SUM(BV54/2,BV55:BV57,BV58/2)/4</f>
        <v>920.015</v>
      </c>
      <c r="BX56" s="163" t="n">
        <f aca="false">BW56/BV56</f>
        <v>1.05065322157002</v>
      </c>
      <c r="BY56" s="162" t="n">
        <f aca="false">$C$31*BV56</f>
        <v>870.171802277214</v>
      </c>
      <c r="CA56" s="161" t="s">
        <v>35</v>
      </c>
      <c r="CB56" s="22" t="n">
        <v>3101.87</v>
      </c>
      <c r="CC56" s="162" t="n">
        <f aca="false">SUM(CB54/2,CB55:CB57,CB58/2)/4</f>
        <v>3176.45375</v>
      </c>
      <c r="CD56" s="163" t="n">
        <f aca="false">CC56/CB56</f>
        <v>1.02404476976791</v>
      </c>
      <c r="CE56" s="162" t="n">
        <f aca="false">$C$31*CB56</f>
        <v>3082.42903447642</v>
      </c>
      <c r="CG56" s="161" t="s">
        <v>35</v>
      </c>
      <c r="CH56" s="22" t="n">
        <v>1527.52</v>
      </c>
      <c r="CI56" s="162" t="n">
        <f aca="false">SUM(CH54/2,CH55:CH57,CH58/2)/4</f>
        <v>1562.79625</v>
      </c>
      <c r="CJ56" s="163" t="n">
        <f aca="false">CI56/CH56</f>
        <v>1.02309380564575</v>
      </c>
      <c r="CK56" s="162" t="n">
        <f aca="false">$C$31*CH56</f>
        <v>1517.94627071522</v>
      </c>
    </row>
    <row r="57" customFormat="false" ht="12.8" hidden="false" customHeight="false" outlineLevel="0" collapsed="false">
      <c r="A57" s="158" t="s">
        <v>37</v>
      </c>
      <c r="B57" s="159" t="n">
        <v>5243.77</v>
      </c>
      <c r="C57" s="159"/>
      <c r="D57" s="159"/>
      <c r="E57" s="159" t="n">
        <f aca="false">B57*$C$28</f>
        <v>5274.84322487446</v>
      </c>
      <c r="G57" s="158" t="s">
        <v>37</v>
      </c>
      <c r="H57" s="160" t="n">
        <v>39566.85</v>
      </c>
      <c r="I57" s="159"/>
      <c r="J57" s="159"/>
      <c r="K57" s="159" t="n">
        <f aca="false">H57*$C$28</f>
        <v>39801.3129203081</v>
      </c>
      <c r="M57" s="158" t="s">
        <v>37</v>
      </c>
      <c r="N57" s="160" t="n">
        <v>2102.84</v>
      </c>
      <c r="O57" s="159"/>
      <c r="P57" s="159"/>
      <c r="Q57" s="159" t="n">
        <f aca="false">N57*$C$28</f>
        <v>2115.30088600282</v>
      </c>
      <c r="S57" s="158" t="s">
        <v>37</v>
      </c>
      <c r="T57" s="160" t="n">
        <v>7935.09</v>
      </c>
      <c r="U57" s="159"/>
      <c r="V57" s="159"/>
      <c r="W57" s="159" t="n">
        <f aca="false">T57*$C$28</f>
        <v>7982.11129116439</v>
      </c>
      <c r="Y57" s="158" t="s">
        <v>37</v>
      </c>
      <c r="Z57" s="160" t="n">
        <v>18492.49</v>
      </c>
      <c r="AA57" s="159"/>
      <c r="AB57" s="159"/>
      <c r="AC57" s="159" t="n">
        <f aca="false">Z57*$C$28</f>
        <v>18602.0717132061</v>
      </c>
      <c r="AE57" s="158" t="s">
        <v>37</v>
      </c>
      <c r="AF57" s="160" t="n">
        <v>8130.05</v>
      </c>
      <c r="AG57" s="159"/>
      <c r="AH57" s="159"/>
      <c r="AI57" s="159" t="n">
        <f aca="false">AF57*$C$28</f>
        <v>8178.22657370377</v>
      </c>
      <c r="AK57" s="158" t="s">
        <v>37</v>
      </c>
      <c r="AL57" s="160" t="n">
        <v>5042</v>
      </c>
      <c r="AM57" s="159"/>
      <c r="AN57" s="159"/>
      <c r="AO57" s="159" t="n">
        <f aca="false">AL57*$C$28</f>
        <v>5071.87758803629</v>
      </c>
      <c r="AQ57" s="158" t="s">
        <v>37</v>
      </c>
      <c r="AR57" s="160" t="n">
        <v>40369.44</v>
      </c>
      <c r="AS57" s="159"/>
      <c r="AT57" s="159"/>
      <c r="AU57" s="159" t="n">
        <f aca="false">AR57*$C$28</f>
        <v>40608.658861082</v>
      </c>
      <c r="AW57" s="158" t="s">
        <v>37</v>
      </c>
      <c r="AX57" s="160" t="n">
        <v>3332.53</v>
      </c>
      <c r="AY57" s="159"/>
      <c r="AZ57" s="159"/>
      <c r="BA57" s="159" t="n">
        <f aca="false">AX57*$C$28</f>
        <v>3352.27771091998</v>
      </c>
      <c r="BC57" s="158" t="s">
        <v>37</v>
      </c>
      <c r="BD57" s="160" t="n">
        <v>3537.48</v>
      </c>
      <c r="BE57" s="159"/>
      <c r="BF57" s="159"/>
      <c r="BG57" s="159" t="n">
        <f aca="false">BD57*$C$28</f>
        <v>3558.44219161575</v>
      </c>
      <c r="BI57" s="158" t="s">
        <v>37</v>
      </c>
      <c r="BJ57" s="160" t="n">
        <v>15935.62</v>
      </c>
      <c r="BK57" s="159"/>
      <c r="BL57" s="159"/>
      <c r="BM57" s="159" t="n">
        <f aca="false">BJ57*$C$28</f>
        <v>16030.0503628447</v>
      </c>
      <c r="BO57" s="158" t="s">
        <v>37</v>
      </c>
      <c r="BP57" s="160" t="n">
        <v>807.47</v>
      </c>
      <c r="BQ57" s="159"/>
      <c r="BR57" s="159"/>
      <c r="BS57" s="159" t="n">
        <f aca="false">BP57*$C$28</f>
        <v>812.254858391841</v>
      </c>
      <c r="BU57" s="158" t="s">
        <v>37</v>
      </c>
      <c r="BV57" s="160" t="n">
        <v>989.95</v>
      </c>
      <c r="BW57" s="159"/>
      <c r="BX57" s="159"/>
      <c r="BY57" s="159" t="n">
        <f aca="false">BV57*$C$28</f>
        <v>995.816187678802</v>
      </c>
      <c r="CA57" s="158" t="s">
        <v>37</v>
      </c>
      <c r="CB57" s="160" t="n">
        <v>3420.41</v>
      </c>
      <c r="CC57" s="159"/>
      <c r="CD57" s="159"/>
      <c r="CE57" s="159" t="n">
        <f aca="false">CB57*$C$28</f>
        <v>3440.67846507243</v>
      </c>
      <c r="CG57" s="158" t="s">
        <v>37</v>
      </c>
      <c r="CH57" s="160" t="n">
        <v>1713.17</v>
      </c>
      <c r="CI57" s="159"/>
      <c r="CJ57" s="159"/>
      <c r="CK57" s="159" t="n">
        <f aca="false">CH57*$C$28</f>
        <v>1723.32180235941</v>
      </c>
    </row>
    <row r="58" customFormat="false" ht="12.8" hidden="false" customHeight="false" outlineLevel="0" collapsed="false">
      <c r="A58" s="1" t="s">
        <v>40</v>
      </c>
      <c r="B58" s="53" t="n">
        <v>5460.48</v>
      </c>
      <c r="C58" s="53"/>
      <c r="D58" s="53"/>
      <c r="E58" s="53" t="n">
        <f aca="false">B58*$C$29</f>
        <v>5471.44162843144</v>
      </c>
      <c r="G58" s="1" t="s">
        <v>40</v>
      </c>
      <c r="H58" s="1" t="n">
        <v>39118.86</v>
      </c>
      <c r="I58" s="53"/>
      <c r="J58" s="53"/>
      <c r="K58" s="53" t="n">
        <f aca="false">H58*$C$29</f>
        <v>39197.3890685034</v>
      </c>
      <c r="M58" s="1" t="s">
        <v>40</v>
      </c>
      <c r="N58" s="1" t="n">
        <v>2047.69</v>
      </c>
      <c r="O58" s="53"/>
      <c r="P58" s="53"/>
      <c r="Q58" s="53" t="n">
        <f aca="false">N58*$C$29</f>
        <v>2051.80063073627</v>
      </c>
      <c r="S58" s="1" t="s">
        <v>40</v>
      </c>
      <c r="T58" s="1" t="n">
        <v>8164.12</v>
      </c>
      <c r="U58" s="53"/>
      <c r="V58" s="53"/>
      <c r="W58" s="53" t="n">
        <f aca="false">T58*$C$29</f>
        <v>8180.50904453632</v>
      </c>
      <c r="Y58" s="1" t="s">
        <v>40</v>
      </c>
      <c r="Z58" s="1" t="n">
        <v>18235.45</v>
      </c>
      <c r="AA58" s="53"/>
      <c r="AB58" s="53"/>
      <c r="AC58" s="53" t="n">
        <f aca="false">Z58*$C$29</f>
        <v>18272.0567135454</v>
      </c>
      <c r="AE58" s="1" t="s">
        <v>40</v>
      </c>
      <c r="AF58" s="1" t="n">
        <v>7479.4</v>
      </c>
      <c r="AG58" s="53"/>
      <c r="AH58" s="53"/>
      <c r="AI58" s="53" t="n">
        <f aca="false">AF58*$C$29</f>
        <v>7494.4145048952</v>
      </c>
      <c r="AK58" s="1" t="s">
        <v>40</v>
      </c>
      <c r="AL58" s="1" t="n">
        <v>4894.02</v>
      </c>
      <c r="AM58" s="53"/>
      <c r="AN58" s="53"/>
      <c r="AO58" s="53" t="n">
        <f aca="false">AL58*$C$29</f>
        <v>4903.8444895643</v>
      </c>
      <c r="AQ58" s="1" t="s">
        <v>40</v>
      </c>
      <c r="AR58" s="1" t="n">
        <v>39583.08</v>
      </c>
      <c r="AS58" s="53"/>
      <c r="AT58" s="53"/>
      <c r="AU58" s="53" t="n">
        <f aca="false">AR58*$C$29</f>
        <v>39662.54096591</v>
      </c>
      <c r="AW58" s="1" t="s">
        <v>40</v>
      </c>
      <c r="AX58" s="1" t="n">
        <v>3150.66</v>
      </c>
      <c r="AY58" s="53"/>
      <c r="AZ58" s="53"/>
      <c r="BA58" s="53" t="n">
        <f aca="false">AX58*$C$29</f>
        <v>3156.98478540967</v>
      </c>
      <c r="BC58" s="1" t="s">
        <v>40</v>
      </c>
      <c r="BD58" s="1" t="n">
        <v>3461.66</v>
      </c>
      <c r="BE58" s="53"/>
      <c r="BF58" s="53"/>
      <c r="BG58" s="53" t="n">
        <f aca="false">BD58*$C$29</f>
        <v>3468.60910166798</v>
      </c>
      <c r="BI58" s="1" t="s">
        <v>40</v>
      </c>
      <c r="BJ58" s="1" t="n">
        <v>18634.37</v>
      </c>
      <c r="BK58" s="53"/>
      <c r="BL58" s="53"/>
      <c r="BM58" s="53" t="n">
        <f aca="false">BJ58*$C$29</f>
        <v>18671.7775246121</v>
      </c>
      <c r="BO58" s="1" t="s">
        <v>40</v>
      </c>
      <c r="BP58" s="1" t="n">
        <v>847.68</v>
      </c>
      <c r="BQ58" s="53"/>
      <c r="BR58" s="53"/>
      <c r="BS58" s="53" t="n">
        <f aca="false">BP58*$C$29</f>
        <v>849.38167333069</v>
      </c>
      <c r="BU58" s="1" t="s">
        <v>40</v>
      </c>
      <c r="BV58" s="1" t="n">
        <v>985.72</v>
      </c>
      <c r="BW58" s="53"/>
      <c r="BX58" s="53"/>
      <c r="BY58" s="53" t="n">
        <f aca="false">BV58*$C$29</f>
        <v>987.698781421677</v>
      </c>
      <c r="CA58" s="1" t="s">
        <v>40</v>
      </c>
      <c r="CB58" s="1" t="n">
        <v>3401.83</v>
      </c>
      <c r="CC58" s="53"/>
      <c r="CD58" s="53"/>
      <c r="CE58" s="53" t="n">
        <f aca="false">CB58*$C$29</f>
        <v>3408.65899606755</v>
      </c>
      <c r="CG58" s="1" t="s">
        <v>40</v>
      </c>
      <c r="CH58" s="1" t="n">
        <v>1696.44</v>
      </c>
      <c r="CI58" s="53"/>
      <c r="CJ58" s="53"/>
      <c r="CK58" s="53" t="n">
        <f aca="false">CH58*$C$29</f>
        <v>1699.84551470498</v>
      </c>
    </row>
    <row r="59" customFormat="false" ht="12.8" hidden="false" customHeight="false" outlineLevel="0" collapsed="false">
      <c r="S59" s="1"/>
      <c r="Y59" s="1"/>
      <c r="AE59" s="1"/>
      <c r="AK59" s="1"/>
      <c r="AQ59" s="1"/>
      <c r="AW59" s="1"/>
      <c r="BC59" s="1"/>
      <c r="BI59" s="1"/>
      <c r="BO59" s="1"/>
      <c r="BU59" s="1"/>
      <c r="CA59" s="1"/>
      <c r="CG59" s="1"/>
    </row>
    <row r="60" customFormat="false" ht="12.8" hidden="false" customHeight="false" outlineLevel="0" collapsed="false">
      <c r="E60" s="1" t="s">
        <v>175</v>
      </c>
      <c r="K60" s="1" t="s">
        <v>175</v>
      </c>
      <c r="Q60" s="1" t="s">
        <v>175</v>
      </c>
      <c r="S60" s="1"/>
      <c r="W60" s="1" t="s">
        <v>175</v>
      </c>
      <c r="Y60" s="1"/>
      <c r="AC60" s="1" t="s">
        <v>175</v>
      </c>
      <c r="AE60" s="1"/>
      <c r="AI60" s="1" t="s">
        <v>175</v>
      </c>
      <c r="AK60" s="1"/>
      <c r="AO60" s="1" t="s">
        <v>175</v>
      </c>
      <c r="AQ60" s="1"/>
      <c r="AU60" s="1" t="s">
        <v>175</v>
      </c>
      <c r="AW60" s="1"/>
      <c r="BA60" s="1" t="s">
        <v>175</v>
      </c>
      <c r="BC60" s="1"/>
      <c r="BG60" s="1" t="s">
        <v>175</v>
      </c>
      <c r="BI60" s="1"/>
      <c r="BM60" s="1" t="s">
        <v>175</v>
      </c>
      <c r="BO60" s="1"/>
      <c r="BS60" s="1" t="s">
        <v>175</v>
      </c>
      <c r="BU60" s="1"/>
      <c r="BY60" s="1" t="s">
        <v>175</v>
      </c>
      <c r="CA60" s="1"/>
      <c r="CE60" s="1" t="s">
        <v>175</v>
      </c>
      <c r="CG60" s="1"/>
      <c r="CK60" s="1" t="s">
        <v>175</v>
      </c>
    </row>
    <row r="61" customFormat="false" ht="12.8" hidden="false" customHeight="false" outlineLevel="0" collapsed="false">
      <c r="A61" s="1" t="s">
        <v>151</v>
      </c>
      <c r="B61" s="1" t="n">
        <f aca="false">AVERAGE(D37,D41,D45,D49,D53)</f>
        <v>1.0176011219253</v>
      </c>
      <c r="C61" s="1" t="n">
        <f aca="false">B61/B$65</f>
        <v>1.01168749929379</v>
      </c>
      <c r="D61" s="117" t="n">
        <f aca="false">C61-1</f>
        <v>0.0116874992937901</v>
      </c>
      <c r="E61" s="117" t="n">
        <f aca="false">1-C61</f>
        <v>-0.0116874992937901</v>
      </c>
      <c r="G61" s="1" t="s">
        <v>151</v>
      </c>
      <c r="H61" s="1" t="n">
        <f aca="false">AVERAGE(J37,J41,J45,J49,J53)</f>
        <v>1.01890041233032</v>
      </c>
      <c r="I61" s="1" t="n">
        <f aca="false">H61/H$65</f>
        <v>1.0148021507254</v>
      </c>
      <c r="J61" s="117" t="n">
        <f aca="false">I61-1</f>
        <v>0.0148021507253966</v>
      </c>
      <c r="K61" s="117" t="n">
        <f aca="false">1-I61</f>
        <v>-0.0148021507253966</v>
      </c>
      <c r="M61" s="1" t="s">
        <v>151</v>
      </c>
      <c r="N61" s="1" t="n">
        <f aca="false">AVERAGE(P37,P41,P45,P49,P53)</f>
        <v>1.02690642025522</v>
      </c>
      <c r="O61" s="1" t="n">
        <f aca="false">N61/N$65</f>
        <v>1.01903062725278</v>
      </c>
      <c r="P61" s="117" t="n">
        <f aca="false">O61-1</f>
        <v>0.0190306272527836</v>
      </c>
      <c r="Q61" s="117" t="n">
        <f aca="false">1-O61</f>
        <v>-0.0190306272527836</v>
      </c>
      <c r="S61" s="1" t="s">
        <v>151</v>
      </c>
      <c r="T61" s="1" t="n">
        <f aca="false">AVERAGE(V37,V41,V45,V49,V53)</f>
        <v>1.01726300420544</v>
      </c>
      <c r="U61" s="1" t="n">
        <f aca="false">T61/T$65</f>
        <v>1.01492739921588</v>
      </c>
      <c r="V61" s="117" t="n">
        <f aca="false">U61-1</f>
        <v>0.0149273992158836</v>
      </c>
      <c r="W61" s="117" t="n">
        <f aca="false">1-U61</f>
        <v>-0.0149273992158836</v>
      </c>
      <c r="Y61" s="1" t="s">
        <v>151</v>
      </c>
      <c r="Z61" s="1" t="n">
        <f aca="false">AVERAGE(AB37,AB41,AB45,AB49,AB53)</f>
        <v>1.02393178494003</v>
      </c>
      <c r="AA61" s="1" t="n">
        <f aca="false">Z61/Z$65</f>
        <v>1.01706478973117</v>
      </c>
      <c r="AB61" s="117" t="n">
        <f aca="false">AA61-1</f>
        <v>0.0170647897311675</v>
      </c>
      <c r="AC61" s="117" t="n">
        <f aca="false">1-AA61</f>
        <v>-0.0170647897311675</v>
      </c>
      <c r="AE61" s="1" t="s">
        <v>151</v>
      </c>
      <c r="AF61" s="1" t="n">
        <f aca="false">AVERAGE(AH37,AH41,AH45,AH49,AH53)</f>
        <v>1.01177652861097</v>
      </c>
      <c r="AG61" s="1" t="n">
        <f aca="false">AF61/AF$65</f>
        <v>1.00734350099957</v>
      </c>
      <c r="AH61" s="117" t="n">
        <f aca="false">AG61-1</f>
        <v>0.00734350099956882</v>
      </c>
      <c r="AI61" s="117" t="n">
        <f aca="false">1-AG61</f>
        <v>-0.00734350099956882</v>
      </c>
      <c r="AK61" s="1" t="s">
        <v>151</v>
      </c>
      <c r="AL61" s="1" t="n">
        <f aca="false">AVERAGE(AN37,AN41,AN45,AN49,AN53)</f>
        <v>1.01352390861466</v>
      </c>
      <c r="AM61" s="1" t="n">
        <f aca="false">AL61/AL$65</f>
        <v>1.00742999244379</v>
      </c>
      <c r="AN61" s="117" t="n">
        <f aca="false">AM61-1</f>
        <v>0.00742999244379483</v>
      </c>
      <c r="AO61" s="117" t="n">
        <f aca="false">1-AM61</f>
        <v>-0.00742999244379483</v>
      </c>
      <c r="AQ61" s="1" t="s">
        <v>151</v>
      </c>
      <c r="AR61" s="1" t="n">
        <f aca="false">AVERAGE(AT37,AT41,AT45,AT49,AT53)</f>
        <v>1.03137213414767</v>
      </c>
      <c r="AS61" s="1" t="n">
        <f aca="false">AR61/AR$65</f>
        <v>1.02213169498789</v>
      </c>
      <c r="AT61" s="117" t="n">
        <f aca="false">AS61-1</f>
        <v>0.0221316949878907</v>
      </c>
      <c r="AU61" s="117" t="n">
        <f aca="false">1-AS61</f>
        <v>-0.0221316949878907</v>
      </c>
      <c r="AW61" s="1" t="s">
        <v>151</v>
      </c>
      <c r="AX61" s="1" t="n">
        <f aca="false">AVERAGE(AZ37,AZ41,AZ45,AZ49,AZ53)</f>
        <v>1.0467132427199</v>
      </c>
      <c r="AY61" s="1" t="n">
        <f aca="false">AX61/AX$65</f>
        <v>1.03640400296246</v>
      </c>
      <c r="AZ61" s="117" t="n">
        <f aca="false">AY61-1</f>
        <v>0.0364040029624639</v>
      </c>
      <c r="BA61" s="117" t="n">
        <f aca="false">1-AY61</f>
        <v>-0.0364040029624639</v>
      </c>
      <c r="BC61" s="1" t="s">
        <v>151</v>
      </c>
      <c r="BD61" s="1" t="n">
        <f aca="false">AVERAGE(BF37,BF41,BF45,BF49,BF53)</f>
        <v>1.01234758147111</v>
      </c>
      <c r="BE61" s="1" t="n">
        <f aca="false">BD61/BD$65</f>
        <v>1.01348620052983</v>
      </c>
      <c r="BF61" s="117" t="n">
        <f aca="false">BE61-1</f>
        <v>0.0134862005298291</v>
      </c>
      <c r="BG61" s="117" t="n">
        <f aca="false">1-BE61</f>
        <v>-0.0134862005298291</v>
      </c>
      <c r="BI61" s="1" t="s">
        <v>151</v>
      </c>
      <c r="BJ61" s="1" t="n">
        <f aca="false">AVERAGE(BL37,BL41,BL45,BL49,BL53)</f>
        <v>0.997937029136091</v>
      </c>
      <c r="BK61" s="1" t="n">
        <f aca="false">BJ61/BJ$65</f>
        <v>0.985777443355184</v>
      </c>
      <c r="BL61" s="117" t="n">
        <f aca="false">BK61-1</f>
        <v>-0.0142225566448165</v>
      </c>
      <c r="BM61" s="117" t="n">
        <f aca="false">1-BK61</f>
        <v>0.0142225566448165</v>
      </c>
      <c r="BO61" s="1" t="s">
        <v>151</v>
      </c>
      <c r="BP61" s="1" t="n">
        <f aca="false">AVERAGE(BR37,BR41,BR45,BR49,BR53)</f>
        <v>1.0422491458665</v>
      </c>
      <c r="BQ61" s="1" t="n">
        <f aca="false">BP61/BP$65</f>
        <v>1.03429384184305</v>
      </c>
      <c r="BR61" s="117" t="n">
        <f aca="false">BQ61-1</f>
        <v>0.0342938418430518</v>
      </c>
      <c r="BS61" s="117" t="n">
        <f aca="false">1-BQ61</f>
        <v>-0.0342938418430518</v>
      </c>
      <c r="BU61" s="1" t="s">
        <v>151</v>
      </c>
      <c r="BV61" s="1" t="n">
        <f aca="false">AVERAGE(BX37,BX41,BX45,BX49,BX53)</f>
        <v>1.01474863216632</v>
      </c>
      <c r="BW61" s="1" t="n">
        <f aca="false">BV61/BV$65</f>
        <v>1.00925263911229</v>
      </c>
      <c r="BX61" s="117" t="n">
        <f aca="false">BW61-1</f>
        <v>0.00925263911229202</v>
      </c>
      <c r="BY61" s="117" t="n">
        <f aca="false">1-BW61</f>
        <v>-0.00925263911229202</v>
      </c>
      <c r="CA61" s="1" t="s">
        <v>151</v>
      </c>
      <c r="CB61" s="1" t="n">
        <f aca="false">AVERAGE(CD37,CD41,CD45,CD49,CD53)</f>
        <v>1.05055903979121</v>
      </c>
      <c r="CC61" s="1" t="n">
        <f aca="false">CB61/CB$65</f>
        <v>1.03938967602078</v>
      </c>
      <c r="CD61" s="117" t="n">
        <f aca="false">CC61-1</f>
        <v>0.0393896760207793</v>
      </c>
      <c r="CE61" s="117" t="n">
        <f aca="false">1-CC61</f>
        <v>-0.0393896760207793</v>
      </c>
      <c r="CG61" s="1" t="s">
        <v>151</v>
      </c>
      <c r="CH61" s="1" t="n">
        <f aca="false">AVERAGE(CJ37,CJ41,CJ45,CJ49,CJ53)</f>
        <v>1.02393459123248</v>
      </c>
      <c r="CI61" s="1" t="n">
        <f aca="false">CH61/CH$65</f>
        <v>1.01816727290487</v>
      </c>
      <c r="CJ61" s="117" t="n">
        <f aca="false">CI61-1</f>
        <v>0.0181672729048727</v>
      </c>
      <c r="CK61" s="117" t="n">
        <f aca="false">1-CI61</f>
        <v>-0.0181672729048727</v>
      </c>
    </row>
    <row r="62" customFormat="false" ht="12.8" hidden="false" customHeight="false" outlineLevel="0" collapsed="false">
      <c r="A62" s="1" t="s">
        <v>152</v>
      </c>
      <c r="B62" s="1" t="n">
        <f aca="false">AVERAGE(D38,D42,D46,D50,D54)</f>
        <v>1.00213275330182</v>
      </c>
      <c r="C62" s="1" t="n">
        <f aca="false">B62/B$65</f>
        <v>0.996309022566844</v>
      </c>
      <c r="D62" s="117" t="n">
        <f aca="false">C62-1</f>
        <v>-0.00369097743315627</v>
      </c>
      <c r="E62" s="117" t="n">
        <f aca="false">1-C62</f>
        <v>0.00369097743315627</v>
      </c>
      <c r="G62" s="1" t="s">
        <v>152</v>
      </c>
      <c r="H62" s="1" t="n">
        <f aca="false">AVERAGE(J38,J42,J46,J50,J54)</f>
        <v>1.00444040647002</v>
      </c>
      <c r="I62" s="1" t="n">
        <f aca="false">H62/H$65</f>
        <v>1.00040030647355</v>
      </c>
      <c r="J62" s="117" t="n">
        <f aca="false">I62-1</f>
        <v>0.000400306473546275</v>
      </c>
      <c r="K62" s="117" t="n">
        <f aca="false">1-I62</f>
        <v>-0.000400306473546275</v>
      </c>
      <c r="M62" s="1" t="s">
        <v>152</v>
      </c>
      <c r="N62" s="1" t="n">
        <f aca="false">AVERAGE(P38,P42,P46,P50,P54)</f>
        <v>1.0063895927686</v>
      </c>
      <c r="O62" s="1" t="n">
        <f aca="false">N62/N$65</f>
        <v>0.998671152260185</v>
      </c>
      <c r="P62" s="117" t="n">
        <f aca="false">O62-1</f>
        <v>-0.00132884773981534</v>
      </c>
      <c r="Q62" s="117" t="n">
        <f aca="false">1-O62</f>
        <v>0.00132884773981534</v>
      </c>
      <c r="S62" s="1" t="s">
        <v>152</v>
      </c>
      <c r="T62" s="1" t="n">
        <f aca="false">AVERAGE(V38,V42,V46,V50,V54)</f>
        <v>0.999811667629832</v>
      </c>
      <c r="U62" s="1" t="n">
        <f aca="false">T62/T$65</f>
        <v>0.997516130379504</v>
      </c>
      <c r="V62" s="117" t="n">
        <f aca="false">U62-1</f>
        <v>-0.00248386962049607</v>
      </c>
      <c r="W62" s="117" t="n">
        <f aca="false">1-U62</f>
        <v>0.00248386962049607</v>
      </c>
      <c r="Y62" s="1" t="s">
        <v>152</v>
      </c>
      <c r="Z62" s="1" t="n">
        <f aca="false">AVERAGE(AB38,AB42,AB46,AB50,AB54)</f>
        <v>0.993668641202641</v>
      </c>
      <c r="AA62" s="1" t="n">
        <f aca="false">Z62/Z$65</f>
        <v>0.987004605669515</v>
      </c>
      <c r="AB62" s="117" t="n">
        <f aca="false">AA62-1</f>
        <v>-0.012995394330485</v>
      </c>
      <c r="AC62" s="117" t="n">
        <f aca="false">1-AA62</f>
        <v>0.012995394330485</v>
      </c>
      <c r="AE62" s="1" t="s">
        <v>152</v>
      </c>
      <c r="AF62" s="1" t="n">
        <f aca="false">AVERAGE(AH38,AH42,AH46,AH50,AH54)</f>
        <v>1.00353176540758</v>
      </c>
      <c r="AG62" s="1" t="n">
        <f aca="false">AF62/AF$65</f>
        <v>0.999134861645564</v>
      </c>
      <c r="AH62" s="117" t="n">
        <f aca="false">AG62-1</f>
        <v>-0.000865138354436468</v>
      </c>
      <c r="AI62" s="117" t="n">
        <f aca="false">1-AG62</f>
        <v>0.000865138354436468</v>
      </c>
      <c r="AK62" s="1" t="s">
        <v>152</v>
      </c>
      <c r="AL62" s="1" t="n">
        <f aca="false">AVERAGE(AN38,AN42,AN46,AN50,AN54)</f>
        <v>1.00116190095042</v>
      </c>
      <c r="AM62" s="1" t="n">
        <f aca="false">AL62/AL$65</f>
        <v>0.995142312615106</v>
      </c>
      <c r="AN62" s="117" t="n">
        <f aca="false">AM62-1</f>
        <v>-0.00485768738489356</v>
      </c>
      <c r="AO62" s="117" t="n">
        <f aca="false">1-AM62</f>
        <v>0.00485768738489356</v>
      </c>
      <c r="AQ62" s="1" t="s">
        <v>152</v>
      </c>
      <c r="AR62" s="1" t="n">
        <f aca="false">AVERAGE(AT38,AT42,AT46,AT50,AT54)</f>
        <v>0.993212305235956</v>
      </c>
      <c r="AS62" s="1" t="n">
        <f aca="false">AR62/AR$65</f>
        <v>0.984313753902825</v>
      </c>
      <c r="AT62" s="117" t="n">
        <f aca="false">AS62-1</f>
        <v>-0.0156862460971746</v>
      </c>
      <c r="AU62" s="117" t="n">
        <f aca="false">1-AS62</f>
        <v>0.0156862460971746</v>
      </c>
      <c r="AW62" s="1" t="s">
        <v>152</v>
      </c>
      <c r="AX62" s="1" t="n">
        <f aca="false">AVERAGE(AZ38,AZ42,AZ46,AZ50,AZ54)</f>
        <v>1.01523859773158</v>
      </c>
      <c r="AY62" s="1" t="n">
        <f aca="false">AX62/AX$65</f>
        <v>1.0052393565948</v>
      </c>
      <c r="AZ62" s="117" t="n">
        <f aca="false">AY62-1</f>
        <v>0.00523935659480168</v>
      </c>
      <c r="BA62" s="117" t="n">
        <f aca="false">1-AY62</f>
        <v>-0.00523935659480168</v>
      </c>
      <c r="BC62" s="1" t="s">
        <v>152</v>
      </c>
      <c r="BD62" s="1" t="n">
        <f aca="false">AVERAGE(BF38,BF42,BF46,BF50,BF54)</f>
        <v>0.978862261380881</v>
      </c>
      <c r="BE62" s="1" t="n">
        <f aca="false">BD62/BD$65</f>
        <v>0.979963218450437</v>
      </c>
      <c r="BF62" s="117" t="n">
        <f aca="false">BE62-1</f>
        <v>-0.0200367815495629</v>
      </c>
      <c r="BG62" s="117" t="n">
        <f aca="false">1-BE62</f>
        <v>0.0200367815495629</v>
      </c>
      <c r="BI62" s="1" t="s">
        <v>152</v>
      </c>
      <c r="BJ62" s="1" t="n">
        <f aca="false">AVERAGE(BL38,BL42,BL46,BL50,BL54)</f>
        <v>1.00834456217379</v>
      </c>
      <c r="BK62" s="1" t="n">
        <f aca="false">BJ62/BJ$65</f>
        <v>0.996058163490822</v>
      </c>
      <c r="BL62" s="117" t="n">
        <f aca="false">BK62-1</f>
        <v>-0.00394183650917845</v>
      </c>
      <c r="BM62" s="117" t="n">
        <f aca="false">1-BK62</f>
        <v>0.00394183650917845</v>
      </c>
      <c r="BO62" s="1" t="s">
        <v>152</v>
      </c>
      <c r="BP62" s="1" t="n">
        <f aca="false">AVERAGE(BR38,BR42,BR46,BR50,BR54)</f>
        <v>0.9940140360438</v>
      </c>
      <c r="BQ62" s="1" t="n">
        <f aca="false">BP62/BP$65</f>
        <v>0.986426902111701</v>
      </c>
      <c r="BR62" s="117" t="n">
        <f aca="false">BQ62-1</f>
        <v>-0.0135730978882993</v>
      </c>
      <c r="BS62" s="117" t="n">
        <f aca="false">1-BQ62</f>
        <v>0.0135730978882993</v>
      </c>
      <c r="BU62" s="1" t="s">
        <v>152</v>
      </c>
      <c r="BV62" s="1" t="n">
        <f aca="false">AVERAGE(BX38,BX42,BX46,BX50,BX54)</f>
        <v>1.01153471414868</v>
      </c>
      <c r="BW62" s="1" t="n">
        <f aca="false">BV62/BV$65</f>
        <v>1.00605612803716</v>
      </c>
      <c r="BX62" s="117" t="n">
        <f aca="false">BW62-1</f>
        <v>0.00605612803716227</v>
      </c>
      <c r="BY62" s="117" t="n">
        <f aca="false">1-BW62</f>
        <v>-0.00605612803716227</v>
      </c>
      <c r="CA62" s="1" t="s">
        <v>152</v>
      </c>
      <c r="CB62" s="1" t="n">
        <f aca="false">AVERAGE(CD38,CD42,CD46,CD50,CD54)</f>
        <v>0.981857351921151</v>
      </c>
      <c r="CC62" s="1" t="n">
        <f aca="false">CB62/CB$65</f>
        <v>0.971418412728869</v>
      </c>
      <c r="CD62" s="117" t="n">
        <f aca="false">CC62-1</f>
        <v>-0.028581587271131</v>
      </c>
      <c r="CE62" s="117" t="n">
        <f aca="false">1-CC62</f>
        <v>0.028581587271131</v>
      </c>
      <c r="CG62" s="1" t="s">
        <v>152</v>
      </c>
      <c r="CH62" s="1" t="n">
        <f aca="false">AVERAGE(CJ38,CJ42,CJ46,CJ50,CJ54)</f>
        <v>0.99865539933572</v>
      </c>
      <c r="CI62" s="1" t="n">
        <f aca="false">CH62/CH$65</f>
        <v>0.993030466222932</v>
      </c>
      <c r="CJ62" s="117" t="n">
        <f aca="false">CI62-1</f>
        <v>-0.00696953377706766</v>
      </c>
      <c r="CK62" s="117" t="n">
        <f aca="false">1-CI62</f>
        <v>0.00696953377706766</v>
      </c>
    </row>
    <row r="63" customFormat="false" ht="12.8" hidden="false" customHeight="false" outlineLevel="0" collapsed="false">
      <c r="A63" s="1" t="s">
        <v>153</v>
      </c>
      <c r="B63" s="1" t="n">
        <f aca="false">AVERAGE(D39,D43,D47,D51,D55)</f>
        <v>1.03296240832561</v>
      </c>
      <c r="C63" s="1" t="n">
        <f aca="false">B63/B$65</f>
        <v>1.02695951608841</v>
      </c>
      <c r="D63" s="117" t="n">
        <f aca="false">C63-1</f>
        <v>0.0269595160884075</v>
      </c>
      <c r="E63" s="117" t="n">
        <f aca="false">1-C63</f>
        <v>-0.0269595160884075</v>
      </c>
      <c r="G63" s="1" t="s">
        <v>153</v>
      </c>
      <c r="H63" s="1" t="n">
        <f aca="false">AVERAGE(J39,J43,J47,J51,J55)</f>
        <v>1.0345274983984</v>
      </c>
      <c r="I63" s="1" t="n">
        <f aca="false">H63/H$65</f>
        <v>1.03036638090879</v>
      </c>
      <c r="J63" s="117" t="n">
        <f aca="false">I63-1</f>
        <v>0.0303663809087871</v>
      </c>
      <c r="K63" s="117" t="n">
        <f aca="false">1-I63</f>
        <v>-0.0303663809087871</v>
      </c>
      <c r="M63" s="1" t="s">
        <v>153</v>
      </c>
      <c r="N63" s="1" t="n">
        <f aca="false">AVERAGE(P39,P43,P47,P51,P55)</f>
        <v>1.04946670803682</v>
      </c>
      <c r="O63" s="1" t="n">
        <f aca="false">N63/N$65</f>
        <v>1.04141789035255</v>
      </c>
      <c r="P63" s="117" t="n">
        <f aca="false">O63-1</f>
        <v>0.0414178903525504</v>
      </c>
      <c r="Q63" s="117" t="n">
        <f aca="false">1-O63</f>
        <v>-0.0414178903525504</v>
      </c>
      <c r="S63" s="1" t="s">
        <v>153</v>
      </c>
      <c r="T63" s="1" t="n">
        <f aca="false">AVERAGE(V39,V43,V47,V51,V55)</f>
        <v>1.02119000382502</v>
      </c>
      <c r="U63" s="1" t="n">
        <f aca="false">T63/T$65</f>
        <v>1.01884538256349</v>
      </c>
      <c r="V63" s="117" t="n">
        <f aca="false">U63-1</f>
        <v>0.0188453825634938</v>
      </c>
      <c r="W63" s="117" t="n">
        <f aca="false">1-U63</f>
        <v>-0.0188453825634938</v>
      </c>
      <c r="Y63" s="1" t="s">
        <v>153</v>
      </c>
      <c r="Z63" s="1" t="n">
        <f aca="false">AVERAGE(AB39,AB43,AB47,AB51,AB55)</f>
        <v>1.03447016870063</v>
      </c>
      <c r="AA63" s="1" t="n">
        <f aca="false">Z63/Z$65</f>
        <v>1.02753249785511</v>
      </c>
      <c r="AB63" s="117" t="n">
        <f aca="false">AA63-1</f>
        <v>0.027532497855113</v>
      </c>
      <c r="AC63" s="117" t="n">
        <f aca="false">1-AA63</f>
        <v>-0.027532497855113</v>
      </c>
      <c r="AE63" s="1" t="s">
        <v>153</v>
      </c>
      <c r="AF63" s="1" t="n">
        <f aca="false">AVERAGE(AH39,AH43,AH47,AH51,AH55)</f>
        <v>1.04010964417558</v>
      </c>
      <c r="AG63" s="1" t="n">
        <f aca="false">AF63/AF$65</f>
        <v>1.03555247701354</v>
      </c>
      <c r="AH63" s="117" t="n">
        <f aca="false">AG63-1</f>
        <v>0.0355524770135394</v>
      </c>
      <c r="AI63" s="117" t="n">
        <f aca="false">1-AG63</f>
        <v>-0.0355524770135394</v>
      </c>
      <c r="AK63" s="1" t="s">
        <v>153</v>
      </c>
      <c r="AL63" s="1" t="n">
        <f aca="false">AVERAGE(AN39,AN43,AN47,AN51,AN55)</f>
        <v>1.03967817764144</v>
      </c>
      <c r="AM63" s="1" t="n">
        <f aca="false">AL63/AL$65</f>
        <v>1.03342700625281</v>
      </c>
      <c r="AN63" s="117" t="n">
        <f aca="false">AM63-1</f>
        <v>0.0334270062528088</v>
      </c>
      <c r="AO63" s="117" t="n">
        <f aca="false">1-AM63</f>
        <v>-0.0334270062528088</v>
      </c>
      <c r="AQ63" s="1" t="s">
        <v>153</v>
      </c>
      <c r="AR63" s="1" t="n">
        <f aca="false">AVERAGE(AT39,AT43,AT47,AT51,AT55)</f>
        <v>1.01782784411146</v>
      </c>
      <c r="AS63" s="1" t="n">
        <f aca="false">AR63/AR$65</f>
        <v>1.00870875318662</v>
      </c>
      <c r="AT63" s="117" t="n">
        <f aca="false">AS63-1</f>
        <v>0.00870875318662057</v>
      </c>
      <c r="AU63" s="117" t="n">
        <f aca="false">1-AS63</f>
        <v>-0.00870875318662057</v>
      </c>
      <c r="AW63" s="1" t="s">
        <v>153</v>
      </c>
      <c r="AX63" s="1" t="n">
        <f aca="false">AVERAGE(AZ39,AZ43,AZ47,AZ51,AZ55)</f>
        <v>1.00543343130162</v>
      </c>
      <c r="AY63" s="1" t="n">
        <f aca="false">AX63/AX$65</f>
        <v>0.995530762757473</v>
      </c>
      <c r="AZ63" s="117" t="n">
        <f aca="false">AY63-1</f>
        <v>-0.00446923724252657</v>
      </c>
      <c r="BA63" s="117" t="n">
        <f aca="false">1-AY63</f>
        <v>0.00446923724252657</v>
      </c>
      <c r="BC63" s="1" t="s">
        <v>153</v>
      </c>
      <c r="BD63" s="1" t="n">
        <f aca="false">AVERAGE(BF39,BF43,BF47,BF51,BF55)</f>
        <v>1.01657503389732</v>
      </c>
      <c r="BE63" s="1" t="n">
        <f aca="false">BD63/BD$65</f>
        <v>1.0177184077043</v>
      </c>
      <c r="BF63" s="117" t="n">
        <f aca="false">BE63-1</f>
        <v>0.017718407704298</v>
      </c>
      <c r="BG63" s="117" t="n">
        <f aca="false">1-BE63</f>
        <v>-0.017718407704298</v>
      </c>
      <c r="BI63" s="1" t="s">
        <v>153</v>
      </c>
      <c r="BJ63" s="1" t="n">
        <f aca="false">AVERAGE(BL39,BL43,BL47,BL51,BL55)</f>
        <v>1.0547708016863</v>
      </c>
      <c r="BK63" s="1" t="n">
        <f aca="false">BJ63/BJ$65</f>
        <v>1.04191871215777</v>
      </c>
      <c r="BL63" s="117" t="n">
        <f aca="false">BK63-1</f>
        <v>0.0419187121577651</v>
      </c>
      <c r="BM63" s="117" t="n">
        <f aca="false">1-BK63</f>
        <v>-0.0419187121577651</v>
      </c>
      <c r="BO63" s="1" t="s">
        <v>153</v>
      </c>
      <c r="BP63" s="1" t="n">
        <f aca="false">AVERAGE(BR39,BR43,BR47,BR51,BR55)</f>
        <v>1.00081080207364</v>
      </c>
      <c r="BQ63" s="1" t="n">
        <f aca="false">BP63/BP$65</f>
        <v>0.993171789624438</v>
      </c>
      <c r="BR63" s="117" t="n">
        <f aca="false">BQ63-1</f>
        <v>-0.00682821037556236</v>
      </c>
      <c r="BS63" s="117" t="n">
        <f aca="false">1-BQ63</f>
        <v>0.00682821037556236</v>
      </c>
      <c r="BU63" s="1" t="s">
        <v>153</v>
      </c>
      <c r="BV63" s="1" t="n">
        <f aca="false">AVERAGE(BX39,BX43,BX47,BX51,BX55)</f>
        <v>1.00259957707483</v>
      </c>
      <c r="BW63" s="1" t="n">
        <f aca="false">BV63/BV$65</f>
        <v>0.997169384673578</v>
      </c>
      <c r="BX63" s="117" t="n">
        <f aca="false">BW63-1</f>
        <v>-0.0028306153264217</v>
      </c>
      <c r="BY63" s="117" t="n">
        <f aca="false">1-BW63</f>
        <v>0.0028306153264217</v>
      </c>
      <c r="CA63" s="1" t="s">
        <v>153</v>
      </c>
      <c r="CB63" s="1" t="n">
        <f aca="false">AVERAGE(CD39,CD43,CD47,CD51,CD55)</f>
        <v>1.04605830843953</v>
      </c>
      <c r="CC63" s="1" t="n">
        <f aca="false">CB63/CB$65</f>
        <v>1.03493679567394</v>
      </c>
      <c r="CD63" s="117" t="n">
        <f aca="false">CC63-1</f>
        <v>0.0349367956739413</v>
      </c>
      <c r="CE63" s="117" t="n">
        <f aca="false">1-CC63</f>
        <v>-0.0349367956739413</v>
      </c>
      <c r="CG63" s="1" t="s">
        <v>153</v>
      </c>
      <c r="CH63" s="1" t="n">
        <f aca="false">AVERAGE(CJ39,CJ43,CJ47,CJ51,CJ55)</f>
        <v>1.00749011498603</v>
      </c>
      <c r="CI63" s="1" t="n">
        <f aca="false">CH63/CH$65</f>
        <v>1.00181542027917</v>
      </c>
      <c r="CJ63" s="117" t="n">
        <f aca="false">CI63-1</f>
        <v>0.00181542027917025</v>
      </c>
      <c r="CK63" s="117" t="n">
        <f aca="false">1-CI63</f>
        <v>-0.00181542027917025</v>
      </c>
    </row>
    <row r="64" customFormat="false" ht="12.8" hidden="false" customHeight="false" outlineLevel="0" collapsed="false">
      <c r="A64" s="1" t="s">
        <v>154</v>
      </c>
      <c r="B64" s="1" t="n">
        <f aca="false">AVERAGE(D40,D44,D48,D52,D56)</f>
        <v>0.970684938951796</v>
      </c>
      <c r="C64" s="1" t="n">
        <f aca="false">B64/B$65</f>
        <v>0.965043962050959</v>
      </c>
      <c r="D64" s="117" t="n">
        <f aca="false">C64-1</f>
        <v>-0.0349560379490415</v>
      </c>
      <c r="E64" s="117" t="n">
        <f aca="false">1-C64</f>
        <v>0.0349560379490415</v>
      </c>
      <c r="G64" s="1" t="s">
        <v>154</v>
      </c>
      <c r="H64" s="1" t="n">
        <f aca="false">AVERAGE(J40,J44,J48,J52,J56)</f>
        <v>0.958285616263033</v>
      </c>
      <c r="I64" s="1" t="n">
        <f aca="false">H64/H$65</f>
        <v>0.95443116189227</v>
      </c>
      <c r="J64" s="117" t="n">
        <f aca="false">I64-1</f>
        <v>-0.0455688381077298</v>
      </c>
      <c r="K64" s="117" t="n">
        <f aca="false">1-I64</f>
        <v>0.0455688381077298</v>
      </c>
      <c r="M64" s="1" t="s">
        <v>154</v>
      </c>
      <c r="N64" s="1" t="n">
        <f aca="false">AVERAGE(P40,P44,P48,P52,P56)</f>
        <v>0.948152122092468</v>
      </c>
      <c r="O64" s="1" t="n">
        <f aca="false">N64/N$65</f>
        <v>0.940880330134481</v>
      </c>
      <c r="P64" s="117" t="n">
        <f aca="false">O64-1</f>
        <v>-0.0591196698655191</v>
      </c>
      <c r="Q64" s="117" t="n">
        <f aca="false">1-O64</f>
        <v>0.0591196698655191</v>
      </c>
      <c r="S64" s="1" t="s">
        <v>154</v>
      </c>
      <c r="T64" s="1" t="n">
        <f aca="false">AVERAGE(V40,V44,V48,V52,V56)</f>
        <v>0.970940337393303</v>
      </c>
      <c r="U64" s="1" t="n">
        <f aca="false">T64/T$65</f>
        <v>0.968711087841119</v>
      </c>
      <c r="V64" s="117" t="n">
        <f aca="false">U64-1</f>
        <v>-0.031288912158881</v>
      </c>
      <c r="W64" s="117" t="n">
        <f aca="false">1-U64</f>
        <v>0.031288912158881</v>
      </c>
      <c r="Y64" s="1" t="s">
        <v>154</v>
      </c>
      <c r="Z64" s="1" t="n">
        <f aca="false">AVERAGE(AB40,AB44,AB48,AB52,AB56)</f>
        <v>0.9749365153357</v>
      </c>
      <c r="AA64" s="1" t="n">
        <f aca="false">Z64/Z$65</f>
        <v>0.968398106744205</v>
      </c>
      <c r="AB64" s="117" t="n">
        <f aca="false">AA64-1</f>
        <v>-0.0316018932557955</v>
      </c>
      <c r="AC64" s="117" t="n">
        <f aca="false">1-AA64</f>
        <v>0.0316018932557955</v>
      </c>
      <c r="AE64" s="1" t="s">
        <v>154</v>
      </c>
      <c r="AF64" s="1" t="n">
        <f aca="false">AVERAGE(AH40,AH44,AH48,AH52,AH56)</f>
        <v>0.962184905749374</v>
      </c>
      <c r="AG64" s="1" t="n">
        <f aca="false">AF64/AF$65</f>
        <v>0.957969160341329</v>
      </c>
      <c r="AH64" s="117" t="n">
        <f aca="false">AG64-1</f>
        <v>-0.0420308396586715</v>
      </c>
      <c r="AI64" s="117" t="n">
        <f aca="false">1-AG64</f>
        <v>0.0420308396586715</v>
      </c>
      <c r="AK64" s="1" t="s">
        <v>154</v>
      </c>
      <c r="AL64" s="1" t="n">
        <f aca="false">AVERAGE(AN40,AN44,AN48,AN52,AN56)</f>
        <v>0.969831902201477</v>
      </c>
      <c r="AM64" s="1" t="n">
        <f aca="false">AL64/AL$65</f>
        <v>0.96400068868829</v>
      </c>
      <c r="AN64" s="117" t="n">
        <f aca="false">AM64-1</f>
        <v>-0.0359993113117098</v>
      </c>
      <c r="AO64" s="117" t="n">
        <f aca="false">1-AM64</f>
        <v>0.0359993113117098</v>
      </c>
      <c r="AQ64" s="1" t="s">
        <v>154</v>
      </c>
      <c r="AR64" s="1" t="n">
        <f aca="false">AVERAGE(AT40,AT44,AT48,AT52,AT56)</f>
        <v>0.993749159125618</v>
      </c>
      <c r="AS64" s="1" t="n">
        <f aca="false">AR64/AR$65</f>
        <v>0.984845797922664</v>
      </c>
      <c r="AT64" s="117" t="n">
        <f aca="false">AS64-1</f>
        <v>-0.0151542020773364</v>
      </c>
      <c r="AU64" s="117" t="n">
        <f aca="false">1-AS64</f>
        <v>0.0151542020773364</v>
      </c>
      <c r="AW64" s="1" t="s">
        <v>154</v>
      </c>
      <c r="AX64" s="1" t="n">
        <f aca="false">AVERAGE(AZ40,AZ44,AZ48,AZ52,AZ56)</f>
        <v>0.972403226662443</v>
      </c>
      <c r="AY64" s="1" t="n">
        <f aca="false">AX64/AX$65</f>
        <v>0.962825877685261</v>
      </c>
      <c r="AZ64" s="117" t="n">
        <f aca="false">AY64-1</f>
        <v>-0.0371741223147387</v>
      </c>
      <c r="BA64" s="117" t="n">
        <f aca="false">1-AY64</f>
        <v>0.0371741223147387</v>
      </c>
      <c r="BC64" s="1" t="s">
        <v>154</v>
      </c>
      <c r="BD64" s="1" t="n">
        <f aca="false">AVERAGE(BF40,BF44,BF48,BF52,BF56)</f>
        <v>0.987721252261136</v>
      </c>
      <c r="BE64" s="1" t="n">
        <f aca="false">BD64/BD$65</f>
        <v>0.988832173315436</v>
      </c>
      <c r="BF64" s="117" t="n">
        <f aca="false">BE64-1</f>
        <v>-0.0111678266845644</v>
      </c>
      <c r="BG64" s="117" t="n">
        <f aca="false">1-BE64</f>
        <v>0.0111678266845644</v>
      </c>
      <c r="BI64" s="1" t="s">
        <v>154</v>
      </c>
      <c r="BJ64" s="1" t="n">
        <f aca="false">AVERAGE(BL40,BL44,BL48,BL52,BL56)</f>
        <v>0.98828769228522</v>
      </c>
      <c r="BK64" s="1" t="n">
        <f aca="false">BJ64/BJ$65</f>
        <v>0.97624568099623</v>
      </c>
      <c r="BL64" s="117" t="n">
        <f aca="false">BK64-1</f>
        <v>-0.0237543190037698</v>
      </c>
      <c r="BM64" s="117" t="n">
        <f aca="false">1-BK64</f>
        <v>0.0237543190037698</v>
      </c>
      <c r="BO64" s="1" t="s">
        <v>154</v>
      </c>
      <c r="BP64" s="1" t="n">
        <f aca="false">AVERAGE(BR40,BR44,BR48,BR52,BR56)</f>
        <v>0.99369214340312</v>
      </c>
      <c r="BQ64" s="1" t="n">
        <f aca="false">BP64/BP$65</f>
        <v>0.98610746642081</v>
      </c>
      <c r="BR64" s="117" t="n">
        <f aca="false">BQ64-1</f>
        <v>-0.0138925335791904</v>
      </c>
      <c r="BS64" s="117" t="n">
        <f aca="false">1-BQ64</f>
        <v>0.0138925335791904</v>
      </c>
      <c r="BU64" s="1" t="s">
        <v>154</v>
      </c>
      <c r="BV64" s="1" t="n">
        <f aca="false">AVERAGE(BX40,BX44,BX48,BX52,BX56)</f>
        <v>0.992899503887683</v>
      </c>
      <c r="BW64" s="1" t="n">
        <f aca="false">BV64/BV$65</f>
        <v>0.987521848176968</v>
      </c>
      <c r="BX64" s="117" t="n">
        <f aca="false">BW64-1</f>
        <v>-0.0124781518230319</v>
      </c>
      <c r="BY64" s="117" t="n">
        <f aca="false">1-BW64</f>
        <v>0.0124781518230319</v>
      </c>
      <c r="CA64" s="1" t="s">
        <v>154</v>
      </c>
      <c r="CB64" s="1" t="n">
        <f aca="false">AVERAGE(CD40,CD44,CD48,CD52,CD56)</f>
        <v>0.964509616618287</v>
      </c>
      <c r="CC64" s="1" t="n">
        <f aca="false">CB64/CB$65</f>
        <v>0.954255115576411</v>
      </c>
      <c r="CD64" s="117" t="n">
        <f aca="false">CC64-1</f>
        <v>-0.0457448844235894</v>
      </c>
      <c r="CE64" s="117" t="n">
        <f aca="false">1-CC64</f>
        <v>0.0457448844235894</v>
      </c>
      <c r="CG64" s="1" t="s">
        <v>154</v>
      </c>
      <c r="CH64" s="1" t="n">
        <f aca="false">AVERAGE(CJ40,CJ44,CJ48,CJ52,CJ56)</f>
        <v>0.992577540123779</v>
      </c>
      <c r="CI64" s="1" t="n">
        <f aca="false">CH64/CH$65</f>
        <v>0.986986840593025</v>
      </c>
      <c r="CJ64" s="117" t="n">
        <f aca="false">CI64-1</f>
        <v>-0.0130131594069755</v>
      </c>
      <c r="CK64" s="117" t="n">
        <f aca="false">1-CI64</f>
        <v>0.0130131594069755</v>
      </c>
    </row>
    <row r="65" customFormat="false" ht="12.8" hidden="false" customHeight="false" outlineLevel="0" collapsed="false">
      <c r="B65" s="1" t="n">
        <f aca="false">AVERAGE(B61:B64)</f>
        <v>1.00584530562613</v>
      </c>
      <c r="C65" s="1" t="n">
        <f aca="false">B65/B$65</f>
        <v>1</v>
      </c>
      <c r="D65" s="1" t="n">
        <v>1</v>
      </c>
      <c r="H65" s="1" t="n">
        <f aca="false">AVERAGE(H61:H64)</f>
        <v>1.00403848336544</v>
      </c>
      <c r="I65" s="1" t="n">
        <f aca="false">H65/H$65</f>
        <v>1</v>
      </c>
      <c r="J65" s="1" t="n">
        <v>1</v>
      </c>
      <c r="N65" s="1" t="n">
        <f aca="false">AVERAGE(N61:N64)</f>
        <v>1.00772871078828</v>
      </c>
      <c r="O65" s="1" t="n">
        <f aca="false">N65/N$65</f>
        <v>1</v>
      </c>
      <c r="P65" s="1" t="n">
        <v>1</v>
      </c>
      <c r="S65" s="1"/>
      <c r="T65" s="1" t="n">
        <f aca="false">AVERAGE(T61:T64)</f>
        <v>1.0023012532634</v>
      </c>
      <c r="U65" s="1" t="n">
        <f aca="false">T65/T$65</f>
        <v>1</v>
      </c>
      <c r="V65" s="1" t="n">
        <v>1</v>
      </c>
      <c r="Y65" s="1"/>
      <c r="Z65" s="1" t="n">
        <f aca="false">AVERAGE(Z61:Z64)</f>
        <v>1.00675177754475</v>
      </c>
      <c r="AA65" s="1" t="n">
        <f aca="false">Z65/Z$65</f>
        <v>1</v>
      </c>
      <c r="AB65" s="1" t="n">
        <v>1</v>
      </c>
      <c r="AE65" s="1"/>
      <c r="AF65" s="1" t="n">
        <f aca="false">AVERAGE(AF61:AF64)</f>
        <v>1.00440071098588</v>
      </c>
      <c r="AG65" s="1" t="n">
        <f aca="false">AF65/AF$65</f>
        <v>1</v>
      </c>
      <c r="AH65" s="1" t="n">
        <v>1</v>
      </c>
      <c r="AK65" s="1"/>
      <c r="AL65" s="1" t="n">
        <f aca="false">AVERAGE(AL61:AL64)</f>
        <v>1.006048972352</v>
      </c>
      <c r="AM65" s="1" t="n">
        <f aca="false">AL65/AL$65</f>
        <v>1</v>
      </c>
      <c r="AN65" s="1" t="n">
        <v>1</v>
      </c>
      <c r="AQ65" s="1"/>
      <c r="AR65" s="1" t="n">
        <f aca="false">AVERAGE(AR61:AR64)</f>
        <v>1.00904036065517</v>
      </c>
      <c r="AS65" s="1" t="n">
        <f aca="false">AR65/AR$65</f>
        <v>1</v>
      </c>
      <c r="AT65" s="1" t="n">
        <v>1</v>
      </c>
      <c r="AW65" s="1"/>
      <c r="AX65" s="1" t="n">
        <f aca="false">AVERAGE(AX61:AX64)</f>
        <v>1.00994712460389</v>
      </c>
      <c r="AY65" s="1" t="n">
        <f aca="false">AX65/AX$65</f>
        <v>1</v>
      </c>
      <c r="AZ65" s="1" t="n">
        <v>1</v>
      </c>
      <c r="BC65" s="1"/>
      <c r="BD65" s="1" t="n">
        <f aca="false">AVERAGE(BD61:BD64)</f>
        <v>0.998876532252611</v>
      </c>
      <c r="BE65" s="1" t="n">
        <f aca="false">BD65/BD$65</f>
        <v>1</v>
      </c>
      <c r="BF65" s="1" t="n">
        <v>1</v>
      </c>
      <c r="BI65" s="1"/>
      <c r="BJ65" s="1" t="n">
        <f aca="false">AVERAGE(BJ61:BJ64)</f>
        <v>1.01233502132035</v>
      </c>
      <c r="BK65" s="1" t="n">
        <f aca="false">BJ65/BJ$65</f>
        <v>1</v>
      </c>
      <c r="BL65" s="1" t="n">
        <v>1</v>
      </c>
      <c r="BO65" s="1"/>
      <c r="BP65" s="1" t="n">
        <f aca="false">AVERAGE(BP61:BP64)</f>
        <v>1.00769153184677</v>
      </c>
      <c r="BQ65" s="1" t="n">
        <f aca="false">BP65/BP$65</f>
        <v>1</v>
      </c>
      <c r="BR65" s="1" t="n">
        <v>1</v>
      </c>
      <c r="BU65" s="1"/>
      <c r="BV65" s="1" t="n">
        <f aca="false">AVERAGE(BV61:BV64)</f>
        <v>1.00544560681938</v>
      </c>
      <c r="BW65" s="1" t="n">
        <f aca="false">BV65/BV$65</f>
        <v>1</v>
      </c>
      <c r="BX65" s="1" t="n">
        <v>1</v>
      </c>
      <c r="CA65" s="1"/>
      <c r="CB65" s="1" t="n">
        <f aca="false">AVERAGE(CB61:CB64)</f>
        <v>1.01074607919255</v>
      </c>
      <c r="CC65" s="1" t="n">
        <f aca="false">CB65/CB$65</f>
        <v>1</v>
      </c>
      <c r="CD65" s="1" t="n">
        <v>1</v>
      </c>
      <c r="CG65" s="1"/>
      <c r="CH65" s="1" t="n">
        <f aca="false">AVERAGE(CH61:CH64)</f>
        <v>1.0056644114195</v>
      </c>
      <c r="CI65" s="1" t="n">
        <f aca="false">CH65/CH$65</f>
        <v>1</v>
      </c>
      <c r="CJ65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BA40"/>
  <sheetViews>
    <sheetView showFormulas="false" showGridLines="true" showRowColHeaders="true" showZeros="true" rightToLeft="false" tabSelected="false" showOutlineSymbols="true" defaultGridColor="true" view="normal" topLeftCell="AK1" colorId="64" zoomScale="55" zoomScaleNormal="55" zoomScalePageLayoutView="100" workbookViewId="0">
      <selection pane="topLeft" activeCell="AO37" activeCellId="0" sqref="AO37"/>
    </sheetView>
  </sheetViews>
  <sheetFormatPr defaultColWidth="11.53515625" defaultRowHeight="12.8" zeroHeight="false" outlineLevelRow="0" outlineLevelCol="0"/>
  <cols>
    <col collapsed="false" customWidth="true" hidden="false" outlineLevel="0" max="19" min="19" style="1" width="13.81"/>
  </cols>
  <sheetData>
    <row r="1" customFormat="false" ht="12.8" hidden="false" customHeight="false" outlineLevel="0" collapsed="false">
      <c r="A1" s="1" t="s">
        <v>81</v>
      </c>
      <c r="B1" s="1" t="s">
        <v>171</v>
      </c>
      <c r="C1" s="1" t="s">
        <v>172</v>
      </c>
      <c r="D1" s="23" t="s">
        <v>173</v>
      </c>
      <c r="E1" s="23" t="s">
        <v>174</v>
      </c>
      <c r="G1" s="1" t="s">
        <v>82</v>
      </c>
      <c r="H1" s="1" t="s">
        <v>171</v>
      </c>
      <c r="I1" s="1" t="s">
        <v>172</v>
      </c>
      <c r="J1" s="23" t="s">
        <v>173</v>
      </c>
      <c r="K1" s="23" t="s">
        <v>174</v>
      </c>
      <c r="M1" s="1" t="s">
        <v>83</v>
      </c>
      <c r="N1" s="1" t="s">
        <v>171</v>
      </c>
      <c r="O1" s="1" t="s">
        <v>172</v>
      </c>
      <c r="P1" s="23" t="s">
        <v>173</v>
      </c>
      <c r="Q1" s="23" t="s">
        <v>174</v>
      </c>
      <c r="S1" s="1" t="s">
        <v>162</v>
      </c>
      <c r="T1" s="1" t="s">
        <v>171</v>
      </c>
      <c r="U1" s="1" t="s">
        <v>172</v>
      </c>
      <c r="V1" s="23" t="s">
        <v>173</v>
      </c>
      <c r="W1" s="23" t="s">
        <v>174</v>
      </c>
      <c r="Y1" s="1" t="s">
        <v>86</v>
      </c>
      <c r="Z1" s="1" t="s">
        <v>171</v>
      </c>
      <c r="AA1" s="1" t="s">
        <v>172</v>
      </c>
      <c r="AB1" s="23" t="s">
        <v>173</v>
      </c>
      <c r="AC1" s="23" t="s">
        <v>174</v>
      </c>
      <c r="AE1" s="1" t="s">
        <v>163</v>
      </c>
      <c r="AF1" s="1" t="s">
        <v>171</v>
      </c>
      <c r="AG1" s="1" t="s">
        <v>172</v>
      </c>
      <c r="AH1" s="23" t="s">
        <v>173</v>
      </c>
      <c r="AI1" s="23" t="s">
        <v>174</v>
      </c>
      <c r="AK1" s="1" t="s">
        <v>164</v>
      </c>
      <c r="AL1" s="1" t="s">
        <v>171</v>
      </c>
      <c r="AM1" s="1" t="s">
        <v>172</v>
      </c>
      <c r="AN1" s="23" t="s">
        <v>173</v>
      </c>
      <c r="AO1" s="23" t="s">
        <v>174</v>
      </c>
      <c r="AQ1" s="1" t="s">
        <v>150</v>
      </c>
      <c r="AR1" s="1" t="s">
        <v>171</v>
      </c>
      <c r="AS1" s="1" t="s">
        <v>172</v>
      </c>
      <c r="AT1" s="23" t="s">
        <v>173</v>
      </c>
      <c r="AU1" s="23" t="s">
        <v>174</v>
      </c>
      <c r="AW1" s="1" t="s">
        <v>116</v>
      </c>
      <c r="AX1" s="1" t="s">
        <v>171</v>
      </c>
      <c r="AY1" s="1" t="s">
        <v>172</v>
      </c>
      <c r="AZ1" s="23" t="s">
        <v>173</v>
      </c>
      <c r="BA1" s="23" t="s">
        <v>174</v>
      </c>
    </row>
    <row r="2" customFormat="false" ht="12.8" hidden="false" customHeight="false" outlineLevel="0" collapsed="false">
      <c r="A2" s="1" t="s">
        <v>176</v>
      </c>
      <c r="B2" s="23" t="n">
        <v>1000</v>
      </c>
      <c r="E2" s="31" t="n">
        <f aca="false">B2*$C$39</f>
        <v>972.643753866024</v>
      </c>
      <c r="G2" s="1" t="s">
        <v>176</v>
      </c>
      <c r="H2" s="1" t="n">
        <v>1000</v>
      </c>
      <c r="K2" s="31" t="n">
        <f aca="false">H2*$C$39</f>
        <v>972.643753866024</v>
      </c>
      <c r="M2" s="1" t="s">
        <v>176</v>
      </c>
      <c r="N2" s="1" t="n">
        <v>1000</v>
      </c>
      <c r="Q2" s="31" t="n">
        <f aca="false">N2*$C$39</f>
        <v>972.643753866024</v>
      </c>
      <c r="S2" s="1" t="s">
        <v>176</v>
      </c>
      <c r="T2" s="1" t="n">
        <v>1000</v>
      </c>
      <c r="W2" s="31" t="n">
        <f aca="false">T2*$C$39</f>
        <v>972.643753866024</v>
      </c>
      <c r="Y2" s="1" t="s">
        <v>176</v>
      </c>
      <c r="Z2" s="1" t="n">
        <v>1000</v>
      </c>
      <c r="AC2" s="31" t="n">
        <f aca="false">Z2*$C$39</f>
        <v>972.643753866024</v>
      </c>
      <c r="AE2" s="1" t="s">
        <v>176</v>
      </c>
      <c r="AF2" s="1" t="n">
        <v>1000</v>
      </c>
      <c r="AI2" s="1" t="n">
        <f aca="false">AF2*$C$39</f>
        <v>972.643753866024</v>
      </c>
      <c r="AK2" s="1" t="s">
        <v>176</v>
      </c>
      <c r="AL2" s="1" t="n">
        <v>1000</v>
      </c>
      <c r="AO2" s="31" t="n">
        <f aca="false">AL2*$C$39</f>
        <v>972.643753866024</v>
      </c>
      <c r="AQ2" s="1" t="s">
        <v>176</v>
      </c>
      <c r="AR2" s="1" t="n">
        <v>1000</v>
      </c>
      <c r="AU2" s="31" t="n">
        <f aca="false">AR2*$C$39</f>
        <v>972.643753866024</v>
      </c>
      <c r="AW2" s="1" t="s">
        <v>176</v>
      </c>
      <c r="AX2" s="1" t="n">
        <v>1000</v>
      </c>
      <c r="BA2" s="31" t="n">
        <f aca="false">AX2*$C$39</f>
        <v>972.643753866024</v>
      </c>
    </row>
    <row r="3" customFormat="false" ht="12.8" hidden="false" customHeight="false" outlineLevel="0" collapsed="false">
      <c r="A3" s="53" t="s">
        <v>78</v>
      </c>
      <c r="B3" s="53" t="n">
        <v>1007.49769856477</v>
      </c>
      <c r="C3" s="53"/>
      <c r="D3" s="53"/>
      <c r="E3" s="53" t="n">
        <f aca="false">$C$37*B3</f>
        <v>1024.86625073678</v>
      </c>
      <c r="F3" s="53"/>
      <c r="G3" s="53" t="s">
        <v>78</v>
      </c>
      <c r="H3" s="53" t="n">
        <v>1007.5505004377</v>
      </c>
      <c r="I3" s="53"/>
      <c r="J3" s="53"/>
      <c r="K3" s="53" t="n">
        <f aca="false">$C$37*H3</f>
        <v>1024.91996287689</v>
      </c>
      <c r="L3" s="53"/>
      <c r="M3" s="53" t="s">
        <v>78</v>
      </c>
      <c r="N3" s="53" t="n">
        <v>1018.39909504945</v>
      </c>
      <c r="O3" s="53"/>
      <c r="P3" s="53"/>
      <c r="Q3" s="53" t="n">
        <f aca="false">$C$37*N3</f>
        <v>1035.95557963447</v>
      </c>
      <c r="R3" s="53"/>
      <c r="S3" s="53" t="s">
        <v>78</v>
      </c>
      <c r="T3" s="53" t="n">
        <v>991.97300854958</v>
      </c>
      <c r="U3" s="53"/>
      <c r="V3" s="53"/>
      <c r="W3" s="53" t="n">
        <f aca="false">$C$37*T3</f>
        <v>1009.07392597774</v>
      </c>
      <c r="X3" s="53"/>
      <c r="Y3" s="53" t="s">
        <v>78</v>
      </c>
      <c r="Z3" s="53" t="n">
        <v>1001.33283078723</v>
      </c>
      <c r="AA3" s="53"/>
      <c r="AB3" s="53"/>
      <c r="AC3" s="53" t="n">
        <f aca="false">$C$37*Z3</f>
        <v>1018.59510497193</v>
      </c>
      <c r="AD3" s="53"/>
      <c r="AE3" s="53" t="s">
        <v>78</v>
      </c>
      <c r="AF3" s="53" t="n">
        <v>1030.9030272234</v>
      </c>
      <c r="AG3" s="53"/>
      <c r="AH3" s="53"/>
      <c r="AI3" s="53" t="n">
        <f aca="false">$C$37*AF3</f>
        <v>1048.67507081032</v>
      </c>
      <c r="AJ3" s="53"/>
      <c r="AK3" s="53" t="s">
        <v>78</v>
      </c>
      <c r="AL3" s="53" t="n">
        <v>1009.53421052523</v>
      </c>
      <c r="AM3" s="53"/>
      <c r="AN3" s="53"/>
      <c r="AO3" s="53" t="n">
        <f aca="false">$C$37*AL3</f>
        <v>1026.93787073201</v>
      </c>
      <c r="AP3" s="53"/>
      <c r="AQ3" s="53" t="s">
        <v>78</v>
      </c>
      <c r="AR3" s="53" t="n">
        <v>1026.8993497</v>
      </c>
      <c r="AS3" s="53"/>
      <c r="AT3" s="53"/>
      <c r="AU3" s="53" t="n">
        <f aca="false">$C$37*AR3</f>
        <v>1044.60237270053</v>
      </c>
      <c r="AV3" s="53"/>
      <c r="AW3" s="53" t="s">
        <v>78</v>
      </c>
      <c r="AX3" s="53" t="n">
        <v>991.97300854958</v>
      </c>
      <c r="AY3" s="53"/>
      <c r="AZ3" s="53"/>
      <c r="BA3" s="53" t="n">
        <f aca="false">$C$37*AX3</f>
        <v>1009.07392597774</v>
      </c>
    </row>
    <row r="4" customFormat="false" ht="12.8" hidden="false" customHeight="false" outlineLevel="0" collapsed="false">
      <c r="A4" s="157" t="s">
        <v>77</v>
      </c>
      <c r="B4" s="157" t="n">
        <v>1023.46907751266</v>
      </c>
      <c r="C4" s="53" t="n">
        <f aca="false">SUM(B2/2,B3:B6,B7/2)/5</f>
        <v>1019.70521262629</v>
      </c>
      <c r="D4" s="1" t="n">
        <f aca="false">C4/B4</f>
        <v>0.996322443961355</v>
      </c>
      <c r="E4" s="53" t="n">
        <f aca="false">$C$38*B4</f>
        <v>1027.43850833507</v>
      </c>
      <c r="F4" s="53"/>
      <c r="G4" s="157" t="s">
        <v>77</v>
      </c>
      <c r="H4" s="157" t="n">
        <v>1023.37286583693</v>
      </c>
      <c r="I4" s="53" t="n">
        <f aca="false">SUM(H2/2,H3:H6,H7/2)/5</f>
        <v>1018.98630606942</v>
      </c>
      <c r="J4" s="1" t="n">
        <f aca="false">I4/H4</f>
        <v>0.995713625097998</v>
      </c>
      <c r="K4" s="53" t="n">
        <f aca="false">$C$38*H4</f>
        <v>1027.34192351119</v>
      </c>
      <c r="L4" s="53"/>
      <c r="M4" s="157" t="s">
        <v>77</v>
      </c>
      <c r="N4" s="157" t="n">
        <v>1043.44597520819</v>
      </c>
      <c r="O4" s="53" t="n">
        <f aca="false">SUM(N2/2,N3:N6,N7/2)/5</f>
        <v>1025.75665864692</v>
      </c>
      <c r="P4" s="1" t="n">
        <f aca="false">O4/N4</f>
        <v>0.983047213769032</v>
      </c>
      <c r="Q4" s="53" t="n">
        <f aca="false">$C$38*N4</f>
        <v>1047.49288459365</v>
      </c>
      <c r="R4" s="53"/>
      <c r="S4" s="157" t="s">
        <v>77</v>
      </c>
      <c r="T4" s="157" t="n">
        <v>968.504172137741</v>
      </c>
      <c r="U4" s="53" t="n">
        <f aca="false">SUM(T2/2,T3:T6,T7/2)/5</f>
        <v>980.148824695005</v>
      </c>
      <c r="V4" s="1" t="n">
        <f aca="false">U4/T4</f>
        <v>1.01202333752632</v>
      </c>
      <c r="W4" s="53" t="n">
        <f aca="false">$C$38*T4</f>
        <v>972.260426622594</v>
      </c>
      <c r="X4" s="53"/>
      <c r="Y4" s="157" t="s">
        <v>77</v>
      </c>
      <c r="Z4" s="157" t="n">
        <v>1009.15699410474</v>
      </c>
      <c r="AA4" s="53" t="n">
        <f aca="false">SUM(Z2/2,Z3:Z6,Z7/2)/5</f>
        <v>1004.23359253992</v>
      </c>
      <c r="AB4" s="1" t="n">
        <f aca="false">AA4/Z4</f>
        <v>0.995121272910375</v>
      </c>
      <c r="AC4" s="53" t="n">
        <f aca="false">$C$38*Z4</f>
        <v>1013.07091682606</v>
      </c>
      <c r="AD4" s="53"/>
      <c r="AE4" s="157" t="s">
        <v>77</v>
      </c>
      <c r="AF4" s="157" t="n">
        <v>1013.07435767144</v>
      </c>
      <c r="AG4" s="53" t="n">
        <f aca="false">SUM(AF2/2,AF3:AF6,AF7/2)/5</f>
        <v>1065.33002750959</v>
      </c>
      <c r="AH4" s="1" t="n">
        <f aca="false">AG4/AF4</f>
        <v>1.05158127776352</v>
      </c>
      <c r="AI4" s="53" t="n">
        <f aca="false">$C$38*AF4</f>
        <v>1017.00347352759</v>
      </c>
      <c r="AJ4" s="53"/>
      <c r="AK4" s="157" t="s">
        <v>77</v>
      </c>
      <c r="AL4" s="157" t="n">
        <v>1024.21623283919</v>
      </c>
      <c r="AM4" s="53" t="n">
        <f aca="false">SUM(AL2/2,AL3:AL6,AL7/2)/5</f>
        <v>1018.26320526327</v>
      </c>
      <c r="AN4" s="1" t="n">
        <f aca="false">AM4/AL4</f>
        <v>0.994187723856493</v>
      </c>
      <c r="AO4" s="53" t="n">
        <f aca="false">$C$38*AL4</f>
        <v>1028.18856143492</v>
      </c>
      <c r="AP4" s="53"/>
      <c r="AQ4" s="157" t="s">
        <v>77</v>
      </c>
      <c r="AR4" s="157" t="n">
        <v>973.983459501735</v>
      </c>
      <c r="AS4" s="53" t="n">
        <f aca="false">SUM(AR2/2,AR3:AR6,AR7/2)/5</f>
        <v>997.840500334195</v>
      </c>
      <c r="AT4" s="1" t="n">
        <f aca="false">AS4/AR4</f>
        <v>1.0244942977211</v>
      </c>
      <c r="AU4" s="53" t="n">
        <f aca="false">$C$38*AR4</f>
        <v>977.760964899415</v>
      </c>
      <c r="AV4" s="53"/>
      <c r="AW4" s="157" t="s">
        <v>77</v>
      </c>
      <c r="AX4" s="157" t="n">
        <v>968.504172137741</v>
      </c>
      <c r="AY4" s="53" t="n">
        <f aca="false">SUM(AX2/2,AX3:AX6,AX7/2)/5</f>
        <v>980.148824695005</v>
      </c>
      <c r="AZ4" s="1" t="n">
        <f aca="false">AY4/AX4</f>
        <v>1.01202333752632</v>
      </c>
      <c r="BA4" s="53" t="n">
        <f aca="false">$C$38*AX4</f>
        <v>972.260426622594</v>
      </c>
    </row>
    <row r="5" customFormat="false" ht="12.8" hidden="false" customHeight="false" outlineLevel="0" collapsed="false">
      <c r="A5" s="159" t="s">
        <v>76</v>
      </c>
      <c r="B5" s="159" t="n">
        <v>1031.37167369587</v>
      </c>
      <c r="C5" s="159" t="n">
        <f aca="false">SUM(B3/2,B4:B7,B8/2)/5</f>
        <v>1035.45768829078</v>
      </c>
      <c r="D5" s="160" t="n">
        <f aca="false">C5/B5</f>
        <v>1.00396172853988</v>
      </c>
      <c r="E5" s="159" t="n">
        <f aca="false">B5*$C$35</f>
        <v>1039.49717436219</v>
      </c>
      <c r="F5" s="53"/>
      <c r="G5" s="159" t="s">
        <v>76</v>
      </c>
      <c r="H5" s="159" t="n">
        <v>1032.72512704403</v>
      </c>
      <c r="I5" s="159" t="n">
        <f aca="false">SUM(H3/2,H4:H7,H8/2)/5</f>
        <v>1032.91510291228</v>
      </c>
      <c r="J5" s="160" t="n">
        <f aca="false">I5/H5</f>
        <v>1.00018395588843</v>
      </c>
      <c r="K5" s="159" t="n">
        <f aca="false">H5*$C$35</f>
        <v>1040.86129068119</v>
      </c>
      <c r="L5" s="53"/>
      <c r="M5" s="159" t="s">
        <v>76</v>
      </c>
      <c r="N5" s="159" t="n">
        <v>1055.31509503673</v>
      </c>
      <c r="O5" s="159" t="n">
        <f aca="false">SUM(N3/2,N4:N7,N8/2)/5</f>
        <v>1041.84904009147</v>
      </c>
      <c r="P5" s="160" t="n">
        <f aca="false">O5/N5</f>
        <v>0.987239777950115</v>
      </c>
      <c r="Q5" s="159" t="n">
        <f aca="false">N5*$C$35</f>
        <v>1063.62923020894</v>
      </c>
      <c r="R5" s="53"/>
      <c r="S5" s="159" t="s">
        <v>76</v>
      </c>
      <c r="T5" s="159" t="n">
        <v>992.882484477134</v>
      </c>
      <c r="U5" s="159" t="n">
        <f aca="false">SUM(T3/2,T4:T7,T8/2)/5</f>
        <v>973.388738293954</v>
      </c>
      <c r="V5" s="160" t="n">
        <f aca="false">U5/T5</f>
        <v>0.980366512162368</v>
      </c>
      <c r="W5" s="159" t="n">
        <f aca="false">T5*$C$35</f>
        <v>1000.70475407688</v>
      </c>
      <c r="X5" s="53"/>
      <c r="Y5" s="159" t="s">
        <v>76</v>
      </c>
      <c r="Z5" s="159" t="n">
        <v>1006.21862527815</v>
      </c>
      <c r="AA5" s="159" t="n">
        <f aca="false">SUM(Z3/2,Z4:Z7,Z8/2)/5</f>
        <v>1010.58779895711</v>
      </c>
      <c r="AB5" s="160" t="n">
        <f aca="false">AA5/Z5</f>
        <v>1.00434217134249</v>
      </c>
      <c r="AC5" s="159" t="n">
        <f aca="false">Z5*$C$35</f>
        <v>1014.14596158055</v>
      </c>
      <c r="AD5" s="53"/>
      <c r="AE5" s="159" t="s">
        <v>76</v>
      </c>
      <c r="AF5" s="159" t="n">
        <v>1070.20494939053</v>
      </c>
      <c r="AG5" s="159" t="n">
        <f aca="false">SUM(AF3/2,AF4:AF7,AF8/2)/5</f>
        <v>1107.92025138278</v>
      </c>
      <c r="AH5" s="160" t="n">
        <f aca="false">AG5/AF5</f>
        <v>1.03524119563616</v>
      </c>
      <c r="AI5" s="159" t="n">
        <f aca="false">AF5*$C$35</f>
        <v>1078.63639195498</v>
      </c>
      <c r="AJ5" s="53"/>
      <c r="AK5" s="159" t="s">
        <v>76</v>
      </c>
      <c r="AL5" s="159" t="n">
        <v>1030.59024208396</v>
      </c>
      <c r="AM5" s="159" t="n">
        <f aca="false">SUM(AL3/2,AL4:AL7,AL8/2)/5</f>
        <v>1031.59846223735</v>
      </c>
      <c r="AN5" s="160" t="n">
        <f aca="false">AM5/AL5</f>
        <v>1.00097829390598</v>
      </c>
      <c r="AO5" s="159" t="n">
        <f aca="false">AL5*$C$35</f>
        <v>1038.70958636336</v>
      </c>
      <c r="AP5" s="53"/>
      <c r="AQ5" s="159" t="s">
        <v>76</v>
      </c>
      <c r="AR5" s="159" t="n">
        <v>1003.15926106259</v>
      </c>
      <c r="AS5" s="159" t="n">
        <f aca="false">SUM(AR3/2,AR4:AR7,AR8/2)/5</f>
        <v>993.918848001474</v>
      </c>
      <c r="AT5" s="160" t="n">
        <f aca="false">AS5/AR5</f>
        <v>0.990788687878604</v>
      </c>
      <c r="AU5" s="159" t="n">
        <f aca="false">AR5*$C$35</f>
        <v>1011.06249464179</v>
      </c>
      <c r="AV5" s="53"/>
      <c r="AW5" s="159" t="s">
        <v>76</v>
      </c>
      <c r="AX5" s="159" t="n">
        <v>992.882484477134</v>
      </c>
      <c r="AY5" s="159" t="n">
        <f aca="false">SUM(AX3/2,AX4:AX7,AX8/2)/5</f>
        <v>973.388738293954</v>
      </c>
      <c r="AZ5" s="160" t="n">
        <f aca="false">AY5/AX5</f>
        <v>0.980366512162368</v>
      </c>
      <c r="BA5" s="159" t="n">
        <f aca="false">AX5*$C$35</f>
        <v>1000.70475407688</v>
      </c>
    </row>
    <row r="6" customFormat="false" ht="12.8" hidden="false" customHeight="false" outlineLevel="0" collapsed="false">
      <c r="A6" s="53" t="s">
        <v>75</v>
      </c>
      <c r="B6" s="53" t="n">
        <v>1001.9714396309</v>
      </c>
      <c r="C6" s="53" t="n">
        <f aca="false">SUM(B4/2,B5:B8,B9/2)/5</f>
        <v>1056.44546909417</v>
      </c>
      <c r="D6" s="1" t="n">
        <f aca="false">C6/B6</f>
        <v>1.05436684850352</v>
      </c>
      <c r="E6" s="53" t="n">
        <f aca="false">B6*$C$36</f>
        <v>1000.3284038786</v>
      </c>
      <c r="F6" s="53"/>
      <c r="G6" s="53" t="s">
        <v>75</v>
      </c>
      <c r="H6" s="53" t="n">
        <v>1001.13234218746</v>
      </c>
      <c r="I6" s="53" t="n">
        <f aca="false">SUM(H4/2,H5:H8,H9/2)/5</f>
        <v>1051.52230503839</v>
      </c>
      <c r="J6" s="1" t="n">
        <f aca="false">I6/H6</f>
        <v>1.05033296870705</v>
      </c>
      <c r="K6" s="53" t="n">
        <f aca="false">H6*$C$36</f>
        <v>999.490682389652</v>
      </c>
      <c r="L6" s="53"/>
      <c r="M6" s="53" t="s">
        <v>75</v>
      </c>
      <c r="N6" s="53" t="n">
        <v>967.355085415258</v>
      </c>
      <c r="O6" s="53" t="n">
        <f aca="false">SUM(N4/2,N5:N8,N9/2)/5</f>
        <v>1057.33858942421</v>
      </c>
      <c r="P6" s="1" t="n">
        <f aca="false">O6/N6</f>
        <v>1.09302013848444</v>
      </c>
      <c r="Q6" s="53" t="n">
        <f aca="false">N6*$C$36</f>
        <v>965.768813663751</v>
      </c>
      <c r="R6" s="53"/>
      <c r="S6" s="53" t="s">
        <v>75</v>
      </c>
      <c r="T6" s="53" t="n">
        <v>964.450747154384</v>
      </c>
      <c r="U6" s="53" t="n">
        <f aca="false">SUM(T4/2,T5:T8,T9/2)/5</f>
        <v>979.342042024445</v>
      </c>
      <c r="V6" s="1" t="n">
        <f aca="false">U6/T6</f>
        <v>1.01544018179674</v>
      </c>
      <c r="W6" s="53" t="n">
        <f aca="false">T6*$C$36</f>
        <v>962.869237945411</v>
      </c>
      <c r="X6" s="53"/>
      <c r="Y6" s="53" t="s">
        <v>75</v>
      </c>
      <c r="Z6" s="53" t="n">
        <v>995.553513927524</v>
      </c>
      <c r="AA6" s="53" t="n">
        <f aca="false">SUM(Z4/2,Z5:Z8,Z9/2)/5</f>
        <v>1022.56188691114</v>
      </c>
      <c r="AB6" s="1" t="n">
        <f aca="false">AA6/Z6</f>
        <v>1.02712900171189</v>
      </c>
      <c r="AC6" s="53" t="n">
        <f aca="false">Z6*$C$36</f>
        <v>993.92100230892</v>
      </c>
      <c r="AD6" s="53"/>
      <c r="AE6" s="53" t="s">
        <v>75</v>
      </c>
      <c r="AF6" s="53" t="n">
        <v>1116.03966988488</v>
      </c>
      <c r="AG6" s="53" t="n">
        <f aca="false">SUM(AF4/2,AF5:AF8,AF9/2)/5</f>
        <v>1165.68076022265</v>
      </c>
      <c r="AH6" s="1" t="n">
        <f aca="false">AG6/AF6</f>
        <v>1.04447968264685</v>
      </c>
      <c r="AI6" s="53" t="n">
        <f aca="false">AF6*$C$36</f>
        <v>1114.20958470872</v>
      </c>
      <c r="AJ6" s="53"/>
      <c r="AK6" s="53" t="s">
        <v>75</v>
      </c>
      <c r="AL6" s="53" t="n">
        <v>999.647773779699</v>
      </c>
      <c r="AM6" s="53" t="n">
        <f aca="false">SUM(AL4/2,AL5:AL8,AL9/2)/5</f>
        <v>1049.58180622318</v>
      </c>
      <c r="AN6" s="1" t="n">
        <f aca="false">AM6/AL6</f>
        <v>1.04995162671616</v>
      </c>
      <c r="AO6" s="53" t="n">
        <f aca="false">AL6*$C$36</f>
        <v>998.008548381589</v>
      </c>
      <c r="AP6" s="53"/>
      <c r="AQ6" s="53" t="s">
        <v>75</v>
      </c>
      <c r="AR6" s="53" t="n">
        <v>992.253811546543</v>
      </c>
      <c r="AS6" s="53" t="n">
        <f aca="false">SUM(AR4/2,AR5:AR8,AR9/2)/5</f>
        <v>997.650072530652</v>
      </c>
      <c r="AT6" s="1" t="n">
        <f aca="false">AS6/AR6</f>
        <v>1.00543838776059</v>
      </c>
      <c r="AU6" s="53" t="n">
        <f aca="false">AR6*$C$36</f>
        <v>990.626710789735</v>
      </c>
      <c r="AV6" s="53"/>
      <c r="AW6" s="53" t="s">
        <v>75</v>
      </c>
      <c r="AX6" s="53" t="n">
        <v>964.450747154384</v>
      </c>
      <c r="AY6" s="53" t="n">
        <f aca="false">SUM(AX4/2,AX5:AX8,AX9/2)/5</f>
        <v>979.342042024445</v>
      </c>
      <c r="AZ6" s="1" t="n">
        <f aca="false">AY6/AX6</f>
        <v>1.01544018179674</v>
      </c>
      <c r="BA6" s="53" t="n">
        <f aca="false">AX6*$C$36</f>
        <v>962.869237945411</v>
      </c>
    </row>
    <row r="7" s="18" customFormat="true" ht="12.8" hidden="false" customHeight="false" outlineLevel="0" collapsed="false">
      <c r="A7" s="164" t="s">
        <v>177</v>
      </c>
      <c r="B7" s="164" t="n">
        <v>1068.43234745447</v>
      </c>
      <c r="C7" s="164" t="n">
        <f aca="false">SUM(B5/2,B6:B9,B10/2)/5</f>
        <v>1059.8526266184</v>
      </c>
      <c r="D7" s="18" t="n">
        <f aca="false">C7/B7</f>
        <v>0.991969804305798</v>
      </c>
      <c r="E7" s="164" t="n">
        <f aca="false">B7*$C$39</f>
        <v>1039.20404918</v>
      </c>
      <c r="F7" s="164"/>
      <c r="G7" s="164" t="s">
        <v>177</v>
      </c>
      <c r="H7" s="164" t="n">
        <v>1060.30138968193</v>
      </c>
      <c r="I7" s="164" t="n">
        <f aca="false">SUM(H5/2,H6:H9,H10/2)/5</f>
        <v>1053.18921336575</v>
      </c>
      <c r="J7" s="18" t="n">
        <f aca="false">I7/H7</f>
        <v>0.993292306899352</v>
      </c>
      <c r="K7" s="164" t="n">
        <f aca="false">H7*$C$39</f>
        <v>1031.29552388959</v>
      </c>
      <c r="L7" s="164"/>
      <c r="M7" s="164" t="s">
        <v>177</v>
      </c>
      <c r="N7" s="164" t="n">
        <v>1088.53608504996</v>
      </c>
      <c r="O7" s="164" t="n">
        <f aca="false">SUM(N5/2,N6:N9,N10/2)/5</f>
        <v>1049.4167071375</v>
      </c>
      <c r="P7" s="18" t="n">
        <f aca="false">O7/N7</f>
        <v>0.964062396782497</v>
      </c>
      <c r="Q7" s="164" t="n">
        <f aca="false">N7*$C$39</f>
        <v>1058.75782398162</v>
      </c>
      <c r="R7" s="164"/>
      <c r="S7" s="164" t="s">
        <v>177</v>
      </c>
      <c r="T7" s="164" t="n">
        <v>965.867422312371</v>
      </c>
      <c r="U7" s="164" t="n">
        <f aca="false">SUM(T5/2,T6:T9,T10/2)/5</f>
        <v>990.622918153397</v>
      </c>
      <c r="V7" s="18" t="n">
        <f aca="false">U7/T7</f>
        <v>1.02563032489672</v>
      </c>
      <c r="W7" s="164" t="n">
        <f aca="false">T7*$C$39</f>
        <v>939.444915374805</v>
      </c>
      <c r="X7" s="164"/>
      <c r="Y7" s="164" t="s">
        <v>177</v>
      </c>
      <c r="Z7" s="164" t="n">
        <v>1017.81199720388</v>
      </c>
      <c r="AA7" s="164" t="n">
        <f aca="false">SUM(Z5/2,Z6:Z9,Z10/2)/5</f>
        <v>1022.27041602805</v>
      </c>
      <c r="AB7" s="18" t="n">
        <f aca="false">AA7/Z7</f>
        <v>1.00438039523647</v>
      </c>
      <c r="AC7" s="164" t="n">
        <f aca="false">Z7*$C$39</f>
        <v>989.968481690257</v>
      </c>
      <c r="AD7" s="164"/>
      <c r="AE7" s="164" t="s">
        <v>177</v>
      </c>
      <c r="AF7" s="164" t="n">
        <v>1192.85626675545</v>
      </c>
      <c r="AG7" s="164" t="n">
        <f aca="false">SUM(AF5/2,AF6:AF9,AF10/2)/5</f>
        <v>1198.92677542009</v>
      </c>
      <c r="AH7" s="18" t="n">
        <f aca="false">AG7/AF7</f>
        <v>1.00508905291763</v>
      </c>
      <c r="AI7" s="164" t="n">
        <f aca="false">AF7*$C$39</f>
        <v>1160.22419711963</v>
      </c>
      <c r="AJ7" s="164"/>
      <c r="AK7" s="164" t="s">
        <v>177</v>
      </c>
      <c r="AL7" s="164" t="n">
        <v>1054.6551341765</v>
      </c>
      <c r="AM7" s="164" t="n">
        <f aca="false">SUM(AL5/2,AL6:AL9,AL10/2)/5</f>
        <v>1049.91252666152</v>
      </c>
      <c r="AN7" s="18" t="n">
        <f aca="false">AM7/AL7</f>
        <v>0.995503167470299</v>
      </c>
      <c r="AO7" s="164" t="n">
        <f aca="false">AL7*$C$39</f>
        <v>1025.80372873951</v>
      </c>
      <c r="AP7" s="164"/>
      <c r="AQ7" s="164" t="s">
        <v>177</v>
      </c>
      <c r="AR7" s="164" t="n">
        <v>985.813239720211</v>
      </c>
      <c r="AS7" s="164" t="n">
        <f aca="false">SUM(AR5/2,AR6:AR9,AR10/2)/5</f>
        <v>996.963956525206</v>
      </c>
      <c r="AT7" s="18" t="n">
        <f aca="false">AS7/AR7</f>
        <v>1.01131118588766</v>
      </c>
      <c r="AU7" s="164" t="n">
        <f aca="false">AR7*$C$39</f>
        <v>958.845090092293</v>
      </c>
      <c r="AV7" s="164"/>
      <c r="AW7" s="164" t="s">
        <v>177</v>
      </c>
      <c r="AX7" s="164" t="n">
        <v>965.867422312371</v>
      </c>
      <c r="AY7" s="164" t="n">
        <f aca="false">SUM(AX5/2,AX6:AX9,AX10/2)/5</f>
        <v>990.622918153397</v>
      </c>
      <c r="AZ7" s="18" t="n">
        <f aca="false">AY7/AX7</f>
        <v>1.02563032489672</v>
      </c>
      <c r="BA7" s="164" t="n">
        <f aca="false">AX7*$C$39</f>
        <v>939.444915374805</v>
      </c>
    </row>
    <row r="8" customFormat="false" ht="12.8" hidden="false" customHeight="false" outlineLevel="0" collapsed="false">
      <c r="A8" s="53" t="s">
        <v>73</v>
      </c>
      <c r="B8" s="53" t="n">
        <v>1096.5901077552</v>
      </c>
      <c r="C8" s="53" t="n">
        <f aca="false">SUM(B6/2,B7:B10,B11/2)/5</f>
        <v>1061.33356133612</v>
      </c>
      <c r="D8" s="1" t="n">
        <f aca="false">C8/B8</f>
        <v>0.967848928993848</v>
      </c>
      <c r="E8" s="53" t="n">
        <f aca="false">$C$37*B8</f>
        <v>1115.49455044027</v>
      </c>
      <c r="F8" s="53"/>
      <c r="G8" s="53" t="s">
        <v>73</v>
      </c>
      <c r="H8" s="53" t="n">
        <v>1086.53707918444</v>
      </c>
      <c r="I8" s="53" t="n">
        <f aca="false">SUM(H6/2,H7:H10,H11/2)/5</f>
        <v>1052.64231391861</v>
      </c>
      <c r="J8" s="1" t="n">
        <f aca="false">I8/H8</f>
        <v>0.968804778120164</v>
      </c>
      <c r="K8" s="53" t="n">
        <f aca="false">$C$37*H8</f>
        <v>1105.26821472304</v>
      </c>
      <c r="L8" s="53"/>
      <c r="M8" s="53" t="s">
        <v>73</v>
      </c>
      <c r="N8" s="53" t="n">
        <v>1090.78682444493</v>
      </c>
      <c r="O8" s="53" t="n">
        <f aca="false">SUM(N6/2,N7:N10,N11/2)/5</f>
        <v>1036.41602034405</v>
      </c>
      <c r="P8" s="1" t="n">
        <f aca="false">O8/N8</f>
        <v>0.950154509678326</v>
      </c>
      <c r="Q8" s="53" t="n">
        <f aca="false">$C$37*N8</f>
        <v>1109.59122260475</v>
      </c>
      <c r="R8" s="53"/>
      <c r="S8" s="53" t="s">
        <v>73</v>
      </c>
      <c r="T8" s="53" t="n">
        <v>958.504722226702</v>
      </c>
      <c r="U8" s="53" t="n">
        <f aca="false">SUM(T6/2,T7:T10,T11/2)/5</f>
        <v>1004.03065864639</v>
      </c>
      <c r="V8" s="1" t="n">
        <f aca="false">U8/T8</f>
        <v>1.04749683059873</v>
      </c>
      <c r="W8" s="53" t="n">
        <f aca="false">$C$37*T8</f>
        <v>975.02866992289</v>
      </c>
      <c r="X8" s="53"/>
      <c r="Y8" s="53" t="s">
        <v>73</v>
      </c>
      <c r="Z8" s="53" t="n">
        <v>1047.06289775526</v>
      </c>
      <c r="AA8" s="53" t="n">
        <f aca="false">SUM(Z6/2,Z7:Z10,Z11/2)/5</f>
        <v>1023.38464781189</v>
      </c>
      <c r="AB8" s="1" t="n">
        <f aca="false">AA8/Z8</f>
        <v>0.977386029058872</v>
      </c>
      <c r="AC8" s="53" t="n">
        <f aca="false">$C$37*Z8</f>
        <v>1065.11352615168</v>
      </c>
      <c r="AD8" s="53"/>
      <c r="AE8" s="53" t="s">
        <v>73</v>
      </c>
      <c r="AF8" s="53" t="n">
        <v>1263.94899919983</v>
      </c>
      <c r="AG8" s="53" t="n">
        <f aca="false">SUM(AF6/2,AF7:AF10,AF11/2)/5</f>
        <v>1206.33333917401</v>
      </c>
      <c r="AH8" s="1" t="n">
        <f aca="false">AG8/AF8</f>
        <v>0.954416151235301</v>
      </c>
      <c r="AI8" s="53" t="n">
        <f aca="false">$C$37*AF8</f>
        <v>1285.73859153998</v>
      </c>
      <c r="AJ8" s="53"/>
      <c r="AK8" s="53" t="s">
        <v>73</v>
      </c>
      <c r="AL8" s="53" t="n">
        <v>1088.23164608957</v>
      </c>
      <c r="AM8" s="53" t="n">
        <f aca="false">SUM(AL6/2,AL7:AL10,AL11/2)/5</f>
        <v>1048.26092778594</v>
      </c>
      <c r="AN8" s="1" t="n">
        <f aca="false">AM8/AL8</f>
        <v>0.963270027620262</v>
      </c>
      <c r="AO8" s="53" t="n">
        <f aca="false">$C$37*AL8</f>
        <v>1106.99199477053</v>
      </c>
      <c r="AP8" s="53"/>
      <c r="AQ8" s="53" t="s">
        <v>73</v>
      </c>
      <c r="AR8" s="53" t="n">
        <v>1001.86958665258</v>
      </c>
      <c r="AS8" s="53" t="n">
        <f aca="false">SUM(AR6/2,AR7:AR10,AR11/2)/5</f>
        <v>985.799412470351</v>
      </c>
      <c r="AT8" s="1" t="n">
        <f aca="false">AS8/AR8</f>
        <v>0.983959814334796</v>
      </c>
      <c r="AU8" s="53" t="n">
        <f aca="false">$C$37*AR8</f>
        <v>1019.14111413112</v>
      </c>
      <c r="AV8" s="53"/>
      <c r="AW8" s="53" t="s">
        <v>73</v>
      </c>
      <c r="AX8" s="53" t="n">
        <v>958.504722226702</v>
      </c>
      <c r="AY8" s="53" t="n">
        <f aca="false">SUM(AX6/2,AX7:AX10,AX11/2)/5</f>
        <v>1004.03065864639</v>
      </c>
      <c r="AZ8" s="1" t="n">
        <f aca="false">AY8/AX8</f>
        <v>1.04749683059873</v>
      </c>
      <c r="BA8" s="53" t="n">
        <f aca="false">$C$37*AX8</f>
        <v>975.02866992289</v>
      </c>
    </row>
    <row r="9" customFormat="false" ht="12.8" hidden="false" customHeight="false" outlineLevel="0" collapsed="false">
      <c r="A9" s="157" t="s">
        <v>72</v>
      </c>
      <c r="B9" s="157" t="n">
        <v>1144.25447635615</v>
      </c>
      <c r="C9" s="53" t="n">
        <f aca="false">SUM(B7/2,B8:B11,B12/2)/5</f>
        <v>1082.39947086043</v>
      </c>
      <c r="D9" s="1" t="n">
        <f aca="false">C9/B9</f>
        <v>0.94594296393518</v>
      </c>
      <c r="E9" s="53" t="n">
        <f aca="false">$C$38*B9</f>
        <v>1148.69236225512</v>
      </c>
      <c r="F9" s="53"/>
      <c r="G9" s="157" t="s">
        <v>72</v>
      </c>
      <c r="H9" s="157" t="n">
        <v>1130.45830835129</v>
      </c>
      <c r="I9" s="53" t="n">
        <f aca="false">SUM(H7/2,H8:H11,H12/2)/5</f>
        <v>1070.70948830743</v>
      </c>
      <c r="J9" s="1" t="n">
        <f aca="false">I9/H9</f>
        <v>0.947146374525742</v>
      </c>
      <c r="K9" s="53" t="n">
        <f aca="false">$C$38*H9</f>
        <v>1134.84268707969</v>
      </c>
      <c r="L9" s="53"/>
      <c r="M9" s="157" t="s">
        <v>72</v>
      </c>
      <c r="N9" s="157" t="n">
        <v>1125.95373914014</v>
      </c>
      <c r="O9" s="53" t="n">
        <f aca="false">SUM(N7/2,N8:N11,N12/2)/5</f>
        <v>1044.84779829484</v>
      </c>
      <c r="P9" s="1" t="n">
        <f aca="false">O9/N9</f>
        <v>0.927966897727755</v>
      </c>
      <c r="Q9" s="53" t="n">
        <f aca="false">$C$38*N9</f>
        <v>1130.32064731055</v>
      </c>
      <c r="R9" s="53"/>
      <c r="S9" s="157" t="s">
        <v>72</v>
      </c>
      <c r="T9" s="157" t="n">
        <v>1061.50549576553</v>
      </c>
      <c r="U9" s="53" t="n">
        <f aca="false">SUM(T7/2,T8:T11,T12/2)/5</f>
        <v>1028.34231231582</v>
      </c>
      <c r="V9" s="1" t="n">
        <f aca="false">U9/T9</f>
        <v>0.96875834973818</v>
      </c>
      <c r="W9" s="53" t="n">
        <f aca="false">$C$38*T9</f>
        <v>1065.62244734289</v>
      </c>
      <c r="X9" s="53"/>
      <c r="Y9" s="157" t="s">
        <v>72</v>
      </c>
      <c r="Z9" s="157" t="n">
        <v>1083.16780667706</v>
      </c>
      <c r="AA9" s="53" t="n">
        <f aca="false">SUM(Z7/2,Z8:Z11,Z12/2)/5</f>
        <v>1041.4509977172</v>
      </c>
      <c r="AB9" s="1" t="n">
        <f aca="false">AA9/Z9</f>
        <v>0.961486291687489</v>
      </c>
      <c r="AC9" s="53" t="n">
        <f aca="false">$C$38*Z9</f>
        <v>1087.36877353784</v>
      </c>
      <c r="AD9" s="53"/>
      <c r="AE9" s="157" t="s">
        <v>72</v>
      </c>
      <c r="AF9" s="157" t="n">
        <v>1357.63347409367</v>
      </c>
      <c r="AG9" s="53" t="n">
        <f aca="false">SUM(AF7/2,AF8:AF11,AF12/2)/5</f>
        <v>1226.94100331167</v>
      </c>
      <c r="AH9" s="1" t="n">
        <f aca="false">AG9/AF9</f>
        <v>0.903735085149361</v>
      </c>
      <c r="AI9" s="53" t="n">
        <f aca="false">$C$38*AF9</f>
        <v>1362.89893083878</v>
      </c>
      <c r="AJ9" s="53"/>
      <c r="AK9" s="157" t="s">
        <v>72</v>
      </c>
      <c r="AL9" s="157" t="n">
        <v>1125.35223713314</v>
      </c>
      <c r="AM9" s="53" t="n">
        <f aca="false">SUM(AL7/2,AL8:AL11,AL12/2)/5</f>
        <v>1065.8940122778</v>
      </c>
      <c r="AN9" s="1" t="n">
        <f aca="false">AM9/AL9</f>
        <v>0.947164787260912</v>
      </c>
      <c r="AO9" s="53" t="n">
        <f aca="false">$C$38*AL9</f>
        <v>1129.71681243326</v>
      </c>
      <c r="AP9" s="53"/>
      <c r="AQ9" s="157" t="s">
        <v>72</v>
      </c>
      <c r="AR9" s="157" t="n">
        <v>1036.32546784094</v>
      </c>
      <c r="AS9" s="53" t="n">
        <f aca="false">SUM(AR7/2,AR8:AR11,AR12/2)/5</f>
        <v>979.26191041613</v>
      </c>
      <c r="AT9" s="1" t="n">
        <f aca="false">AS9/AR9</f>
        <v>0.944936644716746</v>
      </c>
      <c r="AU9" s="53" t="n">
        <f aca="false">$C$38*AR9</f>
        <v>1040.34476099252</v>
      </c>
      <c r="AV9" s="53"/>
      <c r="AW9" s="157" t="s">
        <v>72</v>
      </c>
      <c r="AX9" s="157" t="n">
        <v>1061.50549576553</v>
      </c>
      <c r="AY9" s="53" t="n">
        <f aca="false">SUM(AX7/2,AX8:AX11,AX12/2)/5</f>
        <v>1028.34231231582</v>
      </c>
      <c r="AZ9" s="1" t="n">
        <f aca="false">AY9/AX9</f>
        <v>0.96875834973818</v>
      </c>
      <c r="BA9" s="53" t="n">
        <f aca="false">$C$38*AX9</f>
        <v>1065.62244734289</v>
      </c>
    </row>
    <row r="10" customFormat="false" ht="12.8" hidden="false" customHeight="false" outlineLevel="0" collapsed="false">
      <c r="A10" s="159" t="s">
        <v>70</v>
      </c>
      <c r="B10" s="159" t="n">
        <v>944.657850094641</v>
      </c>
      <c r="C10" s="159" t="n">
        <f aca="false">SUM(B8/2,B9:B12,B13/2)/5</f>
        <v>1099.4028780215</v>
      </c>
      <c r="D10" s="160" t="n">
        <f aca="false">C10/B10</f>
        <v>1.16381066214752</v>
      </c>
      <c r="E10" s="159" t="n">
        <f aca="false">B10*$C$35</f>
        <v>952.100189443442</v>
      </c>
      <c r="F10" s="53"/>
      <c r="G10" s="159" t="s">
        <v>70</v>
      </c>
      <c r="H10" s="159" t="n">
        <v>942.308767803262</v>
      </c>
      <c r="I10" s="159" t="n">
        <f aca="false">SUM(H8/2,H9:H12,H13/2)/5</f>
        <v>1085.33798086643</v>
      </c>
      <c r="J10" s="160" t="n">
        <f aca="false">I10/H10</f>
        <v>1.15178593041918</v>
      </c>
      <c r="K10" s="159" t="n">
        <f aca="false">H10*$C$35</f>
        <v>949.732600274076</v>
      </c>
      <c r="L10" s="53"/>
      <c r="M10" s="159" t="s">
        <v>70</v>
      </c>
      <c r="N10" s="159" t="n">
        <v>893.588508237692</v>
      </c>
      <c r="O10" s="159" t="n">
        <f aca="false">SUM(N8/2,N9:N12,N13/2)/5</f>
        <v>1052.29431112741</v>
      </c>
      <c r="P10" s="160" t="n">
        <f aca="false">O10/N10</f>
        <v>1.1776050177757</v>
      </c>
      <c r="Q10" s="159" t="n">
        <f aca="false">N10*$C$35</f>
        <v>900.628505751953</v>
      </c>
      <c r="R10" s="53"/>
      <c r="S10" s="159" t="s">
        <v>70</v>
      </c>
      <c r="T10" s="159" t="n">
        <v>1012.68992213886</v>
      </c>
      <c r="U10" s="159" t="n">
        <f aca="false">SUM(T8/2,T9:T12,T13/2)/5</f>
        <v>1054.14080548798</v>
      </c>
      <c r="V10" s="160" t="n">
        <f aca="false">U10/T10</f>
        <v>1.04093146622964</v>
      </c>
      <c r="W10" s="159" t="n">
        <f aca="false">T10*$C$35</f>
        <v>1020.66824154298</v>
      </c>
      <c r="X10" s="53"/>
      <c r="Y10" s="159" t="s">
        <v>70</v>
      </c>
      <c r="Z10" s="159" t="n">
        <v>929.293103874896</v>
      </c>
      <c r="AA10" s="159" t="n">
        <f aca="false">SUM(Z8/2,Z9:Z12,Z13/2)/5</f>
        <v>1056.36849500281</v>
      </c>
      <c r="AB10" s="160" t="n">
        <f aca="false">AA10/Z10</f>
        <v>1.13674414519816</v>
      </c>
      <c r="AC10" s="159" t="n">
        <f aca="false">Z10*$C$35</f>
        <v>936.614394470051</v>
      </c>
      <c r="AD10" s="53"/>
      <c r="AE10" s="159" t="s">
        <v>70</v>
      </c>
      <c r="AF10" s="159" t="n">
        <v>1058.10598494273</v>
      </c>
      <c r="AG10" s="159" t="n">
        <f aca="false">SUM(AF8/2,AF9:AF12,AF13/2)/5</f>
        <v>1243.51976777464</v>
      </c>
      <c r="AH10" s="160" t="n">
        <f aca="false">AG10/AF10</f>
        <v>1.1752317683393</v>
      </c>
      <c r="AI10" s="159" t="n">
        <f aca="false">AF10*$C$35</f>
        <v>1066.44210770522</v>
      </c>
      <c r="AJ10" s="53"/>
      <c r="AK10" s="159" t="s">
        <v>70</v>
      </c>
      <c r="AL10" s="159" t="n">
        <v>932.761442173415</v>
      </c>
      <c r="AM10" s="159" t="n">
        <f aca="false">SUM(AL8/2,AL9:AL12,AL13/2)/5</f>
        <v>1079.82900623486</v>
      </c>
      <c r="AN10" s="160" t="n">
        <f aca="false">AM10/AL10</f>
        <v>1.15766900025238</v>
      </c>
      <c r="AO10" s="159" t="n">
        <f aca="false">AL10*$C$35</f>
        <v>940.110057530219</v>
      </c>
      <c r="AP10" s="53"/>
      <c r="AQ10" s="159" t="s">
        <v>70</v>
      </c>
      <c r="AR10" s="159" t="n">
        <v>933.956092668926</v>
      </c>
      <c r="AS10" s="159" t="n">
        <f aca="false">SUM(AR8/2,AR9:AR12,AR13/2)/5</f>
        <v>974.64380464832</v>
      </c>
      <c r="AT10" s="160" t="n">
        <f aca="false">AS10/AR10</f>
        <v>1.04356490877759</v>
      </c>
      <c r="AU10" s="159" t="n">
        <f aca="false">AR10*$C$35</f>
        <v>941.314119893096</v>
      </c>
      <c r="AV10" s="53"/>
      <c r="AW10" s="159" t="s">
        <v>70</v>
      </c>
      <c r="AX10" s="159" t="n">
        <v>1012.68992213886</v>
      </c>
      <c r="AY10" s="159" t="n">
        <f aca="false">SUM(AX8/2,AX9:AX12,AX13/2)/5</f>
        <v>1054.14080548798</v>
      </c>
      <c r="AZ10" s="160" t="n">
        <f aca="false">AY10/AX10</f>
        <v>1.04093146622964</v>
      </c>
      <c r="BA10" s="159" t="n">
        <f aca="false">AX10*$C$35</f>
        <v>1020.66824154298</v>
      </c>
    </row>
    <row r="11" customFormat="false" ht="12.8" hidden="false" customHeight="false" outlineLevel="0" collapsed="false">
      <c r="A11" s="53" t="s">
        <v>69</v>
      </c>
      <c r="B11" s="53" t="n">
        <v>1103.49461040936</v>
      </c>
      <c r="C11" s="53" t="n">
        <f aca="false">SUM(B9/2,B10:B13,B14/2)/5</f>
        <v>1108.34392243049</v>
      </c>
      <c r="D11" s="1" t="n">
        <f aca="false">C11/B11</f>
        <v>1.0043945044909</v>
      </c>
      <c r="E11" s="53" t="n">
        <f aca="false">B11*$C$36</f>
        <v>1101.68509665911</v>
      </c>
      <c r="F11" s="53"/>
      <c r="G11" s="53" t="s">
        <v>69</v>
      </c>
      <c r="H11" s="53" t="n">
        <v>1086.07970695682</v>
      </c>
      <c r="I11" s="53" t="n">
        <f aca="false">SUM(H9/2,H10:H13,H14/2)/5</f>
        <v>1092.13965015585</v>
      </c>
      <c r="J11" s="1" t="n">
        <f aca="false">I11/H11</f>
        <v>1.00557964867608</v>
      </c>
      <c r="K11" s="53" t="n">
        <f aca="false">H11*$C$36</f>
        <v>1084.29875021714</v>
      </c>
      <c r="L11" s="53"/>
      <c r="M11" s="53" t="s">
        <v>69</v>
      </c>
      <c r="N11" s="53" t="n">
        <v>999.074804279807</v>
      </c>
      <c r="O11" s="53" t="n">
        <f aca="false">SUM(N9/2,N10:N13,N14/2)/5</f>
        <v>1057.02358620229</v>
      </c>
      <c r="P11" s="1" t="n">
        <f aca="false">O11/N11</f>
        <v>1.05800244553686</v>
      </c>
      <c r="Q11" s="53" t="n">
        <f aca="false">N11*$C$36</f>
        <v>997.43651843879</v>
      </c>
      <c r="R11" s="53"/>
      <c r="S11" s="53" t="s">
        <v>69</v>
      </c>
      <c r="T11" s="53" t="n">
        <v>1078.72071442258</v>
      </c>
      <c r="U11" s="53" t="n">
        <f aca="false">SUM(T9/2,T10:T13,T14/2)/5</f>
        <v>1074.96527312276</v>
      </c>
      <c r="V11" s="1" t="n">
        <f aca="false">U11/T11</f>
        <v>0.996518615755112</v>
      </c>
      <c r="W11" s="53" t="n">
        <f aca="false">T11*$C$36</f>
        <v>1076.95182498079</v>
      </c>
      <c r="X11" s="53"/>
      <c r="Y11" s="53" t="s">
        <v>69</v>
      </c>
      <c r="Z11" s="53" t="n">
        <v>1083.62135316918</v>
      </c>
      <c r="AA11" s="53" t="n">
        <f aca="false">SUM(Z9/2,Z10:Z13,Z14/2)/5</f>
        <v>1062.10413861639</v>
      </c>
      <c r="AB11" s="1" t="n">
        <f aca="false">AA11/Z11</f>
        <v>0.9801432350056</v>
      </c>
      <c r="AC11" s="53" t="n">
        <f aca="false">Z11*$C$36</f>
        <v>1081.84442764537</v>
      </c>
      <c r="AD11" s="53"/>
      <c r="AE11" s="53" t="s">
        <v>69</v>
      </c>
      <c r="AF11" s="53" t="n">
        <v>1202.20427187188</v>
      </c>
      <c r="AG11" s="53" t="n">
        <f aca="false">SUM(AF9/2,AF10:AF13,AF14/2)/5</f>
        <v>1249.74154999912</v>
      </c>
      <c r="AH11" s="1" t="n">
        <f aca="false">AG11/AF11</f>
        <v>1.0395417644401</v>
      </c>
      <c r="AI11" s="53" t="n">
        <f aca="false">AF11*$C$36</f>
        <v>1200.23289372464</v>
      </c>
      <c r="AJ11" s="53"/>
      <c r="AK11" s="53" t="s">
        <v>69</v>
      </c>
      <c r="AL11" s="53" t="n">
        <v>1080.96058493448</v>
      </c>
      <c r="AM11" s="53" t="n">
        <f aca="false">SUM(AL9/2,AL10:AL13,AL14/2)/5</f>
        <v>1085.85874038182</v>
      </c>
      <c r="AN11" s="1" t="n">
        <f aca="false">AM11/AL11</f>
        <v>1.00453129884253</v>
      </c>
      <c r="AO11" s="53" t="n">
        <f aca="false">AL11*$C$36</f>
        <v>1079.18802254635</v>
      </c>
      <c r="AP11" s="53"/>
      <c r="AQ11" s="53" t="s">
        <v>69</v>
      </c>
      <c r="AR11" s="53" t="n">
        <v>949.811539391652</v>
      </c>
      <c r="AS11" s="53" t="n">
        <f aca="false">SUM(AR9/2,AR10:AR13,AR14/2)/5</f>
        <v>968.180353567079</v>
      </c>
      <c r="AT11" s="1" t="n">
        <f aca="false">AS11/AR11</f>
        <v>1.0193394304171</v>
      </c>
      <c r="AU11" s="53" t="n">
        <f aca="false">AR11*$C$36</f>
        <v>948.25403559919</v>
      </c>
      <c r="AV11" s="53"/>
      <c r="AW11" s="53" t="s">
        <v>69</v>
      </c>
      <c r="AX11" s="53" t="n">
        <v>1078.72071442258</v>
      </c>
      <c r="AY11" s="53" t="n">
        <f aca="false">SUM(AX9/2,AX10:AX13,AX14/2)/5</f>
        <v>1074.96527312276</v>
      </c>
      <c r="AZ11" s="1" t="n">
        <f aca="false">AY11/AX11</f>
        <v>0.996518615755112</v>
      </c>
      <c r="BA11" s="53" t="n">
        <f aca="false">AX11*$C$36</f>
        <v>1076.95182498079</v>
      </c>
    </row>
    <row r="12" customFormat="false" ht="12.8" hidden="false" customHeight="false" outlineLevel="0" collapsed="false">
      <c r="A12" s="165" t="s">
        <v>68</v>
      </c>
      <c r="B12" s="53" t="n">
        <v>1177.56827191917</v>
      </c>
      <c r="C12" s="53" t="n">
        <f aca="false">SUM(B10/2,B11:B14,B15/2)/5</f>
        <v>1140.80880303612</v>
      </c>
      <c r="D12" s="1" t="n">
        <f aca="false">C12/B12</f>
        <v>0.968783577343552</v>
      </c>
      <c r="E12" s="53" t="n">
        <f aca="false">B12*$C$39</f>
        <v>1145.35442443299</v>
      </c>
      <c r="F12" s="53"/>
      <c r="G12" s="165" t="s">
        <v>68</v>
      </c>
      <c r="H12" s="53" t="n">
        <v>1156.02576880072</v>
      </c>
      <c r="I12" s="53" t="n">
        <f aca="false">SUM(H10/2,H11:H14,H15/2)/5</f>
        <v>1121.15268088162</v>
      </c>
      <c r="J12" s="1" t="n">
        <f aca="false">I12/H12</f>
        <v>0.969833641376975</v>
      </c>
      <c r="K12" s="53" t="n">
        <f aca="false">H12*$C$39</f>
        <v>1124.40124333219</v>
      </c>
      <c r="L12" s="53"/>
      <c r="M12" s="165" t="s">
        <v>68</v>
      </c>
      <c r="N12" s="53" t="n">
        <v>1141.13414569332</v>
      </c>
      <c r="O12" s="53" t="n">
        <f aca="false">SUM(N10/2,N11:N14,N15/2)/5</f>
        <v>1091.01846680589</v>
      </c>
      <c r="P12" s="1" t="n">
        <f aca="false">O12/N12</f>
        <v>0.956082570067182</v>
      </c>
      <c r="Q12" s="53" t="n">
        <f aca="false">N12*$C$39</f>
        <v>1109.91699913185</v>
      </c>
      <c r="R12" s="53"/>
      <c r="S12" s="165" t="s">
        <v>68</v>
      </c>
      <c r="T12" s="53" t="n">
        <v>1094.71399173852</v>
      </c>
      <c r="U12" s="53" t="n">
        <f aca="false">SUM(T10/2,T11:T14,T15/2)/5</f>
        <v>1112.02614059296</v>
      </c>
      <c r="V12" s="1" t="n">
        <f aca="false">U12/T12</f>
        <v>1.0158143122177</v>
      </c>
      <c r="W12" s="53" t="n">
        <f aca="false">T12*$C$39</f>
        <v>1064.76672633421</v>
      </c>
      <c r="X12" s="53"/>
      <c r="Y12" s="165" t="s">
        <v>68</v>
      </c>
      <c r="Z12" s="53" t="n">
        <v>1110.4076570153</v>
      </c>
      <c r="AA12" s="53" t="n">
        <f aca="false">SUM(Z10/2,Z11:Z14,Z15/2)/5</f>
        <v>1082.18033517052</v>
      </c>
      <c r="AB12" s="1" t="n">
        <f aca="false">AA12/Z12</f>
        <v>0.974579316284032</v>
      </c>
      <c r="AC12" s="53" t="n">
        <f aca="false">Z12*$C$39</f>
        <v>1080.03107184094</v>
      </c>
      <c r="AD12" s="53"/>
      <c r="AE12" s="165" t="s">
        <v>68</v>
      </c>
      <c r="AF12" s="53" t="n">
        <v>1312.76830614498</v>
      </c>
      <c r="AG12" s="53" t="n">
        <f aca="false">SUM(AF10/2,AF11:AF14,AF15/2)/5</f>
        <v>1287.05705758324</v>
      </c>
      <c r="AH12" s="1" t="n">
        <f aca="false">AG12/AF12</f>
        <v>0.980414481031128</v>
      </c>
      <c r="AI12" s="53" t="n">
        <f aca="false">AF12*$C$39</f>
        <v>1276.8558932452</v>
      </c>
      <c r="AJ12" s="53"/>
      <c r="AK12" s="165" t="s">
        <v>68</v>
      </c>
      <c r="AL12" s="53" t="n">
        <v>1149.67316794031</v>
      </c>
      <c r="AM12" s="53" t="n">
        <f aca="false">SUM(AL10/2,AL11:AL14,AL15/2)/5</f>
        <v>1114.33101456685</v>
      </c>
      <c r="AN12" s="1" t="n">
        <f aca="false">AM12/AL12</f>
        <v>0.969258956058984</v>
      </c>
      <c r="AO12" s="53" t="n">
        <f aca="false">AL12*$C$39</f>
        <v>1118.22242578451</v>
      </c>
      <c r="AP12" s="53"/>
      <c r="AQ12" s="165" t="s">
        <v>68</v>
      </c>
      <c r="AR12" s="53" t="n">
        <v>962.880491332894</v>
      </c>
      <c r="AS12" s="53" t="n">
        <f aca="false">SUM(AR10/2,AR11:AR14,AR15/2)/5</f>
        <v>977.253126141918</v>
      </c>
      <c r="AT12" s="1" t="n">
        <f aca="false">AS12/AR12</f>
        <v>1.01492670683267</v>
      </c>
      <c r="AU12" s="53" t="n">
        <f aca="false">AR12*$C$39</f>
        <v>936.539695614388</v>
      </c>
      <c r="AV12" s="53"/>
      <c r="AW12" s="165" t="s">
        <v>68</v>
      </c>
      <c r="AX12" s="53" t="n">
        <v>1094.71399173852</v>
      </c>
      <c r="AY12" s="53" t="n">
        <f aca="false">SUM(AX10/2,AX11:AX14,AX15/2)/5</f>
        <v>1112.02614059296</v>
      </c>
      <c r="AZ12" s="1" t="n">
        <f aca="false">AY12/AX12</f>
        <v>1.0158143122177</v>
      </c>
      <c r="BA12" s="53" t="n">
        <f aca="false">AX12*$C$39</f>
        <v>1064.76672633421</v>
      </c>
    </row>
    <row r="13" customFormat="false" ht="12.8" hidden="false" customHeight="false" outlineLevel="0" collapsed="false">
      <c r="A13" s="53" t="s">
        <v>67</v>
      </c>
      <c r="B13" s="53" t="n">
        <v>1157.48825490115</v>
      </c>
      <c r="C13" s="53" t="n">
        <f aca="false">SUM(B11/2,B12:B15,B16/2)/5</f>
        <v>1192.18287250707</v>
      </c>
      <c r="D13" s="1" t="n">
        <f aca="false">C13/B13</f>
        <v>1.02997405585673</v>
      </c>
      <c r="E13" s="53" t="n">
        <f aca="false">$C$37*B13</f>
        <v>1177.44253883885</v>
      </c>
      <c r="F13" s="53"/>
      <c r="G13" s="53" t="s">
        <v>67</v>
      </c>
      <c r="H13" s="53" t="n">
        <v>1137.09762565566</v>
      </c>
      <c r="I13" s="53" t="n">
        <f aca="false">SUM(H11/2,H12:H15,H16/2)/5</f>
        <v>1168.98713566489</v>
      </c>
      <c r="J13" s="1" t="n">
        <f aca="false">I13/H13</f>
        <v>1.02804465446917</v>
      </c>
      <c r="K13" s="53" t="n">
        <f aca="false">$C$37*H13</f>
        <v>1156.70038947736</v>
      </c>
      <c r="L13" s="53"/>
      <c r="M13" s="53" t="s">
        <v>67</v>
      </c>
      <c r="N13" s="53" t="n">
        <v>1112.65389212724</v>
      </c>
      <c r="O13" s="53" t="n">
        <f aca="false">SUM(N11/2,N12:N15,N16/2)/5</f>
        <v>1153.3640391061</v>
      </c>
      <c r="P13" s="1" t="n">
        <f aca="false">O13/N13</f>
        <v>1.03658832927913</v>
      </c>
      <c r="Q13" s="53" t="n">
        <f aca="false">$C$37*N13</f>
        <v>1131.83526316395</v>
      </c>
      <c r="R13" s="53"/>
      <c r="S13" s="53" t="s">
        <v>67</v>
      </c>
      <c r="T13" s="53" t="n">
        <v>1087.64308452214</v>
      </c>
      <c r="U13" s="53" t="n">
        <f aca="false">SUM(T11/2,T12:T15,T16/2)/5</f>
        <v>1160.90413201317</v>
      </c>
      <c r="V13" s="1" t="n">
        <f aca="false">U13/T13</f>
        <v>1.06735761807672</v>
      </c>
      <c r="W13" s="53" t="n">
        <f aca="false">$C$37*T13</f>
        <v>1106.39328681537</v>
      </c>
      <c r="X13" s="53"/>
      <c r="Y13" s="53" t="s">
        <v>67</v>
      </c>
      <c r="Z13" s="53" t="n">
        <v>1103.64221079996</v>
      </c>
      <c r="AA13" s="53" t="n">
        <f aca="false">SUM(Z11/2,Z12:Z15,Z16/2)/5</f>
        <v>1113.0612717729</v>
      </c>
      <c r="AB13" s="1" t="n">
        <f aca="false">AA13/Z13</f>
        <v>1.00853452403393</v>
      </c>
      <c r="AC13" s="53" t="n">
        <f aca="false">$C$37*Z13</f>
        <v>1122.66822678473</v>
      </c>
      <c r="AD13" s="53"/>
      <c r="AE13" s="53" t="s">
        <v>67</v>
      </c>
      <c r="AF13" s="53" t="n">
        <v>1309.82460444008</v>
      </c>
      <c r="AG13" s="53" t="n">
        <f aca="false">SUM(AF11/2,AF12:AF15,AF16/2)/5</f>
        <v>1356.74510697202</v>
      </c>
      <c r="AH13" s="1" t="n">
        <f aca="false">AG13/AF13</f>
        <v>1.03582197370006</v>
      </c>
      <c r="AI13" s="53" t="n">
        <f aca="false">$C$37*AF13</f>
        <v>1332.40505996947</v>
      </c>
      <c r="AJ13" s="53"/>
      <c r="AK13" s="53" t="s">
        <v>67</v>
      </c>
      <c r="AL13" s="53" t="n">
        <v>1132.56355189635</v>
      </c>
      <c r="AM13" s="53" t="n">
        <f aca="false">SUM(AL11/2,AL12:AL15,AL16/2)/5</f>
        <v>1161.31336902687</v>
      </c>
      <c r="AN13" s="1" t="n">
        <f aca="false">AM13/AL13</f>
        <v>1.02538472749046</v>
      </c>
      <c r="AO13" s="53" t="n">
        <f aca="false">$C$37*AL13</f>
        <v>1152.08815147335</v>
      </c>
      <c r="AP13" s="53"/>
      <c r="AQ13" s="53" t="s">
        <v>67</v>
      </c>
      <c r="AR13" s="53" t="n">
        <v>978.621277361791</v>
      </c>
      <c r="AS13" s="53" t="n">
        <f aca="false">SUM(AR11/2,AR12:AR15,AR16/2)/5</f>
        <v>1004.25130721635</v>
      </c>
      <c r="AT13" s="1" t="n">
        <f aca="false">AS13/AR13</f>
        <v>1.02618993725913</v>
      </c>
      <c r="AU13" s="53" t="n">
        <f aca="false">$C$37*AR13</f>
        <v>995.492020328958</v>
      </c>
      <c r="AV13" s="53"/>
      <c r="AW13" s="53" t="s">
        <v>67</v>
      </c>
      <c r="AX13" s="53" t="n">
        <v>1087.64308452214</v>
      </c>
      <c r="AY13" s="53" t="n">
        <f aca="false">SUM(AX11/2,AX12:AX15,AX16/2)/5</f>
        <v>1160.90413201317</v>
      </c>
      <c r="AZ13" s="1" t="n">
        <f aca="false">AY13/AX13</f>
        <v>1.06735761807672</v>
      </c>
      <c r="BA13" s="53" t="n">
        <f aca="false">$C$37*AX13</f>
        <v>1106.39328681537</v>
      </c>
    </row>
    <row r="14" customFormat="false" ht="12.8" hidden="false" customHeight="false" outlineLevel="0" collapsed="false">
      <c r="A14" s="157" t="s">
        <v>66</v>
      </c>
      <c r="B14" s="157" t="n">
        <v>1172.76677330007</v>
      </c>
      <c r="C14" s="53" t="n">
        <f aca="false">SUM(B12/2,B13:B16,B17/2)/5</f>
        <v>1245.12664896324</v>
      </c>
      <c r="D14" s="1" t="n">
        <f aca="false">C14/B14</f>
        <v>1.06170014133293</v>
      </c>
      <c r="E14" s="53" t="n">
        <f aca="false">$C$38*B14</f>
        <v>1177.31524152419</v>
      </c>
      <c r="F14" s="53"/>
      <c r="G14" s="157" t="s">
        <v>66</v>
      </c>
      <c r="H14" s="157" t="n">
        <v>1147.91445477433</v>
      </c>
      <c r="I14" s="53" t="n">
        <f aca="false">SUM(H12/2,H13:H16,H17/2)/5</f>
        <v>1218.20818789788</v>
      </c>
      <c r="J14" s="1" t="n">
        <f aca="false">I14/H14</f>
        <v>1.06123603795665</v>
      </c>
      <c r="K14" s="53" t="n">
        <f aca="false">$C$38*H14</f>
        <v>1152.36653556347</v>
      </c>
      <c r="L14" s="53"/>
      <c r="M14" s="157" t="s">
        <v>66</v>
      </c>
      <c r="N14" s="157" t="n">
        <v>1151.37942220665</v>
      </c>
      <c r="O14" s="53" t="n">
        <f aca="false">SUM(N12/2,N13:N16,N17/2)/5</f>
        <v>1226.41862483819</v>
      </c>
      <c r="P14" s="1" t="n">
        <f aca="false">O14/N14</f>
        <v>1.06517330532773</v>
      </c>
      <c r="Q14" s="53" t="n">
        <f aca="false">$C$38*N14</f>
        <v>1155.84494155375</v>
      </c>
      <c r="R14" s="53"/>
      <c r="S14" s="157" t="s">
        <v>66</v>
      </c>
      <c r="T14" s="157" t="n">
        <v>1140.61180981782</v>
      </c>
      <c r="U14" s="53" t="n">
        <f aca="false">SUM(T12/2,T13:T16,T17/2)/5</f>
        <v>1220.96254185356</v>
      </c>
      <c r="V14" s="1" t="n">
        <f aca="false">U14/T14</f>
        <v>1.07044529203022</v>
      </c>
      <c r="W14" s="53" t="n">
        <f aca="false">$C$38*T14</f>
        <v>1145.03556796916</v>
      </c>
      <c r="X14" s="53"/>
      <c r="Y14" s="157" t="s">
        <v>66</v>
      </c>
      <c r="Z14" s="157" t="n">
        <v>1083.94492976813</v>
      </c>
      <c r="AA14" s="53" t="n">
        <f aca="false">SUM(Z12/2,Z13:Z16,Z17/2)/5</f>
        <v>1135.80017450958</v>
      </c>
      <c r="AB14" s="1" t="n">
        <f aca="false">AA14/Z14</f>
        <v>1.0478393720173</v>
      </c>
      <c r="AC14" s="53" t="n">
        <f aca="false">$C$38*Z14</f>
        <v>1088.14891062945</v>
      </c>
      <c r="AD14" s="53"/>
      <c r="AE14" s="157" t="s">
        <v>66</v>
      </c>
      <c r="AF14" s="157" t="n">
        <v>1373.97569109822</v>
      </c>
      <c r="AG14" s="53" t="n">
        <f aca="false">SUM(AF12/2,AF13:AF16,AF17/2)/5</f>
        <v>1431.34837891983</v>
      </c>
      <c r="AH14" s="1" t="n">
        <f aca="false">AG14/AF14</f>
        <v>1.0417566978756</v>
      </c>
      <c r="AI14" s="53" t="n">
        <f aca="false">$C$38*AF14</f>
        <v>1379.30452963113</v>
      </c>
      <c r="AJ14" s="53"/>
      <c r="AK14" s="157" t="s">
        <v>66</v>
      </c>
      <c r="AL14" s="157" t="n">
        <v>1141.3176727959</v>
      </c>
      <c r="AM14" s="53" t="n">
        <f aca="false">SUM(AL12/2,AL13:AL16,AL17/2)/5</f>
        <v>1209.21799163444</v>
      </c>
      <c r="AN14" s="1" t="n">
        <f aca="false">AM14/AL14</f>
        <v>1.05949291810422</v>
      </c>
      <c r="AO14" s="53" t="n">
        <f aca="false">$C$38*AL14</f>
        <v>1145.74416857198</v>
      </c>
      <c r="AP14" s="53"/>
      <c r="AQ14" s="157" t="s">
        <v>66</v>
      </c>
      <c r="AR14" s="157" t="n">
        <v>994.939266319325</v>
      </c>
      <c r="AS14" s="53" t="n">
        <f aca="false">SUM(AR12/2,AR13:AR16,AR17/2)/5</f>
        <v>1039.64423199487</v>
      </c>
      <c r="AT14" s="1" t="n">
        <f aca="false">AS14/AR14</f>
        <v>1.04493235636475</v>
      </c>
      <c r="AU14" s="53" t="n">
        <f aca="false">$C$38*AR14</f>
        <v>998.79804688918</v>
      </c>
      <c r="AV14" s="53"/>
      <c r="AW14" s="157" t="s">
        <v>66</v>
      </c>
      <c r="AX14" s="157" t="n">
        <v>1140.61180981782</v>
      </c>
      <c r="AY14" s="53" t="n">
        <f aca="false">SUM(AX12/2,AX13:AX16,AX17/2)/5</f>
        <v>1220.96254185356</v>
      </c>
      <c r="AZ14" s="1" t="n">
        <f aca="false">AY14/AX14</f>
        <v>1.07044529203022</v>
      </c>
      <c r="BA14" s="53" t="n">
        <f aca="false">$C$38*AX14</f>
        <v>1145.03556796916</v>
      </c>
    </row>
    <row r="15" customFormat="false" ht="12.8" hidden="false" customHeight="false" outlineLevel="0" collapsed="false">
      <c r="A15" s="159" t="s">
        <v>65</v>
      </c>
      <c r="B15" s="159" t="n">
        <v>1240.79435920704</v>
      </c>
      <c r="C15" s="159" t="n">
        <f aca="false">SUM(B13/2,B14:B17,B18/2)/5</f>
        <v>1303.53589810511</v>
      </c>
      <c r="D15" s="160" t="n">
        <f aca="false">C15/B15</f>
        <v>1.05056562228262</v>
      </c>
      <c r="E15" s="159" t="n">
        <f aca="false">B15*$C$35</f>
        <v>1250.56976379651</v>
      </c>
      <c r="F15" s="53"/>
      <c r="G15" s="159" t="s">
        <v>65</v>
      </c>
      <c r="H15" s="159" t="n">
        <v>1214.98292863787</v>
      </c>
      <c r="I15" s="159" t="n">
        <f aca="false">SUM(H13/2,H14:H17,H18/2)/5</f>
        <v>1271.90333645474</v>
      </c>
      <c r="J15" s="160" t="n">
        <f aca="false">I15/H15</f>
        <v>1.04684873052553</v>
      </c>
      <c r="K15" s="159" t="n">
        <f aca="false">H15*$C$35</f>
        <v>1224.55498190246</v>
      </c>
      <c r="L15" s="53"/>
      <c r="M15" s="159" t="s">
        <v>65</v>
      </c>
      <c r="N15" s="159" t="n">
        <v>1208.11163120715</v>
      </c>
      <c r="O15" s="159" t="n">
        <f aca="false">SUM(N13/2,N14:N17,N18/2)/5</f>
        <v>1308.04652102786</v>
      </c>
      <c r="P15" s="160" t="n">
        <f aca="false">O15/N15</f>
        <v>1.08271991365637</v>
      </c>
      <c r="Q15" s="159" t="n">
        <f aca="false">N15*$C$35</f>
        <v>1217.629550028</v>
      </c>
      <c r="R15" s="53"/>
      <c r="S15" s="159" t="s">
        <v>65</v>
      </c>
      <c r="T15" s="159" t="n">
        <v>1304.1922827886</v>
      </c>
      <c r="U15" s="159" t="n">
        <f aca="false">SUM(T13/2,T14:T17,T18/2)/5</f>
        <v>1311.53820936486</v>
      </c>
      <c r="V15" s="160" t="n">
        <f aca="false">U15/T15</f>
        <v>1.00563254872246</v>
      </c>
      <c r="W15" s="159" t="n">
        <f aca="false">T15*$C$35</f>
        <v>1314.46715801843</v>
      </c>
      <c r="X15" s="53"/>
      <c r="Y15" s="159" t="s">
        <v>65</v>
      </c>
      <c r="Z15" s="159" t="n">
        <v>1129.27794632521</v>
      </c>
      <c r="AA15" s="159" t="n">
        <f aca="false">SUM(Z13/2,Z14:Z17,Z18/2)/5</f>
        <v>1153.36066125567</v>
      </c>
      <c r="AB15" s="160" t="n">
        <f aca="false">AA15/Z15</f>
        <v>1.02132576396168</v>
      </c>
      <c r="AC15" s="159" t="n">
        <f aca="false">Z15*$C$35</f>
        <v>1138.17478627083</v>
      </c>
      <c r="AD15" s="53"/>
      <c r="AE15" s="159" t="s">
        <v>65</v>
      </c>
      <c r="AF15" s="159" t="n">
        <v>1414.91884377939</v>
      </c>
      <c r="AG15" s="159" t="n">
        <f aca="false">SUM(AF13/2,AF14:AF17,AF18/2)/5</f>
        <v>1507.34144019438</v>
      </c>
      <c r="AH15" s="160" t="n">
        <f aca="false">AG15/AF15</f>
        <v>1.06532006893634</v>
      </c>
      <c r="AI15" s="159" t="n">
        <f aca="false">AF15*$C$35</f>
        <v>1426.06606092829</v>
      </c>
      <c r="AJ15" s="53"/>
      <c r="AK15" s="159" t="s">
        <v>65</v>
      </c>
      <c r="AL15" s="159" t="n">
        <v>1201.518748361</v>
      </c>
      <c r="AM15" s="159" t="n">
        <f aca="false">SUM(AL13/2,AL14:AL17,AL18/2)/5</f>
        <v>1260.09417613752</v>
      </c>
      <c r="AN15" s="160" t="n">
        <f aca="false">AM15/AL15</f>
        <v>1.04875115586538</v>
      </c>
      <c r="AO15" s="159" t="n">
        <f aca="false">AL15*$C$35</f>
        <v>1210.98472618393</v>
      </c>
      <c r="AP15" s="53"/>
      <c r="AQ15" s="159" t="s">
        <v>65</v>
      </c>
      <c r="AR15" s="159" t="n">
        <v>1066.07001993893</v>
      </c>
      <c r="AS15" s="159" t="n">
        <f aca="false">SUM(AR13/2,AR14:AR17,AR18/2)/5</f>
        <v>1083.94165398821</v>
      </c>
      <c r="AT15" s="160" t="n">
        <f aca="false">AS15/AR15</f>
        <v>1.01676403398935</v>
      </c>
      <c r="AU15" s="159" t="n">
        <f aca="false">AR15*$C$35</f>
        <v>1074.46888610743</v>
      </c>
      <c r="AV15" s="53"/>
      <c r="AW15" s="159" t="s">
        <v>65</v>
      </c>
      <c r="AX15" s="159" t="n">
        <v>1304.1922827886</v>
      </c>
      <c r="AY15" s="159" t="n">
        <f aca="false">SUM(AX13/2,AX14:AX17,AX18/2)/5</f>
        <v>1311.53820936486</v>
      </c>
      <c r="AZ15" s="160" t="n">
        <f aca="false">AY15/AX15</f>
        <v>1.00563254872246</v>
      </c>
      <c r="BA15" s="159" t="n">
        <f aca="false">AX15*$C$35</f>
        <v>1314.46715801843</v>
      </c>
    </row>
    <row r="16" customFormat="false" ht="12.8" hidden="false" customHeight="false" outlineLevel="0" collapsed="false">
      <c r="A16" s="53" t="s">
        <v>64</v>
      </c>
      <c r="B16" s="53" t="n">
        <v>1321.09879600648</v>
      </c>
      <c r="C16" s="53" t="n">
        <f aca="false">SUM(B14/2,B15:B18,B19/2)/5</f>
        <v>1367.25793750875</v>
      </c>
      <c r="D16" s="1" t="n">
        <f aca="false">C16/B16</f>
        <v>1.03493996182708</v>
      </c>
      <c r="E16" s="53" t="n">
        <f aca="false">B16*$C$36</f>
        <v>1318.93245426429</v>
      </c>
      <c r="F16" s="53"/>
      <c r="G16" s="53" t="s">
        <v>64</v>
      </c>
      <c r="H16" s="53" t="n">
        <v>1291.75009395494</v>
      </c>
      <c r="I16" s="53" t="n">
        <f aca="false">SUM(H14/2,H15:H18,H19/2)/5</f>
        <v>1330.68037646121</v>
      </c>
      <c r="J16" s="1" t="n">
        <f aca="false">I16/H16</f>
        <v>1.03013762699802</v>
      </c>
      <c r="K16" s="53" t="n">
        <f aca="false">H16*$C$36</f>
        <v>1289.63187830183</v>
      </c>
      <c r="L16" s="53"/>
      <c r="M16" s="53" t="s">
        <v>64</v>
      </c>
      <c r="N16" s="53" t="n">
        <v>1308.00740431248</v>
      </c>
      <c r="O16" s="53" t="n">
        <f aca="false">SUM(N14/2,N15:N18,N19/2)/5</f>
        <v>1400.51249277466</v>
      </c>
      <c r="P16" s="1" t="n">
        <f aca="false">O16/N16</f>
        <v>1.07072214435269</v>
      </c>
      <c r="Q16" s="53" t="n">
        <f aca="false">N16*$C$36</f>
        <v>1305.8625298734</v>
      </c>
      <c r="R16" s="53"/>
      <c r="S16" s="53" t="s">
        <v>64</v>
      </c>
      <c r="T16" s="53" t="n">
        <v>1275.99826797498</v>
      </c>
      <c r="U16" s="53" t="n">
        <f aca="false">SUM(T14/2,T15:T18,T19/2)/5</f>
        <v>1405.26182057999</v>
      </c>
      <c r="V16" s="1" t="n">
        <f aca="false">U16/T16</f>
        <v>1.10130386212056</v>
      </c>
      <c r="W16" s="53" t="n">
        <f aca="false">T16*$C$36</f>
        <v>1273.90588221304</v>
      </c>
      <c r="X16" s="53"/>
      <c r="Y16" s="53" t="s">
        <v>64</v>
      </c>
      <c r="Z16" s="53" t="n">
        <v>1192.44587674258</v>
      </c>
      <c r="AA16" s="53" t="n">
        <f aca="false">SUM(Z14/2,Z15:Z18,Z19/2)/5</f>
        <v>1170.0491804482</v>
      </c>
      <c r="AB16" s="1" t="n">
        <f aca="false">AA16/Z16</f>
        <v>0.981217850863336</v>
      </c>
      <c r="AC16" s="53" t="n">
        <f aca="false">Z16*$C$36</f>
        <v>1190.49050044075</v>
      </c>
      <c r="AD16" s="53"/>
      <c r="AE16" s="53" t="s">
        <v>64</v>
      </c>
      <c r="AF16" s="53" t="n">
        <v>1542.27190692296</v>
      </c>
      <c r="AG16" s="53" t="n">
        <f aca="false">SUM(AF14/2,AF15:AF18,AF19/2)/5</f>
        <v>1585.04289977981</v>
      </c>
      <c r="AH16" s="1" t="n">
        <f aca="false">AG16/AF16</f>
        <v>1.02773245927962</v>
      </c>
      <c r="AI16" s="53" t="n">
        <f aca="false">AF16*$C$36</f>
        <v>1539.74288485446</v>
      </c>
      <c r="AJ16" s="53"/>
      <c r="AK16" s="53" t="s">
        <v>64</v>
      </c>
      <c r="AL16" s="53" t="n">
        <v>1282.0268233471</v>
      </c>
      <c r="AM16" s="53" t="n">
        <f aca="false">SUM(AL14/2,AL15:AL18,AL19/2)/5</f>
        <v>1315.60337503972</v>
      </c>
      <c r="AN16" s="1" t="n">
        <f aca="false">AM16/AL16</f>
        <v>1.02619020997155</v>
      </c>
      <c r="AO16" s="53" t="n">
        <f aca="false">AL16*$C$36</f>
        <v>1279.9245519421</v>
      </c>
      <c r="AP16" s="53"/>
      <c r="AQ16" s="53" t="s">
        <v>64</v>
      </c>
      <c r="AR16" s="53" t="n">
        <v>1087.67942286592</v>
      </c>
      <c r="AS16" s="53" t="n">
        <f aca="false">SUM(AR14/2,AR15:AR18,AR19/2)/5</f>
        <v>1127.31331673287</v>
      </c>
      <c r="AT16" s="1" t="n">
        <f aca="false">AS16/AR16</f>
        <v>1.03643894794159</v>
      </c>
      <c r="AU16" s="53" t="n">
        <f aca="false">AR16*$C$36</f>
        <v>1085.89584290733</v>
      </c>
      <c r="AV16" s="53"/>
      <c r="AW16" s="53" t="s">
        <v>64</v>
      </c>
      <c r="AX16" s="53" t="n">
        <v>1275.99826797498</v>
      </c>
      <c r="AY16" s="53" t="n">
        <f aca="false">SUM(AX14/2,AX15:AX18,AX19/2)/5</f>
        <v>1405.26182057999</v>
      </c>
      <c r="AZ16" s="1" t="n">
        <f aca="false">AY16/AX16</f>
        <v>1.10130386212056</v>
      </c>
      <c r="BA16" s="53" t="n">
        <f aca="false">AX16*$C$36</f>
        <v>1273.90588221304</v>
      </c>
    </row>
    <row r="17" customFormat="false" ht="12.8" hidden="false" customHeight="false" outlineLevel="0" collapsed="false">
      <c r="A17" s="165" t="s">
        <v>63</v>
      </c>
      <c r="B17" s="53" t="n">
        <v>1489.40185088379</v>
      </c>
      <c r="C17" s="53" t="n">
        <f aca="false">SUM(B15/2,B16:B19,B20/2)/5</f>
        <v>1441.88162061191</v>
      </c>
      <c r="D17" s="1" t="n">
        <f aca="false">C17/B17</f>
        <v>0.968094419754023</v>
      </c>
      <c r="E17" s="53" t="n">
        <f aca="false">B17*$C$39</f>
        <v>1448.65740725861</v>
      </c>
      <c r="F17" s="53"/>
      <c r="G17" s="165" t="s">
        <v>63</v>
      </c>
      <c r="H17" s="53" t="n">
        <v>1442.5659041325</v>
      </c>
      <c r="I17" s="53" t="n">
        <f aca="false">SUM(H15/2,H16:H19,H20/2)/5</f>
        <v>1399.19059587035</v>
      </c>
      <c r="J17" s="1" t="n">
        <f aca="false">I17/H17</f>
        <v>0.969931835947397</v>
      </c>
      <c r="K17" s="53" t="n">
        <f aca="false">H17*$C$39</f>
        <v>1403.10271619457</v>
      </c>
      <c r="L17" s="53"/>
      <c r="M17" s="165" t="s">
        <v>63</v>
      </c>
      <c r="N17" s="53" t="n">
        <v>1562.74740298156</v>
      </c>
      <c r="O17" s="53" t="n">
        <f aca="false">SUM(N15/2,N16:N19,N20/2)/5</f>
        <v>1509.35272354027</v>
      </c>
      <c r="P17" s="1" t="n">
        <f aca="false">O17/N17</f>
        <v>0.965832815118156</v>
      </c>
      <c r="Q17" s="53" t="n">
        <f aca="false">N17*$C$39</f>
        <v>1519.99650038037</v>
      </c>
      <c r="R17" s="53"/>
      <c r="S17" s="165" t="s">
        <v>63</v>
      </c>
      <c r="T17" s="53" t="n">
        <v>1498.02053658996</v>
      </c>
      <c r="U17" s="53" t="n">
        <f aca="false">SUM(T15/2,T16:T19,T20/2)/5</f>
        <v>1507.87437893571</v>
      </c>
      <c r="V17" s="1" t="n">
        <f aca="false">U17/T17</f>
        <v>1.00657790871691</v>
      </c>
      <c r="W17" s="53" t="n">
        <f aca="false">T17*$C$39</f>
        <v>1457.04031807725</v>
      </c>
      <c r="X17" s="53"/>
      <c r="Y17" s="165" t="s">
        <v>63</v>
      </c>
      <c r="Z17" s="53" t="n">
        <v>1228.9721608087</v>
      </c>
      <c r="AA17" s="53" t="n">
        <f aca="false">SUM(Z15/2,Z16:Z19,Z20/2)/5</f>
        <v>1194.26505333975</v>
      </c>
      <c r="AB17" s="1" t="n">
        <f aca="false">AA17/Z17</f>
        <v>0.971759240301987</v>
      </c>
      <c r="AC17" s="53" t="n">
        <f aca="false">Z17*$C$39</f>
        <v>1195.35209588581</v>
      </c>
      <c r="AD17" s="53"/>
      <c r="AE17" s="165" t="s">
        <v>63</v>
      </c>
      <c r="AF17" s="53" t="n">
        <v>1718.73339057198</v>
      </c>
      <c r="AG17" s="53" t="n">
        <f aca="false">SUM(AF15/2,AF16:AF19,AF20/2)/5</f>
        <v>1663.9189197082</v>
      </c>
      <c r="AH17" s="1" t="n">
        <f aca="false">AG17/AF17</f>
        <v>0.968107636027518</v>
      </c>
      <c r="AI17" s="53" t="n">
        <f aca="false">AF17*$C$39</f>
        <v>1671.71529690081</v>
      </c>
      <c r="AJ17" s="53"/>
      <c r="AK17" s="165" t="s">
        <v>63</v>
      </c>
      <c r="AL17" s="53" t="n">
        <v>1427.65315560343</v>
      </c>
      <c r="AM17" s="53" t="n">
        <f aca="false">SUM(AL15/2,AL16:AL19,AL20/2)/5</f>
        <v>1380.24203329456</v>
      </c>
      <c r="AN17" s="1" t="n">
        <f aca="false">AM17/AL17</f>
        <v>0.966790867849947</v>
      </c>
      <c r="AO17" s="53" t="n">
        <f aca="false">AL17*$C$39</f>
        <v>1388.5979244848</v>
      </c>
      <c r="AP17" s="53"/>
      <c r="AQ17" s="165" t="s">
        <v>63</v>
      </c>
      <c r="AR17" s="53" t="n">
        <v>1178.94185564387</v>
      </c>
      <c r="AS17" s="53" t="n">
        <f aca="false">SUM(AR15/2,AR16:AR19,AR20/2)/5</f>
        <v>1171.10158103944</v>
      </c>
      <c r="AT17" s="1" t="n">
        <f aca="false">AS17/AR17</f>
        <v>0.993349735979855</v>
      </c>
      <c r="AU17" s="53" t="n">
        <f aca="false">AR17*$C$39</f>
        <v>1146.69043206323</v>
      </c>
      <c r="AV17" s="53"/>
      <c r="AW17" s="165" t="s">
        <v>63</v>
      </c>
      <c r="AX17" s="53" t="n">
        <v>1498.02053658996</v>
      </c>
      <c r="AY17" s="53" t="n">
        <f aca="false">SUM(AX15/2,AX16:AX19,AX20/2)/5</f>
        <v>1507.87437893571</v>
      </c>
      <c r="AZ17" s="1" t="n">
        <f aca="false">AY17/AX17</f>
        <v>1.00657790871691</v>
      </c>
      <c r="BA17" s="53" t="n">
        <f aca="false">AX17*$C$39</f>
        <v>1457.04031807725</v>
      </c>
    </row>
    <row r="18" customFormat="false" ht="12.8" hidden="false" customHeight="false" outlineLevel="0" collapsed="false">
      <c r="A18" s="53" t="s">
        <v>62</v>
      </c>
      <c r="B18" s="53" t="n">
        <v>1429.74716735523</v>
      </c>
      <c r="C18" s="53" t="n">
        <f aca="false">SUM(B16/2,B17:B20,B21/2)/5</f>
        <v>1500.59986861052</v>
      </c>
      <c r="D18" s="1" t="n">
        <f aca="false">C18/B18</f>
        <v>1.04955610535418</v>
      </c>
      <c r="E18" s="53" t="n">
        <f aca="false">$C$37*B18</f>
        <v>1454.39500357795</v>
      </c>
      <c r="F18" s="53"/>
      <c r="G18" s="53" t="s">
        <v>62</v>
      </c>
      <c r="H18" s="53" t="n">
        <v>1387.5089758925</v>
      </c>
      <c r="I18" s="53" t="n">
        <f aca="false">SUM(H16/2,H17:H20,H21/2)/5</f>
        <v>1452.77146687878</v>
      </c>
      <c r="J18" s="1" t="n">
        <f aca="false">I18/H18</f>
        <v>1.0470357252603</v>
      </c>
      <c r="K18" s="53" t="n">
        <f aca="false">$C$37*H18</f>
        <v>1411.42865538284</v>
      </c>
      <c r="L18" s="53"/>
      <c r="M18" s="53" t="s">
        <v>62</v>
      </c>
      <c r="N18" s="53" t="n">
        <v>1507.31959673565</v>
      </c>
      <c r="O18" s="53" t="n">
        <f aca="false">SUM(N16/2,N17:N20,N21/2)/5</f>
        <v>1593.81246625404</v>
      </c>
      <c r="P18" s="1" t="n">
        <f aca="false">O18/N18</f>
        <v>1.05738190474382</v>
      </c>
      <c r="Q18" s="53" t="n">
        <f aca="false">$C$37*N18</f>
        <v>1533.30472711669</v>
      </c>
      <c r="R18" s="53"/>
      <c r="S18" s="53" t="s">
        <v>62</v>
      </c>
      <c r="T18" s="53" t="n">
        <v>1590.09321478376</v>
      </c>
      <c r="U18" s="53" t="n">
        <f aca="false">SUM(T16/2,T17:T20,T21/2)/5</f>
        <v>1596.21488673933</v>
      </c>
      <c r="V18" s="1" t="n">
        <f aca="false">U18/T18</f>
        <v>1.0038498824463</v>
      </c>
      <c r="W18" s="53" t="n">
        <f aca="false">$C$37*T18</f>
        <v>1617.50530415992</v>
      </c>
      <c r="X18" s="53"/>
      <c r="Y18" s="53" t="s">
        <v>62</v>
      </c>
      <c r="Z18" s="53" t="n">
        <v>1160.68257446748</v>
      </c>
      <c r="AA18" s="53" t="n">
        <f aca="false">SUM(Z16/2,Z17:Z20,Z21/2)/5</f>
        <v>1219.5483106805</v>
      </c>
      <c r="AB18" s="1" t="n">
        <f aca="false">AA18/Z18</f>
        <v>1.05071648141184</v>
      </c>
      <c r="AC18" s="53" t="n">
        <f aca="false">$C$37*Z18</f>
        <v>1180.69192622928</v>
      </c>
      <c r="AD18" s="53"/>
      <c r="AE18" s="53" t="s">
        <v>62</v>
      </c>
      <c r="AF18" s="53" t="n">
        <v>1663.79013275861</v>
      </c>
      <c r="AG18" s="53" t="n">
        <f aca="false">SUM(AF16/2,AF17:AF20,AF21/2)/5</f>
        <v>1715.26957649244</v>
      </c>
      <c r="AH18" s="1" t="n">
        <f aca="false">AG18/AF18</f>
        <v>1.03094106805915</v>
      </c>
      <c r="AI18" s="53" t="n">
        <f aca="false">$C$37*AF18</f>
        <v>1692.47270520047</v>
      </c>
      <c r="AJ18" s="53"/>
      <c r="AK18" s="53" t="s">
        <v>62</v>
      </c>
      <c r="AL18" s="53" t="n">
        <v>1363.34540926402</v>
      </c>
      <c r="AM18" s="53" t="n">
        <f aca="false">SUM(AL16/2,AL17:AL20,AL21/2)/5</f>
        <v>1429.96943715695</v>
      </c>
      <c r="AN18" s="1" t="n">
        <f aca="false">AM18/AL18</f>
        <v>1.04886804726096</v>
      </c>
      <c r="AO18" s="53" t="n">
        <f aca="false">$C$37*AL18</f>
        <v>1386.8485258498</v>
      </c>
      <c r="AP18" s="53"/>
      <c r="AQ18" s="53" t="s">
        <v>62</v>
      </c>
      <c r="AR18" s="53" t="n">
        <v>1205.53413298421</v>
      </c>
      <c r="AS18" s="53" t="n">
        <f aca="false">SUM(AR16/2,AR17:AR20,AR21/2)/5</f>
        <v>1203.33530064432</v>
      </c>
      <c r="AT18" s="1" t="n">
        <f aca="false">AS18/AR18</f>
        <v>0.998176051362024</v>
      </c>
      <c r="AU18" s="53" t="n">
        <f aca="false">$C$37*AR18</f>
        <v>1226.31669408952</v>
      </c>
      <c r="AV18" s="53"/>
      <c r="AW18" s="53" t="s">
        <v>62</v>
      </c>
      <c r="AX18" s="53" t="n">
        <v>1590.09321478376</v>
      </c>
      <c r="AY18" s="53" t="n">
        <f aca="false">SUM(AX16/2,AX17:AX20,AX21/2)/5</f>
        <v>1596.21488673933</v>
      </c>
      <c r="AZ18" s="1" t="n">
        <f aca="false">AY18/AX18</f>
        <v>1.0038498824463</v>
      </c>
      <c r="BA18" s="53" t="n">
        <f aca="false">$C$37*AX18</f>
        <v>1617.50530415992</v>
      </c>
    </row>
    <row r="19" customFormat="false" ht="12.8" hidden="false" customHeight="false" outlineLevel="0" collapsed="false">
      <c r="A19" s="157" t="s">
        <v>61</v>
      </c>
      <c r="B19" s="157" t="n">
        <v>1537.72825488232</v>
      </c>
      <c r="C19" s="53" t="n">
        <f aca="false">SUM(B17/2,B18:B21,B22/2)/5</f>
        <v>1522.52464968021</v>
      </c>
      <c r="D19" s="1" t="n">
        <f aca="false">C19/B19</f>
        <v>0.990112944108403</v>
      </c>
      <c r="E19" s="53" t="n">
        <f aca="false">$C$38*B19</f>
        <v>1543.69219269493</v>
      </c>
      <c r="F19" s="53"/>
      <c r="G19" s="157" t="s">
        <v>61</v>
      </c>
      <c r="H19" s="157" t="n">
        <v>1485.27350460214</v>
      </c>
      <c r="I19" s="53" t="n">
        <f aca="false">SUM(H17/2,H18:H21,H22/2)/5</f>
        <v>1472.97649189099</v>
      </c>
      <c r="J19" s="1" t="n">
        <f aca="false">I19/H19</f>
        <v>0.991720708224413</v>
      </c>
      <c r="K19" s="53" t="n">
        <f aca="false">$C$38*H19</f>
        <v>1491.0340014832</v>
      </c>
      <c r="L19" s="53"/>
      <c r="M19" s="157" t="s">
        <v>61</v>
      </c>
      <c r="N19" s="157" t="n">
        <v>1681.37343506626</v>
      </c>
      <c r="O19" s="53" t="n">
        <f aca="false">SUM(N17/2,N18:N21,N22/2)/5</f>
        <v>1626.38886344184</v>
      </c>
      <c r="P19" s="1" t="n">
        <f aca="false">O19/N19</f>
        <v>0.967297823031053</v>
      </c>
      <c r="Q19" s="53" t="n">
        <f aca="false">$C$38*N19</f>
        <v>1687.89448751794</v>
      </c>
      <c r="R19" s="53"/>
      <c r="S19" s="157" t="s">
        <v>61</v>
      </c>
      <c r="T19" s="157" t="n">
        <v>1575.39779170744</v>
      </c>
      <c r="U19" s="53" t="n">
        <f aca="false">SUM(T17/2,T18:T21,T22/2)/5</f>
        <v>1595.74507131693</v>
      </c>
      <c r="V19" s="1" t="n">
        <f aca="false">U19/T19</f>
        <v>1.0129156456335</v>
      </c>
      <c r="W19" s="53" t="n">
        <f aca="false">$C$38*T19</f>
        <v>1581.50782735909</v>
      </c>
      <c r="X19" s="53"/>
      <c r="Y19" s="157" t="s">
        <v>61</v>
      </c>
      <c r="Z19" s="157" t="n">
        <v>1193.78975802594</v>
      </c>
      <c r="AA19" s="53" t="n">
        <f aca="false">SUM(Z17/2,Z18:Z21,Z22/2)/5</f>
        <v>1239.03024282402</v>
      </c>
      <c r="AB19" s="1" t="n">
        <f aca="false">AA19/Z19</f>
        <v>1.03789652616294</v>
      </c>
      <c r="AC19" s="53" t="n">
        <f aca="false">$C$38*Z19</f>
        <v>1198.41976196558</v>
      </c>
      <c r="AD19" s="53"/>
      <c r="AE19" s="157" t="s">
        <v>61</v>
      </c>
      <c r="AF19" s="157" t="n">
        <v>1797.02475863398</v>
      </c>
      <c r="AG19" s="53" t="n">
        <f aca="false">SUM(AF17/2,AF18:AF21,AF22/2)/5</f>
        <v>1726.30203314001</v>
      </c>
      <c r="AH19" s="1" t="n">
        <f aca="false">AG19/AF19</f>
        <v>0.960644545850479</v>
      </c>
      <c r="AI19" s="53" t="n">
        <f aca="false">$C$38*AF19</f>
        <v>1803.99435412278</v>
      </c>
      <c r="AJ19" s="53"/>
      <c r="AK19" s="157" t="s">
        <v>61</v>
      </c>
      <c r="AL19" s="157" t="n">
        <v>1465.62780445024</v>
      </c>
      <c r="AM19" s="53" t="n">
        <f aca="false">SUM(AL17/2,AL18:AL21,AL22/2)/5</f>
        <v>1450.22355162434</v>
      </c>
      <c r="AN19" s="1" t="n">
        <f aca="false">AM19/AL19</f>
        <v>0.989489655709908</v>
      </c>
      <c r="AO19" s="53" t="n">
        <f aca="false">$C$38*AL19</f>
        <v>1471.31210728751</v>
      </c>
      <c r="AP19" s="53"/>
      <c r="AQ19" s="157" t="s">
        <v>61</v>
      </c>
      <c r="AR19" s="157" t="n">
        <v>1201.7430381435</v>
      </c>
      <c r="AS19" s="53" t="n">
        <f aca="false">SUM(AR17/2,AR18:AR21,AR22/2)/5</f>
        <v>1201.38195266619</v>
      </c>
      <c r="AT19" s="1" t="n">
        <f aca="false">AS19/AR19</f>
        <v>0.999699531875074</v>
      </c>
      <c r="AU19" s="53" t="n">
        <f aca="false">$C$38*AR19</f>
        <v>1206.40388814965</v>
      </c>
      <c r="AV19" s="53"/>
      <c r="AW19" s="157" t="s">
        <v>61</v>
      </c>
      <c r="AX19" s="157" t="n">
        <v>1575.39779170744</v>
      </c>
      <c r="AY19" s="53" t="n">
        <f aca="false">SUM(AX17/2,AX18:AX21,AX22/2)/5</f>
        <v>1595.74507131693</v>
      </c>
      <c r="AZ19" s="1" t="n">
        <f aca="false">AY19/AX19</f>
        <v>1.0129156456335</v>
      </c>
      <c r="BA19" s="53" t="n">
        <f aca="false">$C$38*AX19</f>
        <v>1581.50782735909</v>
      </c>
    </row>
    <row r="20" customFormat="false" ht="12.8" hidden="false" customHeight="false" outlineLevel="0" collapsed="false">
      <c r="A20" s="159" t="s">
        <v>57</v>
      </c>
      <c r="B20" s="159" t="n">
        <v>1622.06970865643</v>
      </c>
      <c r="C20" s="159" t="n">
        <f aca="false">SUM(B18/2,B19:B22,B23/2)/5</f>
        <v>1523.43143084934</v>
      </c>
      <c r="D20" s="160" t="n">
        <f aca="false">C20/B20</f>
        <v>0.939189865095998</v>
      </c>
      <c r="E20" s="159" t="n">
        <f aca="false">B20*$C$35</f>
        <v>1634.8489315444</v>
      </c>
      <c r="F20" s="53"/>
      <c r="G20" s="159" t="s">
        <v>57</v>
      </c>
      <c r="H20" s="159" t="n">
        <v>1562.72607290149</v>
      </c>
      <c r="I20" s="159" t="n">
        <f aca="false">SUM(H18/2,H19:H22,H23/2)/5</f>
        <v>1474.2941494804</v>
      </c>
      <c r="J20" s="160" t="n">
        <f aca="false">I20/H20</f>
        <v>0.943411756574265</v>
      </c>
      <c r="K20" s="159" t="n">
        <f aca="false">H20*$C$35</f>
        <v>1575.03776622261</v>
      </c>
      <c r="L20" s="53"/>
      <c r="M20" s="159" t="s">
        <v>57</v>
      </c>
      <c r="N20" s="159" t="n">
        <v>1766.51992600362</v>
      </c>
      <c r="O20" s="159" t="n">
        <f aca="false">SUM(N18/2,N19:N22,N23/2)/5</f>
        <v>1631.71509420772</v>
      </c>
      <c r="P20" s="160" t="n">
        <f aca="false">O20/N20</f>
        <v>0.923689039782944</v>
      </c>
      <c r="Q20" s="159" t="n">
        <f aca="false">N20*$C$35</f>
        <v>1780.43717737079</v>
      </c>
      <c r="R20" s="53"/>
      <c r="S20" s="159" t="s">
        <v>57</v>
      </c>
      <c r="T20" s="159" t="n">
        <v>1895.53188445621</v>
      </c>
      <c r="U20" s="159" t="n">
        <f aca="false">SUM(T18/2,T19:T22,T23/2)/5</f>
        <v>1529.07397531853</v>
      </c>
      <c r="V20" s="160" t="n">
        <f aca="false">U20/T20</f>
        <v>0.806672780266733</v>
      </c>
      <c r="W20" s="159" t="n">
        <f aca="false">T20*$C$35</f>
        <v>1910.4655363908</v>
      </c>
      <c r="X20" s="53"/>
      <c r="Y20" s="159" t="s">
        <v>57</v>
      </c>
      <c r="Z20" s="159" t="n">
        <v>1261.59184698293</v>
      </c>
      <c r="AA20" s="159" t="n">
        <f aca="false">SUM(Z18/2,Z19:Z22,Z23/2)/5</f>
        <v>1253.82958514733</v>
      </c>
      <c r="AB20" s="160" t="n">
        <f aca="false">AA20/Z20</f>
        <v>0.993847247939844</v>
      </c>
      <c r="AC20" s="159" t="n">
        <f aca="false">Z20*$C$35</f>
        <v>1271.53110133199</v>
      </c>
      <c r="AD20" s="53"/>
      <c r="AE20" s="159" t="s">
        <v>57</v>
      </c>
      <c r="AF20" s="159" t="n">
        <v>1780.62997552756</v>
      </c>
      <c r="AG20" s="159" t="n">
        <f aca="false">SUM(AF18/2,AF19:AF22,AF23/2)/5</f>
        <v>1719.31599820107</v>
      </c>
      <c r="AH20" s="160" t="n">
        <f aca="false">AG20/AF20</f>
        <v>0.965566132116628</v>
      </c>
      <c r="AI20" s="159" t="n">
        <f aca="false">AF20*$C$35</f>
        <v>1794.6583907164</v>
      </c>
      <c r="AJ20" s="53"/>
      <c r="AK20" s="159" t="s">
        <v>57</v>
      </c>
      <c r="AL20" s="159" t="n">
        <v>1523.59519925498</v>
      </c>
      <c r="AM20" s="159" t="n">
        <f aca="false">SUM(AL18/2,AL19:AL22,AL23/2)/5</f>
        <v>1454.66911709026</v>
      </c>
      <c r="AN20" s="160" t="n">
        <f aca="false">AM20/AL20</f>
        <v>0.954760895677262</v>
      </c>
      <c r="AO20" s="159" t="n">
        <f aca="false">AL20*$C$35</f>
        <v>1535.59860609897</v>
      </c>
      <c r="AP20" s="53"/>
      <c r="AQ20" s="159" t="s">
        <v>57</v>
      </c>
      <c r="AR20" s="159" t="n">
        <v>1297.14889118046</v>
      </c>
      <c r="AS20" s="159" t="n">
        <f aca="false">SUM(AR18/2,AR19:AR22,AR23/2)/5</f>
        <v>1175.97844171772</v>
      </c>
      <c r="AT20" s="160" t="n">
        <f aca="false">AS20/AR20</f>
        <v>0.906587092440503</v>
      </c>
      <c r="AU20" s="159" t="n">
        <f aca="false">AR20*$C$35</f>
        <v>1307.36827614944</v>
      </c>
      <c r="AV20" s="53"/>
      <c r="AW20" s="159" t="s">
        <v>57</v>
      </c>
      <c r="AX20" s="159" t="n">
        <v>1895.53188445621</v>
      </c>
      <c r="AY20" s="159" t="n">
        <f aca="false">SUM(AX18/2,AX19:AX22,AX23/2)/5</f>
        <v>1529.07397531853</v>
      </c>
      <c r="AZ20" s="160" t="n">
        <f aca="false">AY20/AX20</f>
        <v>0.806672780266733</v>
      </c>
      <c r="BA20" s="159" t="n">
        <f aca="false">AX20*$C$35</f>
        <v>1910.4655363908</v>
      </c>
    </row>
    <row r="21" customFormat="false" ht="12.8" hidden="false" customHeight="false" outlineLevel="0" collapsed="false">
      <c r="A21" s="53" t="s">
        <v>56</v>
      </c>
      <c r="B21" s="53" t="n">
        <v>1527.0059265432</v>
      </c>
      <c r="C21" s="53" t="n">
        <f aca="false">SUM(B19/2,B20:B23,B24/2)/5</f>
        <v>1518.1971432042</v>
      </c>
      <c r="D21" s="1" t="n">
        <f aca="false">C21/B21</f>
        <v>0.994231336508995</v>
      </c>
      <c r="E21" s="53" t="n">
        <f aca="false">B21*$C$36</f>
        <v>1524.50193767481</v>
      </c>
      <c r="F21" s="53"/>
      <c r="G21" s="53" t="s">
        <v>56</v>
      </c>
      <c r="H21" s="53" t="n">
        <v>1479.81565977561</v>
      </c>
      <c r="I21" s="53" t="n">
        <f aca="false">SUM(H19/2,H20:H23,H24/2)/5</f>
        <v>1470.54623388656</v>
      </c>
      <c r="J21" s="1" t="n">
        <f aca="false">I21/H21</f>
        <v>0.993736094203478</v>
      </c>
      <c r="K21" s="53" t="n">
        <f aca="false">H21*$C$36</f>
        <v>1477.38905364728</v>
      </c>
      <c r="L21" s="53"/>
      <c r="M21" s="53" t="s">
        <v>56</v>
      </c>
      <c r="N21" s="53" t="n">
        <v>1594.19653665369</v>
      </c>
      <c r="O21" s="53" t="n">
        <f aca="false">SUM(N19/2,N20:N23,N24/2)/5</f>
        <v>1621.60522079004</v>
      </c>
      <c r="P21" s="1" t="n">
        <f aca="false">O21/N21</f>
        <v>1.01719278865947</v>
      </c>
      <c r="Q21" s="53" t="n">
        <f aca="false">N21*$C$36</f>
        <v>1591.58236842263</v>
      </c>
      <c r="R21" s="53"/>
      <c r="S21" s="53" t="s">
        <v>56</v>
      </c>
      <c r="T21" s="53" t="n">
        <v>1568.06374434358</v>
      </c>
      <c r="U21" s="53" t="n">
        <f aca="false">SUM(T19/2,T20:T23,T24/2)/5</f>
        <v>1458.39221298777</v>
      </c>
      <c r="V21" s="1" t="n">
        <f aca="false">U21/T21</f>
        <v>0.930059264649522</v>
      </c>
      <c r="W21" s="53" t="n">
        <f aca="false">T21*$C$36</f>
        <v>1565.49242874322</v>
      </c>
      <c r="X21" s="53"/>
      <c r="Y21" s="53" t="s">
        <v>56</v>
      </c>
      <c r="Z21" s="53" t="n">
        <v>1312.96454949235</v>
      </c>
      <c r="AA21" s="53" t="n">
        <f aca="false">SUM(Z19/2,Z20:Z23,Z24/2)/5</f>
        <v>1271.16675404628</v>
      </c>
      <c r="AB21" s="1" t="n">
        <f aca="false">AA21/Z21</f>
        <v>0.968165328254879</v>
      </c>
      <c r="AC21" s="53" t="n">
        <f aca="false">Z21*$C$36</f>
        <v>1310.81154631183</v>
      </c>
      <c r="AD21" s="53"/>
      <c r="AE21" s="53" t="s">
        <v>56</v>
      </c>
      <c r="AF21" s="53" t="n">
        <v>1690.06734301718</v>
      </c>
      <c r="AG21" s="53" t="n">
        <f aca="false">SUM(AF19/2,AF20:AF23,AF24/2)/5</f>
        <v>1701.44177136082</v>
      </c>
      <c r="AH21" s="1" t="n">
        <f aca="false">AG21/AF21</f>
        <v>1.00673016278945</v>
      </c>
      <c r="AI21" s="53" t="n">
        <f aca="false">AF21*$C$36</f>
        <v>1687.29596555218</v>
      </c>
      <c r="AJ21" s="53"/>
      <c r="AK21" s="53" t="s">
        <v>56</v>
      </c>
      <c r="AL21" s="53" t="n">
        <v>1457.22441107701</v>
      </c>
      <c r="AM21" s="53" t="n">
        <f aca="false">SUM(AL19/2,AL20:AL23,AL24/2)/5</f>
        <v>1454.51621697589</v>
      </c>
      <c r="AN21" s="1" t="n">
        <f aca="false">AM21/AL21</f>
        <v>0.998141539435838</v>
      </c>
      <c r="AO21" s="53" t="n">
        <f aca="false">AL21*$C$36</f>
        <v>1454.83485014561</v>
      </c>
      <c r="AP21" s="53"/>
      <c r="AQ21" s="53" t="s">
        <v>56</v>
      </c>
      <c r="AR21" s="53" t="n">
        <v>1178.9377476732</v>
      </c>
      <c r="AS21" s="53" t="n">
        <f aca="false">SUM(AR19/2,AR20:AR23,AR24/2)/5</f>
        <v>1149.95148575</v>
      </c>
      <c r="AT21" s="1" t="n">
        <f aca="false">AS21/AR21</f>
        <v>0.975413237908099</v>
      </c>
      <c r="AU21" s="53" t="n">
        <f aca="false">AR21*$C$36</f>
        <v>1177.00452204167</v>
      </c>
      <c r="AV21" s="53"/>
      <c r="AW21" s="53" t="s">
        <v>56</v>
      </c>
      <c r="AX21" s="53" t="n">
        <v>1568.06374434358</v>
      </c>
      <c r="AY21" s="53" t="n">
        <f aca="false">SUM(AX19/2,AX20:AX23,AX24/2)/5</f>
        <v>1458.39221298777</v>
      </c>
      <c r="AZ21" s="1" t="n">
        <f aca="false">AY21/AX21</f>
        <v>0.930059264649522</v>
      </c>
      <c r="BA21" s="53" t="n">
        <f aca="false">AX21*$C$36</f>
        <v>1565.49242874322</v>
      </c>
    </row>
    <row r="22" customFormat="false" ht="12.8" hidden="false" customHeight="false" outlineLevel="0" collapsed="false">
      <c r="A22" s="165" t="s">
        <v>55</v>
      </c>
      <c r="B22" s="53" t="n">
        <v>1502.74253104396</v>
      </c>
      <c r="C22" s="53" t="n">
        <f aca="false">SUM(B20/2,B21:B24,B25/2)/5</f>
        <v>1508.44742196235</v>
      </c>
      <c r="D22" s="1" t="n">
        <f aca="false">C22/B22</f>
        <v>1.00379631959603</v>
      </c>
      <c r="E22" s="53" t="n">
        <f aca="false">B22*$C$39</f>
        <v>1461.63313648873</v>
      </c>
      <c r="F22" s="53"/>
      <c r="G22" s="165" t="s">
        <v>55</v>
      </c>
      <c r="H22" s="53" t="n">
        <v>1456.55058843393</v>
      </c>
      <c r="I22" s="53" t="n">
        <f aca="false">SUM(H20/2,H21:H24,H25/2)/5</f>
        <v>1463.20768474379</v>
      </c>
      <c r="J22" s="1" t="n">
        <f aca="false">I22/H22</f>
        <v>1.00457045320823</v>
      </c>
      <c r="K22" s="53" t="n">
        <f aca="false">H22*$C$39</f>
        <v>1416.70483203014</v>
      </c>
      <c r="L22" s="53"/>
      <c r="M22" s="165" t="s">
        <v>55</v>
      </c>
      <c r="N22" s="53" t="n">
        <v>1602.32224251837</v>
      </c>
      <c r="O22" s="53" t="n">
        <f aca="false">SUM(N20/2,N21:N24,N25/2)/5</f>
        <v>1597.33670275509</v>
      </c>
      <c r="P22" s="1" t="n">
        <f aca="false">O22/N22</f>
        <v>0.996888553606146</v>
      </c>
      <c r="Q22" s="53" t="n">
        <f aca="false">N22*$C$39</f>
        <v>1558.48872086609</v>
      </c>
      <c r="R22" s="53"/>
      <c r="S22" s="165" t="s">
        <v>55</v>
      </c>
      <c r="T22" s="53" t="n">
        <v>1201.25690599736</v>
      </c>
      <c r="U22" s="53" t="n">
        <f aca="false">SUM(T20/2,T21:T24,T25/2)/5</f>
        <v>1363.98658810702</v>
      </c>
      <c r="V22" s="1" t="n">
        <f aca="false">U22/T22</f>
        <v>1.13546617821485</v>
      </c>
      <c r="W22" s="53" t="n">
        <f aca="false">T22*$C$39</f>
        <v>1168.39502640676</v>
      </c>
      <c r="X22" s="53"/>
      <c r="Y22" s="165" t="s">
        <v>55</v>
      </c>
      <c r="Z22" s="53" t="n">
        <v>1303.27280949414</v>
      </c>
      <c r="AA22" s="53" t="n">
        <f aca="false">SUM(Z20/2,Z21:Z24,Z25/2)/5</f>
        <v>1292.42006292343</v>
      </c>
      <c r="AB22" s="1" t="n">
        <f aca="false">AA22/Z22</f>
        <v>0.991672697771604</v>
      </c>
      <c r="AC22" s="53" t="n">
        <f aca="false">Z22*$C$39</f>
        <v>1267.6201577379</v>
      </c>
      <c r="AD22" s="53"/>
      <c r="AE22" s="165" t="s">
        <v>55</v>
      </c>
      <c r="AF22" s="53" t="n">
        <v>1681.26252095343</v>
      </c>
      <c r="AG22" s="53" t="n">
        <f aca="false">SUM(AF20/2,AF21:AF24,AF25/2)/5</f>
        <v>1679.38912348946</v>
      </c>
      <c r="AH22" s="1" t="n">
        <f aca="false">AG22/AF22</f>
        <v>0.998885719844089</v>
      </c>
      <c r="AI22" s="53" t="n">
        <f aca="false">AF22*$C$39</f>
        <v>1635.2694896144</v>
      </c>
      <c r="AJ22" s="53"/>
      <c r="AK22" s="165" t="s">
        <v>55</v>
      </c>
      <c r="AL22" s="53" t="n">
        <v>1454.99671254743</v>
      </c>
      <c r="AM22" s="53" t="n">
        <f aca="false">SUM(AL20/2,AL21:AL24,AL25/2)/5</f>
        <v>1451.46941035896</v>
      </c>
      <c r="AN22" s="1" t="n">
        <f aca="false">AM22/AL22</f>
        <v>0.997575731850081</v>
      </c>
      <c r="AO22" s="53" t="n">
        <f aca="false">AL22*$C$39</f>
        <v>1415.19346435486</v>
      </c>
      <c r="AP22" s="53"/>
      <c r="AQ22" s="165" t="s">
        <v>55</v>
      </c>
      <c r="AR22" s="53" t="n">
        <v>1068.15005105525</v>
      </c>
      <c r="AS22" s="53" t="n">
        <f aca="false">SUM(AR20/2,AR21:AR24,AR25/2)/5</f>
        <v>1117.86149117249</v>
      </c>
      <c r="AT22" s="1" t="n">
        <f aca="false">AS22/AR22</f>
        <v>1.04653975353755</v>
      </c>
      <c r="AU22" s="53" t="n">
        <f aca="false">AR22*$C$39</f>
        <v>1038.92947535056</v>
      </c>
      <c r="AV22" s="53"/>
      <c r="AW22" s="165" t="s">
        <v>55</v>
      </c>
      <c r="AX22" s="53" t="n">
        <v>1201.25690599736</v>
      </c>
      <c r="AY22" s="53" t="n">
        <f aca="false">SUM(AX20/2,AX21:AX24,AX25/2)/5</f>
        <v>1363.98658810702</v>
      </c>
      <c r="AZ22" s="1" t="n">
        <f aca="false">AY22/AX22</f>
        <v>1.13546617821485</v>
      </c>
      <c r="BA22" s="53" t="n">
        <f aca="false">AX22*$C$39</f>
        <v>1168.39502640676</v>
      </c>
    </row>
    <row r="23" customFormat="false" ht="12.8" hidden="false" customHeight="false" outlineLevel="0" collapsed="false">
      <c r="A23" s="53" t="s">
        <v>54</v>
      </c>
      <c r="B23" s="53" t="n">
        <v>1425.47429888632</v>
      </c>
      <c r="C23" s="53" t="n">
        <f aca="false">SUM(B21/2,B22:B25,B26/2)/5</f>
        <v>1507.97636433013</v>
      </c>
      <c r="D23" s="1" t="n">
        <f aca="false">C23/B23</f>
        <v>1.05787692244488</v>
      </c>
      <c r="E23" s="53" t="n">
        <f aca="false">$C$37*B23</f>
        <v>1450.04847385996</v>
      </c>
      <c r="F23" s="53"/>
      <c r="G23" s="53" t="s">
        <v>54</v>
      </c>
      <c r="H23" s="53" t="n">
        <v>1386.70086748513</v>
      </c>
      <c r="I23" s="53" t="n">
        <f aca="false">SUM(H21/2,H22:H25,H26/2)/5</f>
        <v>1463.99387852597</v>
      </c>
      <c r="J23" s="1" t="n">
        <f aca="false">I23/H23</f>
        <v>1.05573877744882</v>
      </c>
      <c r="K23" s="53" t="n">
        <f aca="false">$C$37*H23</f>
        <v>1410.60661575453</v>
      </c>
      <c r="L23" s="53"/>
      <c r="M23" s="53" t="s">
        <v>54</v>
      </c>
      <c r="N23" s="53" t="n">
        <v>1521.00706485767</v>
      </c>
      <c r="O23" s="53" t="n">
        <f aca="false">SUM(N21/2,N22:N25,N26/2)/5</f>
        <v>1580.91530555982</v>
      </c>
      <c r="P23" s="1" t="n">
        <f aca="false">O23/N23</f>
        <v>1.03938722053717</v>
      </c>
      <c r="Q23" s="53" t="n">
        <f aca="false">$C$37*N23</f>
        <v>1547.22815756846</v>
      </c>
      <c r="R23" s="53"/>
      <c r="S23" s="53" t="s">
        <v>54</v>
      </c>
      <c r="T23" s="53" t="n">
        <v>1220.14588539237</v>
      </c>
      <c r="U23" s="53" t="n">
        <f aca="false">SUM(T21/2,T22:T25,T26/2)/5</f>
        <v>1271.76556655819</v>
      </c>
      <c r="V23" s="1" t="n">
        <f aca="false">U23/T23</f>
        <v>1.04230615517686</v>
      </c>
      <c r="W23" s="53" t="n">
        <f aca="false">$C$37*T23</f>
        <v>1241.18034283887</v>
      </c>
      <c r="X23" s="53"/>
      <c r="Y23" s="53" t="s">
        <v>54</v>
      </c>
      <c r="Z23" s="53" t="n">
        <v>1234.3753490151</v>
      </c>
      <c r="AA23" s="53" t="n">
        <f aca="false">SUM(Z21/2,Z22:Z25,Z26/2)/5</f>
        <v>1317.46338170363</v>
      </c>
      <c r="AB23" s="1" t="n">
        <f aca="false">AA23/Z23</f>
        <v>1.06731180491803</v>
      </c>
      <c r="AC23" s="53" t="n">
        <f aca="false">$C$37*Z23</f>
        <v>1255.65511241283</v>
      </c>
      <c r="AD23" s="53"/>
      <c r="AE23" s="53" t="s">
        <v>54</v>
      </c>
      <c r="AF23" s="53" t="n">
        <v>1631.4006529878</v>
      </c>
      <c r="AG23" s="53" t="n">
        <f aca="false">SUM(AF21/2,AF22:AF25,AF26/2)/5</f>
        <v>1669.81391599937</v>
      </c>
      <c r="AH23" s="1" t="n">
        <f aca="false">AG23/AF23</f>
        <v>1.02354618587483</v>
      </c>
      <c r="AI23" s="53" t="n">
        <f aca="false">$C$37*AF23</f>
        <v>1659.52485356437</v>
      </c>
      <c r="AJ23" s="53"/>
      <c r="AK23" s="53" t="s">
        <v>54</v>
      </c>
      <c r="AL23" s="53" t="n">
        <v>1380.45750697927</v>
      </c>
      <c r="AM23" s="53" t="n">
        <f aca="false">SUM(AL21/2,AL22:AL25,AL26/2)/5</f>
        <v>1455.83045852958</v>
      </c>
      <c r="AN23" s="1" t="n">
        <f aca="false">AM23/AL23</f>
        <v>1.05459997947727</v>
      </c>
      <c r="AO23" s="53" t="n">
        <f aca="false">$C$37*AL23</f>
        <v>1404.25562410189</v>
      </c>
      <c r="AP23" s="53"/>
      <c r="AQ23" s="53" t="s">
        <v>54</v>
      </c>
      <c r="AR23" s="53" t="n">
        <v>1062.29082808812</v>
      </c>
      <c r="AS23" s="53" t="n">
        <f aca="false">SUM(AR21/2,AR22:AR25,AR26/2)/5</f>
        <v>1087.03662342653</v>
      </c>
      <c r="AT23" s="1" t="n">
        <f aca="false">AS23/AR23</f>
        <v>1.02329474630121</v>
      </c>
      <c r="AU23" s="53" t="n">
        <f aca="false">$C$37*AR23</f>
        <v>1080.60397530005</v>
      </c>
      <c r="AV23" s="53"/>
      <c r="AW23" s="53" t="s">
        <v>54</v>
      </c>
      <c r="AX23" s="53" t="n">
        <v>1220.14588539237</v>
      </c>
      <c r="AY23" s="53" t="n">
        <f aca="false">SUM(AX21/2,AX22:AX25,AX26/2)/5</f>
        <v>1271.76556655819</v>
      </c>
      <c r="AZ23" s="1" t="n">
        <f aca="false">AY23/AX23</f>
        <v>1.04230615517686</v>
      </c>
      <c r="BA23" s="53" t="n">
        <f aca="false">$C$37*AX23</f>
        <v>1241.18034283887</v>
      </c>
    </row>
    <row r="24" customFormat="false" ht="12.8" hidden="false" customHeight="false" outlineLevel="0" collapsed="false">
      <c r="A24" s="157" t="s">
        <v>53</v>
      </c>
      <c r="B24" s="157" t="n">
        <v>1489.65824689988</v>
      </c>
      <c r="C24" s="53" t="n">
        <f aca="false">SUM(B22/2,B23:B26,B27/2)/5</f>
        <v>1521.00034959558</v>
      </c>
      <c r="D24" s="1" t="n">
        <f aca="false">C24/B24</f>
        <v>1.02103979403392</v>
      </c>
      <c r="E24" s="53" t="n">
        <f aca="false">$C$38*B24</f>
        <v>1495.43574960125</v>
      </c>
      <c r="F24" s="53"/>
      <c r="G24" s="157" t="s">
        <v>53</v>
      </c>
      <c r="H24" s="157" t="n">
        <v>1448.60245707112</v>
      </c>
      <c r="I24" s="53" t="n">
        <f aca="false">SUM(H22/2,H23:H26,H27/2)/5</f>
        <v>1476.50117609014</v>
      </c>
      <c r="J24" s="1" t="n">
        <f aca="false">I24/H24</f>
        <v>1.01925905819284</v>
      </c>
      <c r="K24" s="53" t="n">
        <f aca="false">$C$38*H24</f>
        <v>1454.22072866218</v>
      </c>
      <c r="L24" s="53"/>
      <c r="M24" s="157" t="s">
        <v>53</v>
      </c>
      <c r="N24" s="157" t="n">
        <v>1566.58723276744</v>
      </c>
      <c r="O24" s="53" t="n">
        <f aca="false">SUM(N22/2,N23:N26,N27/2)/5</f>
        <v>1581.9962586764</v>
      </c>
      <c r="P24" s="1" t="n">
        <f aca="false">O24/N24</f>
        <v>1.0098360471646</v>
      </c>
      <c r="Q24" s="53" t="n">
        <f aca="false">$C$38*N24</f>
        <v>1572.66309747539</v>
      </c>
      <c r="R24" s="53"/>
      <c r="S24" s="157" t="s">
        <v>53</v>
      </c>
      <c r="T24" s="157" t="n">
        <v>1238.52749779118</v>
      </c>
      <c r="U24" s="53" t="n">
        <f aca="false">SUM(T22/2,T23:T26,T27/2)/5</f>
        <v>1241.45157193476</v>
      </c>
      <c r="V24" s="1" t="n">
        <f aca="false">U24/T24</f>
        <v>1.00236092791545</v>
      </c>
      <c r="W24" s="53" t="n">
        <f aca="false">$C$38*T24</f>
        <v>1243.33101294582</v>
      </c>
      <c r="X24" s="53"/>
      <c r="Y24" s="157" t="s">
        <v>53</v>
      </c>
      <c r="Z24" s="157" t="n">
        <v>1293.46867246783</v>
      </c>
      <c r="AA24" s="53" t="n">
        <f aca="false">SUM(Z22/2,Z23:Z26,Z27/2)/5</f>
        <v>1344.90801307729</v>
      </c>
      <c r="AB24" s="1" t="n">
        <f aca="false">AA24/Z24</f>
        <v>1.03976852451426</v>
      </c>
      <c r="AC24" s="53" t="n">
        <f aca="false">$C$38*Z24</f>
        <v>1298.48527192269</v>
      </c>
      <c r="AD24" s="53"/>
      <c r="AE24" s="157" t="s">
        <v>53</v>
      </c>
      <c r="AF24" s="157" t="n">
        <v>1650.67197000228</v>
      </c>
      <c r="AG24" s="53" t="n">
        <f aca="false">SUM(AF22/2,AF23:AF26,AF27/2)/5</f>
        <v>1667.91073107766</v>
      </c>
      <c r="AH24" s="1" t="n">
        <f aca="false">AG24/AF24</f>
        <v>1.01044348083003</v>
      </c>
      <c r="AI24" s="53" t="n">
        <f aca="false">$C$38*AF24</f>
        <v>1657.07394964131</v>
      </c>
      <c r="AJ24" s="53"/>
      <c r="AK24" s="157" t="s">
        <v>53</v>
      </c>
      <c r="AL24" s="157" t="n">
        <v>1446.98670559127</v>
      </c>
      <c r="AM24" s="53" t="n">
        <f aca="false">SUM(AL22/2,AL23:AL26,AL27/2)/5</f>
        <v>1469.70942170383</v>
      </c>
      <c r="AN24" s="1" t="n">
        <f aca="false">AM24/AL24</f>
        <v>1.01570347261987</v>
      </c>
      <c r="AO24" s="53" t="n">
        <f aca="false">$C$38*AL24</f>
        <v>1452.5987106386</v>
      </c>
      <c r="AP24" s="53"/>
      <c r="AQ24" s="157" t="s">
        <v>53</v>
      </c>
      <c r="AR24" s="157" t="n">
        <v>1084.71678336241</v>
      </c>
      <c r="AS24" s="53" t="n">
        <f aca="false">SUM(AR22/2,AR23:AR26,AR27/2)/5</f>
        <v>1082.93665670665</v>
      </c>
      <c r="AT24" s="1" t="n">
        <f aca="false">AS24/AR24</f>
        <v>0.998358901896729</v>
      </c>
      <c r="AU24" s="53" t="n">
        <f aca="false">$C$38*AR24</f>
        <v>1088.92375778701</v>
      </c>
      <c r="AV24" s="53"/>
      <c r="AW24" s="157" t="s">
        <v>53</v>
      </c>
      <c r="AX24" s="157" t="n">
        <v>1238.52749779118</v>
      </c>
      <c r="AY24" s="53" t="n">
        <f aca="false">SUM(AX22/2,AX23:AX26,AX27/2)/5</f>
        <v>1241.45157193476</v>
      </c>
      <c r="AZ24" s="1" t="n">
        <f aca="false">AY24/AX24</f>
        <v>1.00236092791545</v>
      </c>
      <c r="BA24" s="53" t="n">
        <f aca="false">$C$38*AX24</f>
        <v>1243.33101294582</v>
      </c>
    </row>
    <row r="25" customFormat="false" ht="12.8" hidden="false" customHeight="false" outlineLevel="0" collapsed="false">
      <c r="A25" s="159" t="s">
        <v>52</v>
      </c>
      <c r="B25" s="159" t="n">
        <v>1572.64250422039</v>
      </c>
      <c r="C25" s="159" t="n">
        <f aca="false">SUM(B23/2,B24:B27,B28/2)/5</f>
        <v>1546.47834111362</v>
      </c>
      <c r="D25" s="160" t="n">
        <f aca="false">C25/B25</f>
        <v>0.983362930204065</v>
      </c>
      <c r="E25" s="159" t="n">
        <f aca="false">B25*$C$35</f>
        <v>1585.03232259705</v>
      </c>
      <c r="F25" s="53"/>
      <c r="G25" s="159" t="s">
        <v>52</v>
      </c>
      <c r="H25" s="159" t="n">
        <v>1526.01162900482</v>
      </c>
      <c r="I25" s="159" t="n">
        <f aca="false">SUM(H23/2,H24:H27,H28/2)/5</f>
        <v>1500.31313902716</v>
      </c>
      <c r="J25" s="160" t="n">
        <f aca="false">I25/H25</f>
        <v>0.983159702397272</v>
      </c>
      <c r="K25" s="159" t="n">
        <f aca="false">H25*$C$35</f>
        <v>1538.03407331324</v>
      </c>
      <c r="L25" s="53"/>
      <c r="M25" s="159" t="s">
        <v>52</v>
      </c>
      <c r="N25" s="159" t="n">
        <v>1638.62094795298</v>
      </c>
      <c r="O25" s="159" t="n">
        <f aca="false">SUM(N23/2,N24:N27,N28/2)/5</f>
        <v>1601.3120357065</v>
      </c>
      <c r="P25" s="160" t="n">
        <f aca="false">O25/N25</f>
        <v>0.977231517580018</v>
      </c>
      <c r="Q25" s="159" t="n">
        <f aca="false">N25*$C$35</f>
        <v>1651.53056719501</v>
      </c>
      <c r="R25" s="53"/>
      <c r="S25" s="159" t="s">
        <v>52</v>
      </c>
      <c r="T25" s="159" t="n">
        <v>1288.34592956504</v>
      </c>
      <c r="U25" s="159" t="n">
        <f aca="false">SUM(T23/2,T24:T27,T28/2)/5</f>
        <v>1241.71329340306</v>
      </c>
      <c r="V25" s="160" t="n">
        <f aca="false">U25/T25</f>
        <v>0.963804258552107</v>
      </c>
      <c r="W25" s="159" t="n">
        <f aca="false">T25*$C$35</f>
        <v>1298.49596177565</v>
      </c>
      <c r="X25" s="53"/>
      <c r="Y25" s="159" t="s">
        <v>52</v>
      </c>
      <c r="Z25" s="159" t="n">
        <v>1374.44602131255</v>
      </c>
      <c r="AA25" s="159" t="n">
        <f aca="false">SUM(Z23/2,Z24:Z27,Z28/2)/5</f>
        <v>1379.21874650978</v>
      </c>
      <c r="AB25" s="160" t="n">
        <f aca="false">AA25/Z25</f>
        <v>1.00347247190739</v>
      </c>
      <c r="AC25" s="159" t="n">
        <f aca="false">Z25*$C$35</f>
        <v>1385.27437965011</v>
      </c>
      <c r="AD25" s="53"/>
      <c r="AE25" s="159" t="s">
        <v>52</v>
      </c>
      <c r="AF25" s="159" t="n">
        <v>1706.45628544561</v>
      </c>
      <c r="AG25" s="159" t="n">
        <f aca="false">SUM(AF23/2,AF24:AF27,AF28/2)/5</f>
        <v>1674.49434330337</v>
      </c>
      <c r="AH25" s="160" t="n">
        <f aca="false">AG25/AF25</f>
        <v>0.981269990673161</v>
      </c>
      <c r="AI25" s="159" t="n">
        <f aca="false">AF25*$C$35</f>
        <v>1719.90033480053</v>
      </c>
      <c r="AJ25" s="53"/>
      <c r="AK25" s="159" t="s">
        <v>52</v>
      </c>
      <c r="AL25" s="159" t="n">
        <v>1511.7682319447</v>
      </c>
      <c r="AM25" s="159" t="n">
        <f aca="false">SUM(AL23/2,AL24:AL27,AL28/2)/5</f>
        <v>1494.88722424156</v>
      </c>
      <c r="AN25" s="160" t="n">
        <f aca="false">AM25/AL25</f>
        <v>0.988833600715752</v>
      </c>
      <c r="AO25" s="159" t="n">
        <f aca="false">AL25*$C$35</f>
        <v>1523.67846187371</v>
      </c>
      <c r="AP25" s="53"/>
      <c r="AQ25" s="159" t="s">
        <v>52</v>
      </c>
      <c r="AR25" s="159" t="n">
        <v>1093.27520018645</v>
      </c>
      <c r="AS25" s="159" t="n">
        <f aca="false">SUM(AR23/2,AR24:AR27,AR28/2)/5</f>
        <v>1098.51750075854</v>
      </c>
      <c r="AT25" s="160" t="n">
        <f aca="false">AS25/AR25</f>
        <v>1.0047950420637</v>
      </c>
      <c r="AU25" s="159" t="n">
        <f aca="false">AR25*$C$35</f>
        <v>1101.88839811901</v>
      </c>
      <c r="AV25" s="53"/>
      <c r="AW25" s="159" t="s">
        <v>52</v>
      </c>
      <c r="AX25" s="159" t="n">
        <v>1288.34592956504</v>
      </c>
      <c r="AY25" s="159" t="n">
        <f aca="false">SUM(AX23/2,AX24:AX27,AX28/2)/5</f>
        <v>1241.71329340306</v>
      </c>
      <c r="AZ25" s="160" t="n">
        <f aca="false">AY25/AX25</f>
        <v>0.963804258552107</v>
      </c>
      <c r="BA25" s="159" t="n">
        <f aca="false">AX25*$C$35</f>
        <v>1298.49596177565</v>
      </c>
    </row>
    <row r="26" customFormat="false" ht="12.8" hidden="false" customHeight="false" outlineLevel="0" collapsed="false">
      <c r="A26" s="53" t="s">
        <v>51</v>
      </c>
      <c r="B26" s="53" t="n">
        <v>1571.72255465698</v>
      </c>
      <c r="C26" s="53" t="n">
        <f aca="false">SUM(B24/2,B25:B28,B29/2)/5</f>
        <v>1578.65210852203</v>
      </c>
      <c r="D26" s="1" t="n">
        <f aca="false">C26/B26</f>
        <v>1.00440889127952</v>
      </c>
      <c r="E26" s="53" t="n">
        <f aca="false">B26*$C$36</f>
        <v>1569.14523932857</v>
      </c>
      <c r="F26" s="53"/>
      <c r="G26" s="53" t="s">
        <v>51</v>
      </c>
      <c r="H26" s="53" t="n">
        <v>1524.39204149411</v>
      </c>
      <c r="I26" s="53" t="n">
        <f aca="false">SUM(H24/2,H25:H28,H29/2)/5</f>
        <v>1530.06281762006</v>
      </c>
      <c r="J26" s="1" t="n">
        <f aca="false">I26/H26</f>
        <v>1.00372002475189</v>
      </c>
      <c r="K26" s="53" t="n">
        <f aca="false">H26*$C$36</f>
        <v>1521.89233888221</v>
      </c>
      <c r="L26" s="53"/>
      <c r="M26" s="53" t="s">
        <v>51</v>
      </c>
      <c r="N26" s="53" t="n">
        <v>1557.88154275155</v>
      </c>
      <c r="O26" s="53" t="n">
        <f aca="false">SUM(N24/2,N25:N28,N29/2)/5</f>
        <v>1640.32673036877</v>
      </c>
      <c r="P26" s="1" t="n">
        <f aca="false">O26/N26</f>
        <v>1.05292134565739</v>
      </c>
      <c r="Q26" s="53" t="n">
        <f aca="false">N26*$C$36</f>
        <v>1555.3269239557</v>
      </c>
      <c r="R26" s="53"/>
      <c r="S26" s="53" t="s">
        <v>51</v>
      </c>
      <c r="T26" s="53" t="n">
        <v>1253.03948374645</v>
      </c>
      <c r="U26" s="53" t="n">
        <f aca="false">SUM(T24/2,T25:T28,T29/2)/5</f>
        <v>1246.06702272485</v>
      </c>
      <c r="V26" s="1" t="n">
        <f aca="false">U26/T26</f>
        <v>0.994435561598783</v>
      </c>
      <c r="W26" s="53" t="n">
        <f aca="false">T26*$C$36</f>
        <v>1250.9847458673</v>
      </c>
      <c r="X26" s="53"/>
      <c r="Y26" s="53" t="s">
        <v>51</v>
      </c>
      <c r="Z26" s="53" t="n">
        <v>1450.54356296467</v>
      </c>
      <c r="AA26" s="53" t="n">
        <f aca="false">SUM(Z24/2,Z25:Z28,Z29/2)/5</f>
        <v>1407.60587791155</v>
      </c>
      <c r="AB26" s="1" t="n">
        <f aca="false">AA26/Z26</f>
        <v>0.970398900005897</v>
      </c>
      <c r="AC26" s="53" t="n">
        <f aca="false">Z26*$C$36</f>
        <v>1448.16495730791</v>
      </c>
      <c r="AD26" s="53"/>
      <c r="AE26" s="53" t="s">
        <v>51</v>
      </c>
      <c r="AF26" s="53" t="n">
        <v>1668.48895819827</v>
      </c>
      <c r="AG26" s="53" t="n">
        <f aca="false">SUM(AF24/2,AF25:AF28,AF29/2)/5</f>
        <v>1694.37075455719</v>
      </c>
      <c r="AH26" s="1" t="n">
        <f aca="false">AG26/AF26</f>
        <v>1.0155121172554</v>
      </c>
      <c r="AI26" s="53" t="n">
        <f aca="false">AF26*$C$36</f>
        <v>1665.75296503299</v>
      </c>
      <c r="AJ26" s="53"/>
      <c r="AK26" s="53" t="s">
        <v>51</v>
      </c>
      <c r="AL26" s="53" t="n">
        <v>1512.66186009343</v>
      </c>
      <c r="AM26" s="53" t="n">
        <f aca="false">SUM(AL24/2,AL25:AL28,AL29/2)/5</f>
        <v>1525.44827247368</v>
      </c>
      <c r="AN26" s="1" t="n">
        <f aca="false">AM26/AL26</f>
        <v>1.00845292177821</v>
      </c>
      <c r="AO26" s="53" t="n">
        <f aca="false">AL26*$C$36</f>
        <v>1510.18139266795</v>
      </c>
      <c r="AP26" s="53"/>
      <c r="AQ26" s="53" t="s">
        <v>51</v>
      </c>
      <c r="AR26" s="53" t="n">
        <v>1074.56276120768</v>
      </c>
      <c r="AS26" s="53" t="n">
        <f aca="false">SUM(AR24/2,AR25:AR28,AR29/2)/5</f>
        <v>1115.22788393501</v>
      </c>
      <c r="AT26" s="1" t="n">
        <f aca="false">AS26/AR26</f>
        <v>1.03784341333551</v>
      </c>
      <c r="AU26" s="53" t="n">
        <f aca="false">AR26*$C$36</f>
        <v>1072.80068998996</v>
      </c>
      <c r="AV26" s="53"/>
      <c r="AW26" s="53" t="s">
        <v>51</v>
      </c>
      <c r="AX26" s="53" t="n">
        <v>1253.03948374645</v>
      </c>
      <c r="AY26" s="53" t="n">
        <f aca="false">SUM(AX24/2,AX25:AX28,AX29/2)/5</f>
        <v>1246.06702272485</v>
      </c>
      <c r="AZ26" s="1" t="n">
        <f aca="false">AY26/AX26</f>
        <v>0.994435561598783</v>
      </c>
      <c r="BA26" s="53" t="n">
        <f aca="false">AX26*$C$36</f>
        <v>1250.9847458673</v>
      </c>
    </row>
    <row r="27" customFormat="false" ht="12.8" hidden="false" customHeight="false" outlineLevel="0" collapsed="false">
      <c r="A27" s="165" t="s">
        <v>50</v>
      </c>
      <c r="B27" s="53" t="n">
        <v>1588.26575558469</v>
      </c>
      <c r="C27" s="53" t="n">
        <f aca="false">SUM(B25/2,B26:B29,B30/2)/5</f>
        <v>1633.57169310329</v>
      </c>
      <c r="D27" s="1" t="n">
        <f aca="false">C27/B27</f>
        <v>1.02852541355834</v>
      </c>
      <c r="E27" s="53" t="n">
        <f aca="false">B27*$C$39</f>
        <v>1544.81676664875</v>
      </c>
      <c r="F27" s="53"/>
      <c r="G27" s="165" t="s">
        <v>50</v>
      </c>
      <c r="H27" s="53" t="n">
        <v>1537.04718235714</v>
      </c>
      <c r="I27" s="53" t="n">
        <f aca="false">SUM(H25/2,H26:H29,H30/2)/5</f>
        <v>1580.59338668474</v>
      </c>
      <c r="J27" s="1" t="n">
        <f aca="false">I27/H27</f>
        <v>1.02833107846489</v>
      </c>
      <c r="K27" s="53" t="n">
        <f aca="false">H27*$C$39</f>
        <v>1494.99934131704</v>
      </c>
      <c r="L27" s="53"/>
      <c r="M27" s="165" t="s">
        <v>50</v>
      </c>
      <c r="N27" s="53" t="n">
        <v>1649.44676758636</v>
      </c>
      <c r="O27" s="53" t="n">
        <f aca="false">SUM(N25/2,N26:N29,N30/2)/5</f>
        <v>1731.57734243179</v>
      </c>
      <c r="P27" s="1" t="n">
        <f aca="false">O27/N27</f>
        <v>1.04979280111332</v>
      </c>
      <c r="Q27" s="53" t="n">
        <f aca="false">N27*$C$39</f>
        <v>1604.32409582738</v>
      </c>
      <c r="R27" s="53"/>
      <c r="S27" s="165" t="s">
        <v>50</v>
      </c>
      <c r="T27" s="53" t="n">
        <v>1213.14122036019</v>
      </c>
      <c r="U27" s="53" t="n">
        <f aca="false">SUM(T25/2,T26:T29,T30/2)/5</f>
        <v>1254.78426463494</v>
      </c>
      <c r="V27" s="1" t="n">
        <f aca="false">U27/T27</f>
        <v>1.03432662543804</v>
      </c>
      <c r="W27" s="53" t="n">
        <f aca="false">T27*$C$39</f>
        <v>1179.95423054074</v>
      </c>
      <c r="X27" s="53"/>
      <c r="Y27" s="165" t="s">
        <v>50</v>
      </c>
      <c r="Z27" s="53" t="n">
        <v>1440.14010975847</v>
      </c>
      <c r="AA27" s="53" t="n">
        <f aca="false">SUM(Z25/2,Z26:Z29,Z30/2)/5</f>
        <v>1428.8295678516</v>
      </c>
      <c r="AB27" s="1" t="n">
        <f aca="false">AA27/Z27</f>
        <v>0.992146221169572</v>
      </c>
      <c r="AC27" s="53" t="n">
        <f aca="false">Z27*$C$39</f>
        <v>1400.74328244851</v>
      </c>
      <c r="AD27" s="53"/>
      <c r="AE27" s="165" t="s">
        <v>50</v>
      </c>
      <c r="AF27" s="53" t="n">
        <v>1683.80905655528</v>
      </c>
      <c r="AG27" s="53" t="n">
        <f aca="false">SUM(AF25/2,AF26:AF29,AF30/2)/5</f>
        <v>1743.65673167341</v>
      </c>
      <c r="AH27" s="1" t="n">
        <f aca="false">AG27/AF27</f>
        <v>1.03554302958826</v>
      </c>
      <c r="AI27" s="53" t="n">
        <f aca="false">AF27*$C$39</f>
        <v>1637.74636156154</v>
      </c>
      <c r="AJ27" s="53"/>
      <c r="AK27" s="165" t="s">
        <v>50</v>
      </c>
      <c r="AL27" s="53" t="n">
        <v>1538.34889527357</v>
      </c>
      <c r="AM27" s="53" t="n">
        <f aca="false">SUM(AL25/2,AL26:AL29,AL30/2)/5</f>
        <v>1577.18533565606</v>
      </c>
      <c r="AN27" s="1" t="n">
        <f aca="false">AM27/AL27</f>
        <v>1.025245534678</v>
      </c>
      <c r="AO27" s="53" t="n">
        <f aca="false">AL27*$C$39</f>
        <v>1496.26544425454</v>
      </c>
      <c r="AP27" s="53"/>
      <c r="AQ27" s="165" t="s">
        <v>50</v>
      </c>
      <c r="AR27" s="53" t="n">
        <v>1131.52537032191</v>
      </c>
      <c r="AS27" s="53" t="n">
        <f aca="false">SUM(AR25/2,AR26:AR29,AR30/2)/5</f>
        <v>1133.70860789025</v>
      </c>
      <c r="AT27" s="1" t="n">
        <f aca="false">AS27/AR27</f>
        <v>1.00192946408945</v>
      </c>
      <c r="AU27" s="53" t="n">
        <f aca="false">AR27*$C$39</f>
        <v>1100.57108378455</v>
      </c>
      <c r="AV27" s="53"/>
      <c r="AW27" s="165" t="s">
        <v>50</v>
      </c>
      <c r="AX27" s="53" t="n">
        <v>1213.14122036019</v>
      </c>
      <c r="AY27" s="53" t="n">
        <f aca="false">SUM(AX25/2,AX26:AX29,AX30/2)/5</f>
        <v>1254.78426463494</v>
      </c>
      <c r="AZ27" s="1" t="n">
        <f aca="false">AY27/AX27</f>
        <v>1.03432662543804</v>
      </c>
      <c r="BA27" s="53" t="n">
        <f aca="false">AX27*$C$39</f>
        <v>1179.95423054074</v>
      </c>
    </row>
    <row r="28" customFormat="false" ht="12.8" hidden="false" customHeight="false" outlineLevel="0" collapsed="false">
      <c r="A28" s="53" t="s">
        <v>33</v>
      </c>
      <c r="B28" s="53" t="n">
        <v>1594.73098952601</v>
      </c>
      <c r="C28" s="53" t="n">
        <f aca="false">SUM(B26/2,B27:B30,B31/2)/5</f>
        <v>1727.70326886582</v>
      </c>
      <c r="D28" s="1" t="n">
        <f aca="false">C28/B28</f>
        <v>1.08338226334922</v>
      </c>
      <c r="E28" s="53" t="n">
        <f aca="false">$C$37*B28</f>
        <v>1622.22303087892</v>
      </c>
      <c r="F28" s="53"/>
      <c r="G28" s="53" t="s">
        <v>33</v>
      </c>
      <c r="H28" s="53" t="n">
        <v>1544.32390293204</v>
      </c>
      <c r="I28" s="53" t="n">
        <f aca="false">SUM(H26/2,H27:H30,H31/2)/5</f>
        <v>1668.06355563225</v>
      </c>
      <c r="J28" s="1" t="n">
        <f aca="false">I28/H28</f>
        <v>1.0801254532584</v>
      </c>
      <c r="K28" s="53" t="n">
        <f aca="false">$C$37*H28</f>
        <v>1570.94696154227</v>
      </c>
      <c r="L28" s="53"/>
      <c r="M28" s="53" t="s">
        <v>33</v>
      </c>
      <c r="N28" s="53" t="n">
        <v>1667.04031009066</v>
      </c>
      <c r="O28" s="53" t="n">
        <f aca="false">SUM(N26/2,N27:N30,N31/2)/5</f>
        <v>1902.54554230945</v>
      </c>
      <c r="P28" s="1" t="n">
        <f aca="false">O28/N28</f>
        <v>1.14127146823821</v>
      </c>
      <c r="Q28" s="53" t="n">
        <f aca="false">$C$37*N28</f>
        <v>1695.77891330524</v>
      </c>
      <c r="R28" s="53"/>
      <c r="S28" s="53" t="s">
        <v>33</v>
      </c>
      <c r="T28" s="53" t="n">
        <v>1210.87878571249</v>
      </c>
      <c r="U28" s="53" t="n">
        <f aca="false">SUM(T26/2,T27:T30,T31/2)/5</f>
        <v>1294.27305410934</v>
      </c>
      <c r="V28" s="1" t="n">
        <f aca="false">U28/T28</f>
        <v>1.06887086418628</v>
      </c>
      <c r="W28" s="53" t="n">
        <f aca="false">$C$37*T28</f>
        <v>1231.75348487417</v>
      </c>
      <c r="X28" s="53"/>
      <c r="Y28" s="53" t="s">
        <v>33</v>
      </c>
      <c r="Z28" s="53" t="n">
        <v>1440.61538307566</v>
      </c>
      <c r="AA28" s="53" t="n">
        <f aca="false">SUM(Z26/2,Z27:Z30,Z31/2)/5</f>
        <v>1444.88709297085</v>
      </c>
      <c r="AB28" s="1" t="n">
        <f aca="false">AA28/Z28</f>
        <v>1.00296519802952</v>
      </c>
      <c r="AC28" s="53" t="n">
        <f aca="false">$C$37*Z28</f>
        <v>1465.45057969834</v>
      </c>
      <c r="AD28" s="53"/>
      <c r="AE28" s="53" t="s">
        <v>33</v>
      </c>
      <c r="AF28" s="53" t="n">
        <v>1694.69023964302</v>
      </c>
      <c r="AG28" s="53" t="n">
        <f aca="false">SUM(AF26/2,AF27:AF30,AF31/2)/5</f>
        <v>1837.54563029677</v>
      </c>
      <c r="AH28" s="1" t="n">
        <f aca="false">AG28/AF28</f>
        <v>1.08429587148849</v>
      </c>
      <c r="AI28" s="53" t="n">
        <f aca="false">$C$37*AF28</f>
        <v>1723.90550820847</v>
      </c>
      <c r="AJ28" s="53"/>
      <c r="AK28" s="53" t="s">
        <v>33</v>
      </c>
      <c r="AL28" s="53" t="n">
        <v>1548.88334963042</v>
      </c>
      <c r="AM28" s="53" t="n">
        <f aca="false">SUM(AL26/2,AL27:AL30,AL31/2)/5</f>
        <v>1666.54948819943</v>
      </c>
      <c r="AN28" s="1" t="n">
        <f aca="false">AM28/AL28</f>
        <v>1.07596836688643</v>
      </c>
      <c r="AO28" s="53" t="n">
        <f aca="false">$C$37*AL28</f>
        <v>1575.58500989698</v>
      </c>
      <c r="AP28" s="53"/>
      <c r="AQ28" s="53" t="s">
        <v>33</v>
      </c>
      <c r="AR28" s="53" t="n">
        <v>1154.72394934038</v>
      </c>
      <c r="AS28" s="53" t="n">
        <f aca="false">SUM(AR26/2,AR27:AR30,AR31/2)/5</f>
        <v>1170.82768129503</v>
      </c>
      <c r="AT28" s="1" t="n">
        <f aca="false">AS28/AR28</f>
        <v>1.01394595822131</v>
      </c>
      <c r="AU28" s="53" t="n">
        <f aca="false">$C$37*AR28</f>
        <v>1174.63057859319</v>
      </c>
      <c r="AV28" s="53"/>
      <c r="AW28" s="53" t="s">
        <v>33</v>
      </c>
      <c r="AX28" s="53" t="n">
        <v>1210.87878571249</v>
      </c>
      <c r="AY28" s="53" t="n">
        <f aca="false">SUM(AX26/2,AX27:AX30,AX31/2)/5</f>
        <v>1294.27305410934</v>
      </c>
      <c r="AZ28" s="1" t="n">
        <f aca="false">AY28/AX28</f>
        <v>1.06887086418628</v>
      </c>
      <c r="BA28" s="53" t="n">
        <f aca="false">$C$37*AX28</f>
        <v>1231.75348487417</v>
      </c>
    </row>
    <row r="29" customFormat="false" ht="12.8" hidden="false" customHeight="false" outlineLevel="0" collapsed="false">
      <c r="A29" s="157" t="s">
        <v>35</v>
      </c>
      <c r="B29" s="157" t="n">
        <v>1642.13923034423</v>
      </c>
      <c r="C29" s="53" t="n">
        <f aca="false">SUM(B27/2,B28:B31,B32/2)/5</f>
        <v>1854.74320142807</v>
      </c>
      <c r="D29" s="1" t="n">
        <f aca="false">C29/B29</f>
        <v>1.1294676889482</v>
      </c>
      <c r="E29" s="53" t="n">
        <f aca="false">$C$38*B29</f>
        <v>1648.50811653614</v>
      </c>
      <c r="F29" s="53"/>
      <c r="G29" s="157" t="s">
        <v>35</v>
      </c>
      <c r="H29" s="157" t="n">
        <v>1588.47620755325</v>
      </c>
      <c r="I29" s="53" t="n">
        <f aca="false">SUM(H27/2,H28:H31,H32/2)/5</f>
        <v>1786.90960482376</v>
      </c>
      <c r="J29" s="1" t="n">
        <f aca="false">I29/H29</f>
        <v>1.12492059769416</v>
      </c>
      <c r="K29" s="53" t="n">
        <f aca="false">$C$38*H29</f>
        <v>1594.63696663964</v>
      </c>
      <c r="L29" s="53"/>
      <c r="M29" s="157" t="s">
        <v>35</v>
      </c>
      <c r="N29" s="157" t="n">
        <v>1810.70093415713</v>
      </c>
      <c r="O29" s="53" t="n">
        <f aca="false">SUM(N27/2,N28:N31,N32/2)/5</f>
        <v>2138.44626231288</v>
      </c>
      <c r="P29" s="1" t="n">
        <f aca="false">O29/N29</f>
        <v>1.18100467171201</v>
      </c>
      <c r="Q29" s="53" t="n">
        <f aca="false">$C$38*N29</f>
        <v>1817.72357143668</v>
      </c>
      <c r="R29" s="53"/>
      <c r="S29" s="157" t="s">
        <v>35</v>
      </c>
      <c r="T29" s="157" t="n">
        <v>1291.33189068898</v>
      </c>
      <c r="U29" s="53" t="n">
        <f aca="false">SUM(T27/2,T28:T31,T32/2)/5</f>
        <v>1363.16130262869</v>
      </c>
      <c r="V29" s="1" t="n">
        <f aca="false">U29/T29</f>
        <v>1.0556242840881</v>
      </c>
      <c r="W29" s="53" t="n">
        <f aca="false">$C$38*T29</f>
        <v>1296.34020283195</v>
      </c>
      <c r="X29" s="53"/>
      <c r="Y29" s="157" t="s">
        <v>35</v>
      </c>
      <c r="Z29" s="157" t="n">
        <v>1371.09995242497</v>
      </c>
      <c r="AA29" s="53" t="n">
        <f aca="false">SUM(Z27/2,Z28:Z31,Z32/2)/5</f>
        <v>1445.14785807819</v>
      </c>
      <c r="AB29" s="1" t="n">
        <f aca="false">AA29/Z29</f>
        <v>1.054006205399</v>
      </c>
      <c r="AC29" s="53" t="n">
        <f aca="false">$C$38*Z29</f>
        <v>1376.41763766954</v>
      </c>
      <c r="AD29" s="53"/>
      <c r="AE29" s="157" t="s">
        <v>35</v>
      </c>
      <c r="AF29" s="157" t="n">
        <v>1786.14649588524</v>
      </c>
      <c r="AG29" s="53" t="n">
        <f aca="false">SUM(AF27/2,AF28:AF31,AF32/2)/5</f>
        <v>1980.26434908564</v>
      </c>
      <c r="AH29" s="1" t="n">
        <f aca="false">AG29/AF29</f>
        <v>1.10867969320971</v>
      </c>
      <c r="AI29" s="53" t="n">
        <f aca="false">$C$38*AF29</f>
        <v>1793.07390103102</v>
      </c>
      <c r="AJ29" s="53"/>
      <c r="AK29" s="157" t="s">
        <v>35</v>
      </c>
      <c r="AL29" s="157" t="n">
        <v>1584.1713452613</v>
      </c>
      <c r="AM29" s="53" t="n">
        <f aca="false">SUM(AL27/2,AL28:AL31,AL32/2)/5</f>
        <v>1785.50313588534</v>
      </c>
      <c r="AN29" s="1" t="n">
        <f aca="false">AM29/AL29</f>
        <v>1.12708965556427</v>
      </c>
      <c r="AO29" s="53" t="n">
        <f aca="false">$C$38*AL29</f>
        <v>1590.31540833465</v>
      </c>
      <c r="AP29" s="53"/>
      <c r="AQ29" s="157" t="s">
        <v>35</v>
      </c>
      <c r="AR29" s="157" t="n">
        <v>1159.38749387483</v>
      </c>
      <c r="AS29" s="53" t="n">
        <f aca="false">SUM(AR27/2,AR28:AR31,AR32/2)/5</f>
        <v>1220.97865780133</v>
      </c>
      <c r="AT29" s="1" t="n">
        <f aca="false">AS29/AR29</f>
        <v>1.05312388157703</v>
      </c>
      <c r="AU29" s="53" t="n">
        <f aca="false">$C$38*AR29</f>
        <v>1163.88407179244</v>
      </c>
      <c r="AV29" s="53"/>
      <c r="AW29" s="157" t="s">
        <v>35</v>
      </c>
      <c r="AX29" s="157" t="n">
        <v>1291.33189068898</v>
      </c>
      <c r="AY29" s="53" t="n">
        <f aca="false">SUM(AX27/2,AX28:AX31,AX32/2)/5</f>
        <v>1363.16130262869</v>
      </c>
      <c r="AZ29" s="1" t="n">
        <f aca="false">AY29/AX29</f>
        <v>1.0556242840881</v>
      </c>
      <c r="BA29" s="53" t="n">
        <f aca="false">$C$38*AX29</f>
        <v>1296.34020283195</v>
      </c>
    </row>
    <row r="30" customFormat="false" ht="12.8" hidden="false" customHeight="false" outlineLevel="0" collapsed="false">
      <c r="A30" s="159" t="s">
        <v>37</v>
      </c>
      <c r="B30" s="159" t="n">
        <v>1969.35736658864</v>
      </c>
      <c r="C30" s="159"/>
      <c r="D30" s="159"/>
      <c r="E30" s="159" t="n">
        <f aca="false">B30*$C$35</f>
        <v>1984.8726410552</v>
      </c>
      <c r="F30" s="53"/>
      <c r="G30" s="159" t="s">
        <v>37</v>
      </c>
      <c r="H30" s="159" t="n">
        <v>1891.44356916948</v>
      </c>
      <c r="I30" s="159"/>
      <c r="J30" s="159"/>
      <c r="K30" s="159" t="n">
        <f aca="false">H30*$C$35</f>
        <v>1906.34501195054</v>
      </c>
      <c r="L30" s="53"/>
      <c r="M30" s="159" t="s">
        <v>37</v>
      </c>
      <c r="N30" s="159" t="n">
        <v>2307.01336719354</v>
      </c>
      <c r="O30" s="159"/>
      <c r="P30" s="159"/>
      <c r="Q30" s="159" t="n">
        <f aca="false">N30*$C$35</f>
        <v>2325.18881173058</v>
      </c>
      <c r="R30" s="53"/>
      <c r="S30" s="159" t="s">
        <v>37</v>
      </c>
      <c r="T30" s="159" t="n">
        <v>1322.71395576813</v>
      </c>
      <c r="U30" s="159"/>
      <c r="V30" s="159"/>
      <c r="W30" s="159" t="n">
        <f aca="false">T30*$C$35</f>
        <v>1333.13475110608</v>
      </c>
      <c r="X30" s="53"/>
      <c r="Y30" s="159" t="s">
        <v>37</v>
      </c>
      <c r="Z30" s="159" t="n">
        <v>1509.05164075589</v>
      </c>
      <c r="AA30" s="159"/>
      <c r="AB30" s="159"/>
      <c r="AC30" s="159" t="n">
        <f aca="false">Z30*$C$35</f>
        <v>1520.94046844545</v>
      </c>
      <c r="AD30" s="53"/>
      <c r="AE30" s="159" t="s">
        <v>37</v>
      </c>
      <c r="AF30" s="159" t="n">
        <v>2063.84153072489</v>
      </c>
      <c r="AG30" s="159"/>
      <c r="AH30" s="159"/>
      <c r="AI30" s="159" t="n">
        <f aca="false">AF30*$C$35</f>
        <v>2080.10118392341</v>
      </c>
      <c r="AJ30" s="53"/>
      <c r="AK30" s="159" t="s">
        <v>37</v>
      </c>
      <c r="AL30" s="159" t="n">
        <v>1891.95422409844</v>
      </c>
      <c r="AM30" s="159"/>
      <c r="AN30" s="159"/>
      <c r="AO30" s="159" t="n">
        <f aca="false">AL30*$C$35</f>
        <v>1906.85968999461</v>
      </c>
      <c r="AP30" s="53"/>
      <c r="AQ30" s="159" t="s">
        <v>37</v>
      </c>
      <c r="AR30" s="159" t="n">
        <v>1203.41172922645</v>
      </c>
      <c r="AS30" s="159"/>
      <c r="AT30" s="159"/>
      <c r="AU30" s="159" t="n">
        <f aca="false">AR30*$C$35</f>
        <v>1212.89262060351</v>
      </c>
      <c r="AV30" s="53"/>
      <c r="AW30" s="159" t="s">
        <v>37</v>
      </c>
      <c r="AX30" s="159" t="n">
        <v>1322.71395576813</v>
      </c>
      <c r="AY30" s="159"/>
      <c r="AZ30" s="159"/>
      <c r="BA30" s="159" t="n">
        <f aca="false">AX30*$C$35</f>
        <v>1333.13475110608</v>
      </c>
    </row>
    <row r="31" customFormat="false" ht="12.8" hidden="false" customHeight="false" outlineLevel="0" collapsed="false">
      <c r="A31" s="53" t="s">
        <v>40</v>
      </c>
      <c r="B31" s="53" t="n">
        <v>2116.32344991411</v>
      </c>
      <c r="C31" s="53"/>
      <c r="D31" s="53"/>
      <c r="E31" s="53" t="n">
        <f aca="false">B31*$C$36</f>
        <v>2112.8530964149</v>
      </c>
      <c r="F31" s="53"/>
      <c r="G31" s="53" t="s">
        <v>40</v>
      </c>
      <c r="H31" s="53" t="n">
        <v>2033.66179080457</v>
      </c>
      <c r="I31" s="53"/>
      <c r="J31" s="53"/>
      <c r="K31" s="53" t="n">
        <f aca="false">H31*$C$36</f>
        <v>2030.32698614028</v>
      </c>
      <c r="L31" s="53"/>
      <c r="M31" s="53" t="s">
        <v>40</v>
      </c>
      <c r="N31" s="53" t="n">
        <v>2599.17112228757</v>
      </c>
      <c r="O31" s="53"/>
      <c r="P31" s="53"/>
      <c r="Q31" s="53" t="n">
        <f aca="false">N31*$C$36</f>
        <v>2594.90899373645</v>
      </c>
      <c r="R31" s="53"/>
      <c r="S31" s="53" t="s">
        <v>40</v>
      </c>
      <c r="T31" s="53" t="n">
        <v>1613.55935228735</v>
      </c>
      <c r="U31" s="53"/>
      <c r="V31" s="53"/>
      <c r="W31" s="53" t="n">
        <f aca="false">T31*$C$36</f>
        <v>1610.91343285352</v>
      </c>
      <c r="X31" s="53"/>
      <c r="Y31" s="53" t="s">
        <v>40</v>
      </c>
      <c r="Z31" s="53" t="n">
        <v>1476.51319471387</v>
      </c>
      <c r="AA31" s="53"/>
      <c r="AB31" s="53"/>
      <c r="AC31" s="53" t="n">
        <f aca="false">Z31*$C$36</f>
        <v>1474.09200397759</v>
      </c>
      <c r="AD31" s="53"/>
      <c r="AE31" s="53" t="s">
        <v>40</v>
      </c>
      <c r="AF31" s="53" t="n">
        <v>2249.99269915252</v>
      </c>
      <c r="AG31" s="53"/>
      <c r="AH31" s="53"/>
      <c r="AI31" s="53" t="n">
        <f aca="false">AF31*$C$36</f>
        <v>2246.30315442011</v>
      </c>
      <c r="AJ31" s="53"/>
      <c r="AK31" s="53" t="s">
        <v>40</v>
      </c>
      <c r="AL31" s="53" t="n">
        <v>2026.11739337336</v>
      </c>
      <c r="AM31" s="53"/>
      <c r="AN31" s="53"/>
      <c r="AO31" s="53" t="n">
        <f aca="false">AL31*$C$36</f>
        <v>2022.79496003445</v>
      </c>
      <c r="AP31" s="53"/>
      <c r="AQ31" s="53" t="s">
        <v>40</v>
      </c>
      <c r="AR31" s="53" t="n">
        <v>1335.61696621548</v>
      </c>
      <c r="AS31" s="53"/>
      <c r="AT31" s="53"/>
      <c r="AU31" s="53" t="n">
        <f aca="false">AR31*$C$36</f>
        <v>1333.42681753452</v>
      </c>
      <c r="AV31" s="53"/>
      <c r="AW31" s="53" t="s">
        <v>40</v>
      </c>
      <c r="AX31" s="53" t="n">
        <v>1613.55935228735</v>
      </c>
      <c r="AY31" s="53"/>
      <c r="AZ31" s="53"/>
      <c r="BA31" s="53" t="n">
        <f aca="false">AX31*$C$36</f>
        <v>1610.91343285352</v>
      </c>
    </row>
    <row r="32" customFormat="false" ht="12.8" hidden="false" customHeight="false" outlineLevel="0" collapsed="false">
      <c r="A32" s="165" t="s">
        <v>44</v>
      </c>
      <c r="B32" s="53" t="n">
        <v>2314.06418594999</v>
      </c>
      <c r="C32" s="53"/>
      <c r="D32" s="53"/>
      <c r="E32" s="53" t="n">
        <f aca="false">B32*$C$39</f>
        <v>2250.76007650932</v>
      </c>
      <c r="F32" s="53"/>
      <c r="G32" s="165" t="s">
        <v>44</v>
      </c>
      <c r="H32" s="53" t="n">
        <v>2216.23792496176</v>
      </c>
      <c r="I32" s="53"/>
      <c r="J32" s="53"/>
      <c r="K32" s="53" t="n">
        <f aca="false">H32*$C$39</f>
        <v>2155.60997479505</v>
      </c>
      <c r="L32" s="53"/>
      <c r="M32" s="165" t="s">
        <v>44</v>
      </c>
      <c r="N32" s="53" t="n">
        <v>2967.16438808461</v>
      </c>
      <c r="O32" s="53"/>
      <c r="P32" s="53"/>
      <c r="Q32" s="53" t="n">
        <f aca="false">N32*$C$39</f>
        <v>2885.9939087642</v>
      </c>
      <c r="R32" s="53"/>
      <c r="S32" s="165" t="s">
        <v>44</v>
      </c>
      <c r="T32" s="53" t="n">
        <v>1541.50383701283</v>
      </c>
      <c r="U32" s="53"/>
      <c r="V32" s="53"/>
      <c r="W32" s="53" t="n">
        <f aca="false">T32*$C$39</f>
        <v>1499.33407863104</v>
      </c>
      <c r="X32" s="53"/>
      <c r="Y32" s="165" t="s">
        <v>44</v>
      </c>
      <c r="Z32" s="53" t="n">
        <v>1416.77812908266</v>
      </c>
      <c r="AA32" s="53"/>
      <c r="AB32" s="53"/>
      <c r="AC32" s="53" t="n">
        <f aca="false">Z32*$C$39</f>
        <v>1378.02039786624</v>
      </c>
      <c r="AD32" s="53"/>
      <c r="AE32" s="165" t="s">
        <v>44</v>
      </c>
      <c r="AF32" s="53" t="n">
        <v>2529.4925034898</v>
      </c>
      <c r="AG32" s="53"/>
      <c r="AH32" s="53"/>
      <c r="AI32" s="53" t="n">
        <f aca="false">AF32*$C$39</f>
        <v>2460.29508397029</v>
      </c>
      <c r="AJ32" s="53"/>
      <c r="AK32" s="165" t="s">
        <v>44</v>
      </c>
      <c r="AL32" s="53" t="n">
        <v>2214.42983885283</v>
      </c>
      <c r="AM32" s="53"/>
      <c r="AN32" s="53"/>
      <c r="AO32" s="53" t="n">
        <f aca="false">AL32*$C$39</f>
        <v>2153.85135113475</v>
      </c>
      <c r="AP32" s="53"/>
      <c r="AQ32" s="165" t="s">
        <v>44</v>
      </c>
      <c r="AR32" s="53" t="n">
        <v>1371.98093037707</v>
      </c>
      <c r="AS32" s="53"/>
      <c r="AT32" s="53"/>
      <c r="AU32" s="53" t="n">
        <f aca="false">AR32*$C$39</f>
        <v>1334.44868235455</v>
      </c>
      <c r="AV32" s="53"/>
      <c r="AW32" s="165" t="s">
        <v>44</v>
      </c>
      <c r="AX32" s="53" t="n">
        <v>1541.50383701283</v>
      </c>
      <c r="AY32" s="53"/>
      <c r="AZ32" s="53"/>
      <c r="BA32" s="53" t="n">
        <f aca="false">AX32*$C$39</f>
        <v>1499.33407863104</v>
      </c>
    </row>
    <row r="34" customFormat="false" ht="12.8" hidden="false" customHeight="false" outlineLevel="0" collapsed="false">
      <c r="E34" s="1" t="s">
        <v>175</v>
      </c>
      <c r="K34" s="1" t="s">
        <v>175</v>
      </c>
      <c r="Q34" s="1" t="s">
        <v>175</v>
      </c>
      <c r="W34" s="1" t="s">
        <v>175</v>
      </c>
      <c r="AC34" s="1" t="s">
        <v>175</v>
      </c>
      <c r="AI34" s="1" t="s">
        <v>175</v>
      </c>
      <c r="AO34" s="1" t="s">
        <v>175</v>
      </c>
      <c r="AU34" s="1" t="s">
        <v>175</v>
      </c>
      <c r="BA34" s="1" t="s">
        <v>175</v>
      </c>
    </row>
    <row r="35" customFormat="false" ht="12.8" hidden="false" customHeight="false" outlineLevel="0" collapsed="false">
      <c r="A35" s="1" t="s">
        <v>151</v>
      </c>
      <c r="B35" s="1" t="n">
        <f aca="false">AVERAGE(D30,D5,D10,D15,D20,D25)</f>
        <v>1.02817816165402</v>
      </c>
      <c r="C35" s="1" t="n">
        <f aca="false">B35/B$40</f>
        <v>1.00787834383428</v>
      </c>
      <c r="D35" s="117" t="n">
        <f aca="false">C35-1</f>
        <v>0.00787834383428354</v>
      </c>
      <c r="E35" s="117" t="n">
        <f aca="false">1-C35</f>
        <v>-0.00787834383428354</v>
      </c>
      <c r="G35" s="1" t="s">
        <v>151</v>
      </c>
      <c r="H35" s="1" t="n">
        <f aca="false">AVERAGE(J30,J5,J10,J15,J20,J25)</f>
        <v>1.02507801516094</v>
      </c>
      <c r="I35" s="1" t="n">
        <f aca="false">H35/H$40</f>
        <v>1.00611204602735</v>
      </c>
      <c r="J35" s="117" t="n">
        <f aca="false">I35-1</f>
        <v>0.00611204602735183</v>
      </c>
      <c r="K35" s="117" t="n">
        <f aca="false">1-I35</f>
        <v>-0.00611204602735183</v>
      </c>
      <c r="M35" s="1" t="s">
        <v>151</v>
      </c>
      <c r="N35" s="1" t="n">
        <f aca="false">AVERAGE(P30,P5,P10,P15,P20,P25)</f>
        <v>1.02969705334903</v>
      </c>
      <c r="O35" s="1" t="n">
        <f aca="false">N35/N$40</f>
        <v>1.00127194422287</v>
      </c>
      <c r="P35" s="117" t="n">
        <f aca="false">O35-1</f>
        <v>0.0012719442228728</v>
      </c>
      <c r="Q35" s="117" t="n">
        <f aca="false">1-O35</f>
        <v>-0.0012719442228728</v>
      </c>
      <c r="S35" s="1" t="s">
        <v>151</v>
      </c>
      <c r="T35" s="1" t="n">
        <f aca="false">AVERAGE(V30,V5,V10,V15,V20,V25)</f>
        <v>0.959481513186661</v>
      </c>
      <c r="U35" s="1" t="n">
        <f aca="false">T35/T$40</f>
        <v>0.944943186207208</v>
      </c>
      <c r="V35" s="117" t="n">
        <f aca="false">U35-1</f>
        <v>-0.0550568137927918</v>
      </c>
      <c r="W35" s="117" t="n">
        <f aca="false">1-U35</f>
        <v>0.0550568137927918</v>
      </c>
      <c r="Y35" s="1" t="s">
        <v>151</v>
      </c>
      <c r="Z35" s="1" t="n">
        <f aca="false">AVERAGE(AB30,AB5,AB10,AB15,AB20,AB25)</f>
        <v>1.03194636006991</v>
      </c>
      <c r="AA35" s="1" t="n">
        <f aca="false">Z35/Z$40</f>
        <v>1.02206625605087</v>
      </c>
      <c r="AB35" s="117" t="n">
        <f aca="false">AA35-1</f>
        <v>0.0220662560508664</v>
      </c>
      <c r="AC35" s="117" t="n">
        <f aca="false">1-AA35</f>
        <v>-0.0220662560508664</v>
      </c>
      <c r="AE35" s="1" t="s">
        <v>151</v>
      </c>
      <c r="AF35" s="1" t="n">
        <f aca="false">AVERAGE(AH30,AH5,AH10,AH15,AH20,AH25)</f>
        <v>1.04452583114032</v>
      </c>
      <c r="AG35" s="1" t="n">
        <f aca="false">AF35/AF$40</f>
        <v>1.0225323666936</v>
      </c>
      <c r="AH35" s="117" t="n">
        <f aca="false">AG35-1</f>
        <v>0.0225323666935993</v>
      </c>
      <c r="AI35" s="117" t="n">
        <f aca="false">1-AG35</f>
        <v>-0.0225323666935993</v>
      </c>
      <c r="AK35" s="1" t="s">
        <v>151</v>
      </c>
      <c r="AL35" s="1" t="n">
        <f aca="false">AVERAGE(AN30,AN5,AN10,AN15,AN20,AN25)</f>
        <v>1.03019858928335</v>
      </c>
      <c r="AM35" s="1" t="n">
        <f aca="false">AL35/AL$40</f>
        <v>1.01112210733553</v>
      </c>
      <c r="AN35" s="117" t="n">
        <f aca="false">AM35-1</f>
        <v>0.0111221073355254</v>
      </c>
      <c r="AO35" s="117" t="n">
        <f aca="false">1-AM35</f>
        <v>-0.0111221073355254</v>
      </c>
      <c r="AQ35" s="1" t="s">
        <v>151</v>
      </c>
      <c r="AR35" s="1" t="n">
        <f aca="false">AVERAGE(AT30,AT5,AT10,AT15,AT20,AT25)</f>
        <v>0.992499953029947</v>
      </c>
      <c r="AS35" s="1" t="n">
        <f aca="false">AR35/AR$40</f>
        <v>0.984419136642937</v>
      </c>
      <c r="AT35" s="117" t="n">
        <f aca="false">AS35-1</f>
        <v>-0.0155808633570634</v>
      </c>
      <c r="AU35" s="117" t="n">
        <f aca="false">1-AS35</f>
        <v>0.0155808633570634</v>
      </c>
      <c r="AW35" s="1" t="s">
        <v>151</v>
      </c>
      <c r="AX35" s="1" t="n">
        <f aca="false">AVERAGE(AZ30,AZ5,AZ10,AZ15,AZ20,AZ25)</f>
        <v>0.959481513186661</v>
      </c>
      <c r="AY35" s="1" t="n">
        <f aca="false">AX35/AX$40</f>
        <v>0.944943186207208</v>
      </c>
      <c r="AZ35" s="117" t="n">
        <f aca="false">AY35-1</f>
        <v>-0.0550568137927918</v>
      </c>
      <c r="BA35" s="117" t="n">
        <f aca="false">1-AY35</f>
        <v>0.0550568137927918</v>
      </c>
    </row>
    <row r="36" customFormat="false" ht="12.8" hidden="false" customHeight="false" outlineLevel="0" collapsed="false">
      <c r="A36" s="1" t="s">
        <v>152</v>
      </c>
      <c r="B36" s="1" t="n">
        <f aca="false">AVERAGE(D31,D6,D11,D16,D21,D26)</f>
        <v>1.018468308522</v>
      </c>
      <c r="C36" s="1" t="n">
        <f aca="false">B36/B$40</f>
        <v>0.998360197020285</v>
      </c>
      <c r="D36" s="117" t="n">
        <f aca="false">C36-1</f>
        <v>-0.00163980297971544</v>
      </c>
      <c r="E36" s="117" t="n">
        <f aca="false">1-C36</f>
        <v>0.00163980297971544</v>
      </c>
      <c r="G36" s="1" t="s">
        <v>152</v>
      </c>
      <c r="H36" s="1" t="n">
        <f aca="false">AVERAGE(J31,J6,J11,J16,J21,J26)</f>
        <v>1.0167012726673</v>
      </c>
      <c r="I36" s="1" t="n">
        <f aca="false">H36/H$40</f>
        <v>0.997890289824737</v>
      </c>
      <c r="J36" s="117" t="n">
        <f aca="false">I36-1</f>
        <v>-0.00210971017526274</v>
      </c>
      <c r="K36" s="117" t="n">
        <f aca="false">1-I36</f>
        <v>0.00210971017526274</v>
      </c>
      <c r="M36" s="1" t="s">
        <v>152</v>
      </c>
      <c r="N36" s="1" t="n">
        <f aca="false">AVERAGE(P31,P6,P11,P16,P21,P26)</f>
        <v>1.05837177253817</v>
      </c>
      <c r="O36" s="1" t="n">
        <f aca="false">N36/N$40</f>
        <v>1.02915508882271</v>
      </c>
      <c r="P36" s="117" t="n">
        <f aca="false">O36-1</f>
        <v>0.0291550888227081</v>
      </c>
      <c r="Q36" s="117" t="n">
        <f aca="false">1-O36</f>
        <v>-0.0291550888227081</v>
      </c>
      <c r="S36" s="1" t="s">
        <v>152</v>
      </c>
      <c r="T36" s="1" t="n">
        <f aca="false">AVERAGE(V31,V6,V11,V16,V21,V26)</f>
        <v>1.00755149718414</v>
      </c>
      <c r="U36" s="1" t="n">
        <f aca="false">T36/T$40</f>
        <v>0.992284800626278</v>
      </c>
      <c r="V36" s="117" t="n">
        <f aca="false">U36-1</f>
        <v>-0.00771519937372178</v>
      </c>
      <c r="W36" s="117" t="n">
        <f aca="false">1-U36</f>
        <v>0.00771519937372178</v>
      </c>
      <c r="Y36" s="1" t="s">
        <v>152</v>
      </c>
      <c r="Z36" s="1" t="n">
        <f aca="false">AVERAGE(AB31,AB6,AB11,AB16,AB21,AB26)</f>
        <v>0.985410863168321</v>
      </c>
      <c r="AA36" s="1" t="n">
        <f aca="false">Z36/Z$40</f>
        <v>0.97597630125084</v>
      </c>
      <c r="AB36" s="117" t="n">
        <f aca="false">AA36-1</f>
        <v>-0.02402369874916</v>
      </c>
      <c r="AC36" s="117" t="n">
        <f aca="false">1-AA36</f>
        <v>0.02402369874916</v>
      </c>
      <c r="AE36" s="1" t="s">
        <v>152</v>
      </c>
      <c r="AF36" s="1" t="n">
        <f aca="false">AVERAGE(AH31,AH6,AH11,AH16,AH21,AH26)</f>
        <v>1.02679923728229</v>
      </c>
      <c r="AG36" s="1" t="n">
        <f aca="false">AF36/AF$40</f>
        <v>1.00517902278321</v>
      </c>
      <c r="AH36" s="117" t="n">
        <f aca="false">AG36-1</f>
        <v>0.00517902278320492</v>
      </c>
      <c r="AI36" s="117" t="n">
        <f aca="false">1-AG36</f>
        <v>-0.00517902278320492</v>
      </c>
      <c r="AK36" s="1" t="s">
        <v>152</v>
      </c>
      <c r="AL36" s="1" t="n">
        <f aca="false">AVERAGE(AN31,AN6,AN11,AN16,AN21,AN26)</f>
        <v>1.01745351934886</v>
      </c>
      <c r="AM36" s="1" t="n">
        <f aca="false">AL36/AL$40</f>
        <v>0.998613041506513</v>
      </c>
      <c r="AN36" s="117" t="n">
        <f aca="false">AM36-1</f>
        <v>-0.00138695849348747</v>
      </c>
      <c r="AO36" s="117" t="n">
        <f aca="false">1-AM36</f>
        <v>0.00138695849348747</v>
      </c>
      <c r="AQ36" s="1" t="s">
        <v>152</v>
      </c>
      <c r="AR36" s="1" t="n">
        <f aca="false">AVERAGE(AT31,AT6,AT11,AT16,AT21,AT26)</f>
        <v>1.01489468347258</v>
      </c>
      <c r="AS36" s="1" t="n">
        <f aca="false">AR36/AR$40</f>
        <v>1.00663153185805</v>
      </c>
      <c r="AT36" s="117" t="n">
        <f aca="false">AS36-1</f>
        <v>0.0066315318580521</v>
      </c>
      <c r="AU36" s="117" t="n">
        <f aca="false">1-AS36</f>
        <v>-0.0066315318580521</v>
      </c>
      <c r="AW36" s="1" t="s">
        <v>152</v>
      </c>
      <c r="AX36" s="1" t="n">
        <f aca="false">AVERAGE(AZ31,AZ6,AZ11,AZ16,AZ21,AZ26)</f>
        <v>1.00755149718414</v>
      </c>
      <c r="AY36" s="1" t="n">
        <f aca="false">AX36/AX$40</f>
        <v>0.992284800626278</v>
      </c>
      <c r="AZ36" s="117" t="n">
        <f aca="false">AY36-1</f>
        <v>-0.00771519937372178</v>
      </c>
      <c r="BA36" s="117" t="n">
        <f aca="false">1-AY36</f>
        <v>0.00771519937372178</v>
      </c>
    </row>
    <row r="37" customFormat="false" ht="12.8" hidden="false" customHeight="false" outlineLevel="0" collapsed="false">
      <c r="A37" s="1" t="s">
        <v>153</v>
      </c>
      <c r="B37" s="1" t="n">
        <f aca="false">AVERAGE(D3,D8,D13,D18,D23,D28)</f>
        <v>1.03772765519977</v>
      </c>
      <c r="C37" s="1" t="n">
        <f aca="false">B37/B$40</f>
        <v>1.01723929711875</v>
      </c>
      <c r="D37" s="117" t="n">
        <f aca="false">C37-1</f>
        <v>0.0172392971187465</v>
      </c>
      <c r="E37" s="117" t="n">
        <f aca="false">1-C37</f>
        <v>-0.0172392971187465</v>
      </c>
      <c r="G37" s="1" t="s">
        <v>153</v>
      </c>
      <c r="H37" s="1" t="n">
        <f aca="false">AVERAGE(J3,J8,J13,J18,J23,J28)</f>
        <v>1.03594987771137</v>
      </c>
      <c r="I37" s="1" t="n">
        <f aca="false">H37/H$40</f>
        <v>1.01678275763463</v>
      </c>
      <c r="J37" s="117" t="n">
        <f aca="false">I37-1</f>
        <v>0.0167827576346342</v>
      </c>
      <c r="K37" s="117" t="n">
        <f aca="false">1-I37</f>
        <v>-0.0167827576346342</v>
      </c>
      <c r="M37" s="1" t="s">
        <v>153</v>
      </c>
      <c r="N37" s="1" t="n">
        <f aca="false">AVERAGE(P3,P8,P13,P18,P23,P28)</f>
        <v>1.04495668649533</v>
      </c>
      <c r="O37" s="1" t="n">
        <f aca="false">N37/N$40</f>
        <v>1.01611033042475</v>
      </c>
      <c r="P37" s="117" t="n">
        <f aca="false">O37-1</f>
        <v>0.0161103304247507</v>
      </c>
      <c r="Q37" s="117" t="n">
        <f aca="false">1-O37</f>
        <v>-0.0161103304247507</v>
      </c>
      <c r="S37" s="1" t="s">
        <v>153</v>
      </c>
      <c r="T37" s="1" t="n">
        <f aca="false">AVERAGE(V3,V8,V13,V18,V23,V28)</f>
        <v>1.04597627009698</v>
      </c>
      <c r="U37" s="1" t="n">
        <f aca="false">T37/T$40</f>
        <v>1.03012735084379</v>
      </c>
      <c r="V37" s="117" t="n">
        <f aca="false">U37-1</f>
        <v>0.0301273508437943</v>
      </c>
      <c r="W37" s="117" t="n">
        <f aca="false">1-U37</f>
        <v>-0.0301273508437943</v>
      </c>
      <c r="Y37" s="1" t="s">
        <v>153</v>
      </c>
      <c r="Z37" s="1" t="n">
        <f aca="false">AVERAGE(AB3,AB8,AB13,AB18,AB23,AB28)</f>
        <v>1.02138280749044</v>
      </c>
      <c r="AA37" s="1" t="n">
        <f aca="false">Z37/Z$40</f>
        <v>1.0116038414785</v>
      </c>
      <c r="AB37" s="117" t="n">
        <f aca="false">AA37-1</f>
        <v>0.0116038414784985</v>
      </c>
      <c r="AC37" s="117" t="n">
        <f aca="false">1-AA37</f>
        <v>-0.0116038414784985</v>
      </c>
      <c r="AE37" s="1" t="s">
        <v>153</v>
      </c>
      <c r="AF37" s="1" t="n">
        <f aca="false">AVERAGE(AH3,AH8,AH13,AH18,AH23,AH28)</f>
        <v>1.02580425007157</v>
      </c>
      <c r="AG37" s="1" t="n">
        <f aca="false">AF37/AF$40</f>
        <v>1.00420498595513</v>
      </c>
      <c r="AH37" s="117" t="n">
        <f aca="false">AG37-1</f>
        <v>0.00420498595512919</v>
      </c>
      <c r="AI37" s="117" t="n">
        <f aca="false">1-AG37</f>
        <v>-0.00420498595512919</v>
      </c>
      <c r="AK37" s="1" t="s">
        <v>153</v>
      </c>
      <c r="AL37" s="1" t="n">
        <f aca="false">AVERAGE(AN3,AN8,AN13,AN18,AN23,AN28)</f>
        <v>1.03361822974708</v>
      </c>
      <c r="AM37" s="1" t="n">
        <f aca="false">AL37/AL$40</f>
        <v>1.01447842533866</v>
      </c>
      <c r="AN37" s="117" t="n">
        <f aca="false">AM37-1</f>
        <v>0.0144784253386581</v>
      </c>
      <c r="AO37" s="117" t="n">
        <f aca="false">1-AM37</f>
        <v>-0.0144784253386581</v>
      </c>
      <c r="AQ37" s="1" t="s">
        <v>153</v>
      </c>
      <c r="AR37" s="1" t="n">
        <f aca="false">AVERAGE(AT3,AT8,AT13,AT18,AT23,AT28)</f>
        <v>1.00911330149569</v>
      </c>
      <c r="AS37" s="1" t="n">
        <f aca="false">AR37/AR$40</f>
        <v>1.00089722120452</v>
      </c>
      <c r="AT37" s="117" t="n">
        <f aca="false">AS37-1</f>
        <v>0.000897221204523735</v>
      </c>
      <c r="AU37" s="117" t="n">
        <f aca="false">1-AS37</f>
        <v>-0.000897221204523735</v>
      </c>
      <c r="AW37" s="1" t="s">
        <v>153</v>
      </c>
      <c r="AX37" s="1" t="n">
        <f aca="false">AVERAGE(AZ3,AZ8,AZ13,AZ18,AZ23,AZ28)</f>
        <v>1.04597627009698</v>
      </c>
      <c r="AY37" s="1" t="n">
        <f aca="false">AX37/AX$40</f>
        <v>1.03012735084379</v>
      </c>
      <c r="AZ37" s="117" t="n">
        <f aca="false">AY37-1</f>
        <v>0.0301273508437943</v>
      </c>
      <c r="BA37" s="117" t="n">
        <f aca="false">1-AY37</f>
        <v>-0.0301273508437943</v>
      </c>
    </row>
    <row r="38" customFormat="false" ht="12.8" hidden="false" customHeight="false" outlineLevel="0" collapsed="false">
      <c r="A38" s="1" t="s">
        <v>154</v>
      </c>
      <c r="B38" s="1" t="n">
        <f aca="false">AVERAGE(D4,D9,D14,D19,D24,D29)</f>
        <v>1.02409766272</v>
      </c>
      <c r="C38" s="1" t="n">
        <f aca="false">B38/B$40</f>
        <v>1.00387840816066</v>
      </c>
      <c r="D38" s="117" t="n">
        <f aca="false">C38-1</f>
        <v>0.0038784081606611</v>
      </c>
      <c r="E38" s="117" t="n">
        <f aca="false">1-C38</f>
        <v>-0.0038784081606611</v>
      </c>
      <c r="G38" s="1" t="s">
        <v>154</v>
      </c>
      <c r="H38" s="1" t="n">
        <f aca="false">AVERAGE(J4,J9,J14,J19,J24,J29)</f>
        <v>1.0233327336153</v>
      </c>
      <c r="I38" s="1" t="n">
        <f aca="false">H38/H$40</f>
        <v>1.0043990556395</v>
      </c>
      <c r="J38" s="117" t="n">
        <f aca="false">I38-1</f>
        <v>0.00439905563949727</v>
      </c>
      <c r="K38" s="117" t="n">
        <f aca="false">1-I38</f>
        <v>-0.00439905563949727</v>
      </c>
      <c r="M38" s="1" t="s">
        <v>154</v>
      </c>
      <c r="N38" s="1" t="n">
        <f aca="false">AVERAGE(P4,P9,P14,P19,P24,P29)</f>
        <v>1.0223876597887</v>
      </c>
      <c r="O38" s="1" t="n">
        <f aca="false">N38/N$40</f>
        <v>0.994164328757296</v>
      </c>
      <c r="P38" s="117" t="n">
        <f aca="false">O38-1</f>
        <v>-0.00583567124270412</v>
      </c>
      <c r="Q38" s="117" t="n">
        <f aca="false">1-O38</f>
        <v>0.00583567124270412</v>
      </c>
      <c r="S38" s="1" t="s">
        <v>154</v>
      </c>
      <c r="T38" s="1" t="n">
        <f aca="false">AVERAGE(V4,V9,V14,V19,V24,V29)</f>
        <v>1.02035463948863</v>
      </c>
      <c r="U38" s="1" t="n">
        <f aca="false">T38/T$40</f>
        <v>1.00489394620792</v>
      </c>
      <c r="V38" s="117" t="n">
        <f aca="false">U38-1</f>
        <v>0.00489394620792205</v>
      </c>
      <c r="W38" s="117" t="n">
        <f aca="false">1-U38</f>
        <v>-0.00489394620792205</v>
      </c>
      <c r="Y38" s="1" t="s">
        <v>154</v>
      </c>
      <c r="Z38" s="1" t="n">
        <f aca="false">AVERAGE(AB4,AB9,AB14,AB19,AB24,AB29)</f>
        <v>1.02268636544856</v>
      </c>
      <c r="AA38" s="1" t="n">
        <f aca="false">Z38/Z$40</f>
        <v>1.01289491885748</v>
      </c>
      <c r="AB38" s="117" t="n">
        <f aca="false">AA38-1</f>
        <v>0.0128949188574761</v>
      </c>
      <c r="AC38" s="117" t="n">
        <f aca="false">1-AA38</f>
        <v>-0.0128949188574761</v>
      </c>
      <c r="AE38" s="1" t="s">
        <v>154</v>
      </c>
      <c r="AF38" s="1" t="n">
        <f aca="false">AVERAGE(AH4,AH9,AH14,AH19,AH24,AH29)</f>
        <v>1.01280679677978</v>
      </c>
      <c r="AG38" s="1" t="n">
        <f aca="false">AF38/AF$40</f>
        <v>0.991481206150731</v>
      </c>
      <c r="AH38" s="117" t="n">
        <f aca="false">AG38-1</f>
        <v>-0.00851879384926924</v>
      </c>
      <c r="AI38" s="117" t="n">
        <f aca="false">1-AG38</f>
        <v>0.00851879384926924</v>
      </c>
      <c r="AK38" s="1" t="s">
        <v>154</v>
      </c>
      <c r="AL38" s="1" t="n">
        <f aca="false">AVERAGE(AN4,AN9,AN14,AN19,AN24,AN29)</f>
        <v>1.02218803551928</v>
      </c>
      <c r="AM38" s="1" t="n">
        <f aca="false">AL38/AL$40</f>
        <v>1.00325988728678</v>
      </c>
      <c r="AN38" s="117" t="n">
        <f aca="false">AM38-1</f>
        <v>0.00325988728678062</v>
      </c>
      <c r="AO38" s="117" t="n">
        <f aca="false">1-AM38</f>
        <v>-0.00325988728678062</v>
      </c>
      <c r="AQ38" s="1" t="s">
        <v>154</v>
      </c>
      <c r="AR38" s="1" t="n">
        <f aca="false">AVERAGE(AT4,AT9,AT14,AT19,AT24,AT29)</f>
        <v>1.01092426902524</v>
      </c>
      <c r="AS38" s="1" t="n">
        <f aca="false">AR38/AR$40</f>
        <v>1.00269344405217</v>
      </c>
      <c r="AT38" s="117" t="n">
        <f aca="false">AS38-1</f>
        <v>0.00269344405217176</v>
      </c>
      <c r="AU38" s="117" t="n">
        <f aca="false">1-AS38</f>
        <v>-0.00269344405217176</v>
      </c>
      <c r="AW38" s="1" t="s">
        <v>154</v>
      </c>
      <c r="AX38" s="1" t="n">
        <f aca="false">AVERAGE(AZ4,AZ9,AZ14,AZ19,AZ24,AZ29)</f>
        <v>1.02035463948863</v>
      </c>
      <c r="AY38" s="1" t="n">
        <f aca="false">AX38/AX$40</f>
        <v>1.00489394620792</v>
      </c>
      <c r="AZ38" s="117" t="n">
        <f aca="false">AY38-1</f>
        <v>0.00489394620792205</v>
      </c>
      <c r="BA38" s="117" t="n">
        <f aca="false">1-AY38</f>
        <v>-0.00489394620792205</v>
      </c>
    </row>
    <row r="39" customFormat="false" ht="12.8" hidden="false" customHeight="false" outlineLevel="0" collapsed="false">
      <c r="A39" s="1" t="s">
        <v>165</v>
      </c>
      <c r="B39" s="1" t="n">
        <f aca="false">AVERAGE(D7,D12,D17,D22,D27,D32)</f>
        <v>0.992233906911548</v>
      </c>
      <c r="C39" s="1" t="n">
        <f aca="false">B39/B$40</f>
        <v>0.972643753866024</v>
      </c>
      <c r="D39" s="117" t="n">
        <f aca="false">C39-1</f>
        <v>-0.0273562461339758</v>
      </c>
      <c r="E39" s="117" t="n">
        <f aca="false">1-C39</f>
        <v>0.0273562461339758</v>
      </c>
      <c r="G39" s="1" t="s">
        <v>165</v>
      </c>
      <c r="H39" s="1" t="n">
        <f aca="false">AVERAGE(J7,J12,J17,J22,J27,J32)</f>
        <v>0.993191863179369</v>
      </c>
      <c r="I39" s="1" t="n">
        <f aca="false">H39/H$40</f>
        <v>0.97481585087378</v>
      </c>
      <c r="J39" s="117" t="n">
        <f aca="false">I39-1</f>
        <v>-0.0251841491262205</v>
      </c>
      <c r="K39" s="117" t="n">
        <f aca="false">1-I39</f>
        <v>0.0251841491262205</v>
      </c>
      <c r="M39" s="1" t="s">
        <v>165</v>
      </c>
      <c r="N39" s="1" t="n">
        <f aca="false">AVERAGE(P7,P12,P17,P22,P27,P32)</f>
        <v>0.98653182733746</v>
      </c>
      <c r="O39" s="1" t="n">
        <f aca="false">N39/N$40</f>
        <v>0.959298307772373</v>
      </c>
      <c r="P39" s="117" t="n">
        <f aca="false">O39-1</f>
        <v>-0.0407016922276273</v>
      </c>
      <c r="Q39" s="117" t="n">
        <f aca="false">1-O39</f>
        <v>0.0407016922276273</v>
      </c>
      <c r="S39" s="1" t="s">
        <v>165</v>
      </c>
      <c r="T39" s="1" t="n">
        <f aca="false">AVERAGE(V7,V12,V17,V22,V27,V32)</f>
        <v>1.04356306989685</v>
      </c>
      <c r="U39" s="1" t="n">
        <f aca="false">T39/T$40</f>
        <v>1.0277507161148</v>
      </c>
      <c r="V39" s="117" t="n">
        <f aca="false">U39-1</f>
        <v>0.0277507161147978</v>
      </c>
      <c r="W39" s="117" t="n">
        <f aca="false">1-U39</f>
        <v>-0.0277507161147978</v>
      </c>
      <c r="Y39" s="1" t="s">
        <v>165</v>
      </c>
      <c r="Z39" s="1" t="n">
        <f aca="false">AVERAGE(AB7,AB12,AB17,AB22,AB27,AB32)</f>
        <v>0.986907574152732</v>
      </c>
      <c r="AA39" s="1" t="n">
        <f aca="false">Z39/Z$40</f>
        <v>0.97745868236232</v>
      </c>
      <c r="AB39" s="117" t="n">
        <f aca="false">AA39-1</f>
        <v>-0.0225413176376804</v>
      </c>
      <c r="AC39" s="117" t="n">
        <f aca="false">1-AA39</f>
        <v>0.0225413176376804</v>
      </c>
      <c r="AE39" s="1" t="s">
        <v>165</v>
      </c>
      <c r="AF39" s="1" t="n">
        <f aca="false">AVERAGE(AH7,AH12,AH17,AH22,AH27,AH32)</f>
        <v>0.997607983881725</v>
      </c>
      <c r="AG39" s="1" t="n">
        <f aca="false">AF39/AF$40</f>
        <v>0.976602418417336</v>
      </c>
      <c r="AH39" s="117" t="n">
        <f aca="false">AG39-1</f>
        <v>-0.0233975815826636</v>
      </c>
      <c r="AI39" s="117" t="n">
        <f aca="false">1-AG39</f>
        <v>0.0233975815826636</v>
      </c>
      <c r="AK39" s="1" t="s">
        <v>165</v>
      </c>
      <c r="AL39" s="1" t="n">
        <f aca="false">AVERAGE(AN7,AN12,AN17,AN22,AN27,AN32)</f>
        <v>0.990874851581462</v>
      </c>
      <c r="AM39" s="1" t="n">
        <f aca="false">AL39/AL$40</f>
        <v>0.972526538532523</v>
      </c>
      <c r="AN39" s="117" t="n">
        <f aca="false">AM39-1</f>
        <v>-0.0274734614674771</v>
      </c>
      <c r="AO39" s="117" t="n">
        <f aca="false">1-AM39</f>
        <v>0.0274734614674771</v>
      </c>
      <c r="AQ39" s="1" t="s">
        <v>165</v>
      </c>
      <c r="AR39" s="1" t="n">
        <f aca="false">AVERAGE(AT7,AT12,AT17,AT22,AT27,AT32)</f>
        <v>1.01361136926544</v>
      </c>
      <c r="AS39" s="1" t="n">
        <f aca="false">AR39/AR$40</f>
        <v>1.00535866624232</v>
      </c>
      <c r="AT39" s="117" t="n">
        <f aca="false">AS39-1</f>
        <v>0.00535866624231529</v>
      </c>
      <c r="AU39" s="117" t="n">
        <f aca="false">1-AS39</f>
        <v>-0.00535866624231529</v>
      </c>
      <c r="AW39" s="1" t="s">
        <v>165</v>
      </c>
      <c r="AX39" s="1" t="n">
        <f aca="false">AVERAGE(AZ7,AZ12,AZ17,AZ22,AZ27,AZ32)</f>
        <v>1.04356306989685</v>
      </c>
      <c r="AY39" s="1" t="n">
        <f aca="false">AX39/AX$40</f>
        <v>1.0277507161148</v>
      </c>
      <c r="AZ39" s="117" t="n">
        <f aca="false">AY39-1</f>
        <v>0.0277507161147978</v>
      </c>
      <c r="BA39" s="117" t="n">
        <f aca="false">1-AY39</f>
        <v>-0.0277507161147978</v>
      </c>
    </row>
    <row r="40" customFormat="false" ht="12.8" hidden="false" customHeight="false" outlineLevel="0" collapsed="false">
      <c r="B40" s="1" t="n">
        <f aca="false">AVERAGE(B35:B39)</f>
        <v>1.02014113900147</v>
      </c>
      <c r="C40" s="1" t="n">
        <f aca="false">B40/B$40</f>
        <v>1</v>
      </c>
      <c r="D40" s="1" t="n">
        <v>1</v>
      </c>
      <c r="H40" s="1" t="n">
        <f aca="false">AVERAGE(H35:H39)</f>
        <v>1.01885075246686</v>
      </c>
      <c r="I40" s="1" t="n">
        <f aca="false">H40/H$40</f>
        <v>1</v>
      </c>
      <c r="J40" s="1" t="n">
        <v>1</v>
      </c>
      <c r="N40" s="1" t="n">
        <f aca="false">AVERAGE(N35:N39)</f>
        <v>1.02838899990174</v>
      </c>
      <c r="O40" s="1" t="n">
        <f aca="false">N40/N$40</f>
        <v>1</v>
      </c>
      <c r="P40" s="1" t="n">
        <v>1</v>
      </c>
      <c r="T40" s="1" t="n">
        <f aca="false">AVERAGE(T35:T39)</f>
        <v>1.01538539797065</v>
      </c>
      <c r="U40" s="1" t="n">
        <f aca="false">T40/T$40</f>
        <v>1</v>
      </c>
      <c r="V40" s="1" t="n">
        <v>1</v>
      </c>
      <c r="Z40" s="1" t="n">
        <f aca="false">AVERAGE(Z35:Z39)</f>
        <v>1.00966679406599</v>
      </c>
      <c r="AA40" s="1" t="n">
        <f aca="false">Z40/Z$40</f>
        <v>1</v>
      </c>
      <c r="AB40" s="1" t="n">
        <v>1</v>
      </c>
      <c r="AF40" s="1" t="n">
        <f aca="false">AVERAGE(AF35:AF39)</f>
        <v>1.02150881983113</v>
      </c>
      <c r="AG40" s="1" t="n">
        <f aca="false">AF40/AF$40</f>
        <v>1</v>
      </c>
      <c r="AH40" s="1" t="n">
        <v>1</v>
      </c>
      <c r="AL40" s="1" t="n">
        <f aca="false">AVERAGE(AL35:AL39)</f>
        <v>1.018866645096</v>
      </c>
      <c r="AM40" s="1" t="n">
        <f aca="false">AL40/AL$40</f>
        <v>1</v>
      </c>
      <c r="AN40" s="1" t="n">
        <v>1</v>
      </c>
      <c r="AR40" s="1" t="n">
        <f aca="false">AVERAGE(AR35:AR39)</f>
        <v>1.00820871525778</v>
      </c>
      <c r="AS40" s="1" t="n">
        <f aca="false">AR40/AR$40</f>
        <v>1</v>
      </c>
      <c r="AT40" s="1" t="n">
        <v>1</v>
      </c>
      <c r="AX40" s="1" t="n">
        <f aca="false">AVERAGE(AX35:AX39)</f>
        <v>1.01538539797065</v>
      </c>
      <c r="AY40" s="1" t="n">
        <f aca="false">AX40/AX$40</f>
        <v>1</v>
      </c>
      <c r="AZ40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0000"/>
    <pageSetUpPr fitToPage="false"/>
  </sheetPr>
  <dimension ref="A1:BA30"/>
  <sheetViews>
    <sheetView showFormulas="false" showGridLines="true" showRowColHeaders="true" showZeros="true" rightToLeft="false" tabSelected="false" showOutlineSymbols="true" defaultGridColor="true" view="normal" topLeftCell="AJ1" colorId="64" zoomScale="55" zoomScaleNormal="55" zoomScalePageLayoutView="100" workbookViewId="0">
      <selection pane="topLeft" activeCell="AO27" activeCellId="0" sqref="AO2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2.88"/>
    <col collapsed="false" customWidth="true" hidden="false" outlineLevel="0" max="19" min="19" style="1" width="13.81"/>
  </cols>
  <sheetData>
    <row r="1" customFormat="false" ht="12.8" hidden="false" customHeight="false" outlineLevel="0" collapsed="false">
      <c r="A1" s="1" t="s">
        <v>81</v>
      </c>
      <c r="B1" s="1" t="s">
        <v>171</v>
      </c>
      <c r="C1" s="1" t="s">
        <v>172</v>
      </c>
      <c r="D1" s="23" t="s">
        <v>173</v>
      </c>
      <c r="E1" s="23" t="s">
        <v>174</v>
      </c>
      <c r="G1" s="1" t="s">
        <v>82</v>
      </c>
      <c r="H1" s="1" t="s">
        <v>171</v>
      </c>
      <c r="I1" s="1" t="s">
        <v>172</v>
      </c>
      <c r="J1" s="23" t="s">
        <v>173</v>
      </c>
      <c r="K1" s="23" t="s">
        <v>174</v>
      </c>
      <c r="M1" s="1" t="s">
        <v>83</v>
      </c>
      <c r="N1" s="1" t="s">
        <v>171</v>
      </c>
      <c r="O1" s="1" t="s">
        <v>172</v>
      </c>
      <c r="P1" s="23" t="s">
        <v>173</v>
      </c>
      <c r="Q1" s="23" t="s">
        <v>174</v>
      </c>
      <c r="S1" s="1" t="s">
        <v>162</v>
      </c>
      <c r="T1" s="1" t="s">
        <v>171</v>
      </c>
      <c r="U1" s="1" t="s">
        <v>172</v>
      </c>
      <c r="V1" s="23" t="s">
        <v>173</v>
      </c>
      <c r="W1" s="23" t="s">
        <v>174</v>
      </c>
      <c r="Y1" s="1" t="s">
        <v>86</v>
      </c>
      <c r="Z1" s="1" t="s">
        <v>171</v>
      </c>
      <c r="AA1" s="1" t="s">
        <v>172</v>
      </c>
      <c r="AB1" s="23" t="s">
        <v>173</v>
      </c>
      <c r="AC1" s="23" t="s">
        <v>174</v>
      </c>
      <c r="AE1" s="1" t="s">
        <v>163</v>
      </c>
      <c r="AF1" s="1" t="s">
        <v>171</v>
      </c>
      <c r="AG1" s="1" t="s">
        <v>172</v>
      </c>
      <c r="AH1" s="23" t="s">
        <v>173</v>
      </c>
      <c r="AI1" s="23" t="s">
        <v>174</v>
      </c>
      <c r="AK1" s="1" t="s">
        <v>164</v>
      </c>
      <c r="AL1" s="1" t="s">
        <v>171</v>
      </c>
      <c r="AM1" s="1" t="s">
        <v>172</v>
      </c>
      <c r="AN1" s="23" t="s">
        <v>173</v>
      </c>
      <c r="AO1" s="23" t="s">
        <v>174</v>
      </c>
      <c r="AQ1" s="1" t="s">
        <v>150</v>
      </c>
      <c r="AR1" s="1" t="s">
        <v>171</v>
      </c>
      <c r="AS1" s="1" t="s">
        <v>172</v>
      </c>
      <c r="AT1" s="23" t="s">
        <v>173</v>
      </c>
      <c r="AU1" s="23" t="s">
        <v>174</v>
      </c>
      <c r="AW1" s="1" t="s">
        <v>116</v>
      </c>
      <c r="AX1" s="1" t="s">
        <v>171</v>
      </c>
      <c r="AY1" s="1" t="s">
        <v>172</v>
      </c>
      <c r="AZ1" s="23" t="s">
        <v>173</v>
      </c>
      <c r="BA1" s="23" t="s">
        <v>174</v>
      </c>
    </row>
    <row r="2" customFormat="false" ht="12.8" hidden="false" customHeight="false" outlineLevel="0" collapsed="false">
      <c r="A2" s="165" t="s">
        <v>68</v>
      </c>
      <c r="B2" s="53" t="n">
        <v>1177.56827191917</v>
      </c>
      <c r="C2" s="53"/>
      <c r="D2" s="53"/>
      <c r="E2" s="53" t="n">
        <f aca="false">B2*$C$29</f>
        <v>1150.90251265689</v>
      </c>
      <c r="F2" s="53"/>
      <c r="G2" s="165" t="s">
        <v>68</v>
      </c>
      <c r="H2" s="53" t="n">
        <v>1156.02576880072</v>
      </c>
      <c r="I2" s="53"/>
      <c r="J2" s="53"/>
      <c r="K2" s="53" t="n">
        <f aca="false">H2*$C$29</f>
        <v>1129.84783450431</v>
      </c>
      <c r="L2" s="53"/>
      <c r="M2" s="165" t="s">
        <v>68</v>
      </c>
      <c r="N2" s="53" t="n">
        <v>1141.13414569332</v>
      </c>
      <c r="O2" s="53"/>
      <c r="P2" s="53"/>
      <c r="Q2" s="53" t="n">
        <f aca="false">N2*$C$29</f>
        <v>1115.29342873393</v>
      </c>
      <c r="R2" s="53"/>
      <c r="S2" s="165" t="s">
        <v>68</v>
      </c>
      <c r="T2" s="53" t="n">
        <v>1094.71399173852</v>
      </c>
      <c r="U2" s="53"/>
      <c r="V2" s="53"/>
      <c r="W2" s="53" t="n">
        <f aca="false">T2*$C$29</f>
        <v>1069.92444835419</v>
      </c>
      <c r="X2" s="53"/>
      <c r="Y2" s="165" t="s">
        <v>68</v>
      </c>
      <c r="Z2" s="53" t="n">
        <v>1110.4076570153</v>
      </c>
      <c r="AA2" s="53"/>
      <c r="AB2" s="53"/>
      <c r="AC2" s="53" t="n">
        <f aca="false">Z2*$C$29</f>
        <v>1085.26273423583</v>
      </c>
      <c r="AD2" s="53"/>
      <c r="AE2" s="165" t="s">
        <v>68</v>
      </c>
      <c r="AF2" s="53" t="n">
        <v>1312.76830614498</v>
      </c>
      <c r="AG2" s="53"/>
      <c r="AH2" s="53"/>
      <c r="AI2" s="53" t="n">
        <f aca="false">AF2*$C$29</f>
        <v>1283.04097359571</v>
      </c>
      <c r="AJ2" s="53"/>
      <c r="AK2" s="165" t="s">
        <v>68</v>
      </c>
      <c r="AL2" s="53" t="n">
        <v>1149.67316794031</v>
      </c>
      <c r="AM2" s="53"/>
      <c r="AN2" s="53"/>
      <c r="AO2" s="53" t="n">
        <f aca="false">AL2*$C$29</f>
        <v>1123.63908681087</v>
      </c>
      <c r="AP2" s="53"/>
      <c r="AQ2" s="165" t="s">
        <v>68</v>
      </c>
      <c r="AR2" s="53" t="n">
        <v>962.880491332894</v>
      </c>
      <c r="AS2" s="53"/>
      <c r="AT2" s="53"/>
      <c r="AU2" s="53" t="n">
        <f aca="false">AR2*$C$29</f>
        <v>941.076286861265</v>
      </c>
      <c r="AV2" s="53"/>
      <c r="AW2" s="165" t="s">
        <v>68</v>
      </c>
      <c r="AX2" s="53" t="n">
        <v>1771.13595226588</v>
      </c>
      <c r="AY2" s="53"/>
      <c r="AZ2" s="53"/>
      <c r="BA2" s="53" t="n">
        <f aca="false">AX2*$C$29</f>
        <v>1731.0289911239</v>
      </c>
    </row>
    <row r="3" customFormat="false" ht="12.8" hidden="false" customHeight="false" outlineLevel="0" collapsed="false">
      <c r="A3" s="53" t="s">
        <v>67</v>
      </c>
      <c r="B3" s="53" t="n">
        <v>1157.48825490115</v>
      </c>
      <c r="C3" s="53"/>
      <c r="D3" s="53"/>
      <c r="E3" s="53" t="n">
        <f aca="false">$C$27*B3</f>
        <v>1203.06531285459</v>
      </c>
      <c r="F3" s="53"/>
      <c r="G3" s="53" t="s">
        <v>67</v>
      </c>
      <c r="H3" s="53" t="n">
        <v>1137.09762565566</v>
      </c>
      <c r="I3" s="53"/>
      <c r="J3" s="53"/>
      <c r="K3" s="53" t="n">
        <f aca="false">$C$27*H3</f>
        <v>1181.87178570763</v>
      </c>
      <c r="L3" s="53"/>
      <c r="M3" s="53" t="s">
        <v>67</v>
      </c>
      <c r="N3" s="53" t="n">
        <v>1112.65389212724</v>
      </c>
      <c r="O3" s="53"/>
      <c r="P3" s="53"/>
      <c r="Q3" s="53" t="n">
        <f aca="false">$C$27*N3</f>
        <v>1156.46555994233</v>
      </c>
      <c r="R3" s="53"/>
      <c r="S3" s="53" t="s">
        <v>67</v>
      </c>
      <c r="T3" s="53" t="n">
        <v>1087.64308452214</v>
      </c>
      <c r="U3" s="53"/>
      <c r="V3" s="53"/>
      <c r="W3" s="53" t="n">
        <f aca="false">$C$27*T3</f>
        <v>1130.46993108928</v>
      </c>
      <c r="X3" s="53"/>
      <c r="Y3" s="53" t="s">
        <v>67</v>
      </c>
      <c r="Z3" s="53" t="n">
        <v>1103.64221079996</v>
      </c>
      <c r="AA3" s="53"/>
      <c r="AB3" s="53"/>
      <c r="AC3" s="53" t="n">
        <f aca="false">$C$27*Z3</f>
        <v>1147.09903620488</v>
      </c>
      <c r="AD3" s="53"/>
      <c r="AE3" s="53" t="s">
        <v>67</v>
      </c>
      <c r="AF3" s="53" t="n">
        <v>1309.82460444008</v>
      </c>
      <c r="AG3" s="53"/>
      <c r="AH3" s="53"/>
      <c r="AI3" s="53" t="n">
        <f aca="false">$C$27*AF3</f>
        <v>1361.40003222747</v>
      </c>
      <c r="AJ3" s="53"/>
      <c r="AK3" s="53" t="s">
        <v>67</v>
      </c>
      <c r="AL3" s="53" t="n">
        <v>1132.56355189635</v>
      </c>
      <c r="AM3" s="53"/>
      <c r="AN3" s="53"/>
      <c r="AO3" s="53" t="n">
        <f aca="false">$C$27*AL3</f>
        <v>1177.15917904173</v>
      </c>
      <c r="AP3" s="53"/>
      <c r="AQ3" s="53" t="s">
        <v>67</v>
      </c>
      <c r="AR3" s="53" t="n">
        <v>978.621277361791</v>
      </c>
      <c r="AS3" s="53"/>
      <c r="AT3" s="53"/>
      <c r="AU3" s="53" t="n">
        <f aca="false">$C$27*AR3</f>
        <v>1017.15530004748</v>
      </c>
      <c r="AV3" s="53"/>
      <c r="AW3" s="53" t="s">
        <v>67</v>
      </c>
      <c r="AX3" s="53" t="n">
        <v>1708.07720253894</v>
      </c>
      <c r="AY3" s="53"/>
      <c r="AZ3" s="53"/>
      <c r="BA3" s="53" t="n">
        <f aca="false">$C$27*AX3</f>
        <v>1775.33415596324</v>
      </c>
    </row>
    <row r="4" customFormat="false" ht="12.8" hidden="false" customHeight="false" outlineLevel="0" collapsed="false">
      <c r="A4" s="157" t="s">
        <v>66</v>
      </c>
      <c r="B4" s="157" t="n">
        <v>1172.76677330007</v>
      </c>
      <c r="C4" s="53" t="n">
        <f aca="false">SUM(B2/2,B3:B6,B7/2)/5</f>
        <v>1245.12664896324</v>
      </c>
      <c r="D4" s="1" t="n">
        <f aca="false">C4/B4</f>
        <v>1.06170014133293</v>
      </c>
      <c r="E4" s="53" t="n">
        <f aca="false">$C$28*B4</f>
        <v>1204.01817597729</v>
      </c>
      <c r="F4" s="53"/>
      <c r="G4" s="157" t="s">
        <v>66</v>
      </c>
      <c r="H4" s="157" t="n">
        <v>1147.91445477433</v>
      </c>
      <c r="I4" s="53" t="n">
        <f aca="false">SUM(H2/2,H3:H6,H7/2)/5</f>
        <v>1218.20818789788</v>
      </c>
      <c r="J4" s="1" t="n">
        <f aca="false">I4/H4</f>
        <v>1.06123603795665</v>
      </c>
      <c r="K4" s="53" t="n">
        <f aca="false">$C$28*H4</f>
        <v>1178.5036031727</v>
      </c>
      <c r="L4" s="53"/>
      <c r="M4" s="157" t="s">
        <v>66</v>
      </c>
      <c r="N4" s="157" t="n">
        <v>1151.37942220665</v>
      </c>
      <c r="O4" s="53" t="n">
        <f aca="false">SUM(N2/2,N3:N6,N7/2)/5</f>
        <v>1226.41862483819</v>
      </c>
      <c r="P4" s="1" t="n">
        <f aca="false">O4/N4</f>
        <v>1.06517330532773</v>
      </c>
      <c r="Q4" s="53" t="n">
        <f aca="false">$C$28*N4</f>
        <v>1182.06090362038</v>
      </c>
      <c r="R4" s="53"/>
      <c r="S4" s="157" t="s">
        <v>66</v>
      </c>
      <c r="T4" s="157" t="n">
        <v>1140.61180981782</v>
      </c>
      <c r="U4" s="53" t="n">
        <f aca="false">SUM(T2/2,T3:T6,T7/2)/5</f>
        <v>1220.96254185356</v>
      </c>
      <c r="V4" s="1" t="n">
        <f aca="false">U4/T4</f>
        <v>1.07044529203022</v>
      </c>
      <c r="W4" s="53" t="n">
        <f aca="false">$C$28*T4</f>
        <v>1171.00636036149</v>
      </c>
      <c r="X4" s="53"/>
      <c r="Y4" s="157" t="s">
        <v>66</v>
      </c>
      <c r="Z4" s="157" t="n">
        <v>1083.94492976813</v>
      </c>
      <c r="AA4" s="53" t="n">
        <f aca="false">SUM(Z2/2,Z3:Z6,Z7/2)/5</f>
        <v>1135.80017450958</v>
      </c>
      <c r="AB4" s="1" t="n">
        <f aca="false">AA4/Z4</f>
        <v>1.0478393720173</v>
      </c>
      <c r="AC4" s="53" t="n">
        <f aca="false">$C$28*Z4</f>
        <v>1112.82944478964</v>
      </c>
      <c r="AD4" s="53"/>
      <c r="AE4" s="157" t="s">
        <v>66</v>
      </c>
      <c r="AF4" s="157" t="n">
        <v>1373.97569109822</v>
      </c>
      <c r="AG4" s="53" t="n">
        <f aca="false">SUM(AF2/2,AF3:AF6,AF7/2)/5</f>
        <v>1431.34837891983</v>
      </c>
      <c r="AH4" s="1" t="n">
        <f aca="false">AG4/AF4</f>
        <v>1.0417566978756</v>
      </c>
      <c r="AI4" s="53" t="n">
        <f aca="false">$C$28*AF4</f>
        <v>1410.58882558394</v>
      </c>
      <c r="AJ4" s="53"/>
      <c r="AK4" s="157" t="s">
        <v>66</v>
      </c>
      <c r="AL4" s="157" t="n">
        <v>1141.3176727959</v>
      </c>
      <c r="AM4" s="53" t="n">
        <f aca="false">SUM(AL2/2,AL3:AL6,AL7/2)/5</f>
        <v>1209.21799163444</v>
      </c>
      <c r="AN4" s="1" t="n">
        <f aca="false">AM4/AL4</f>
        <v>1.05949291810422</v>
      </c>
      <c r="AO4" s="53" t="n">
        <f aca="false">$C$28*AL4</f>
        <v>1171.73103288352</v>
      </c>
      <c r="AP4" s="53"/>
      <c r="AQ4" s="157" t="s">
        <v>66</v>
      </c>
      <c r="AR4" s="157" t="n">
        <v>994.939266319325</v>
      </c>
      <c r="AS4" s="53" t="n">
        <f aca="false">SUM(AR2/2,AR3:AR6,AR7/2)/5</f>
        <v>1039.64423199487</v>
      </c>
      <c r="AT4" s="1" t="n">
        <f aca="false">AS4/AR4</f>
        <v>1.04493235636475</v>
      </c>
      <c r="AU4" s="53" t="n">
        <f aca="false">$C$28*AR4</f>
        <v>1021.4519953282</v>
      </c>
      <c r="AV4" s="53"/>
      <c r="AW4" s="157" t="s">
        <v>66</v>
      </c>
      <c r="AX4" s="157" t="n">
        <v>1803.54363574996</v>
      </c>
      <c r="AY4" s="53" t="n">
        <f aca="false">SUM(AX2/2,AX3:AX6,AX7/2)/5</f>
        <v>1963.41478932638</v>
      </c>
      <c r="AZ4" s="1" t="n">
        <f aca="false">AY4/AX4</f>
        <v>1.08864279766092</v>
      </c>
      <c r="BA4" s="53" t="n">
        <f aca="false">$C$28*AX4</f>
        <v>1851.60371870077</v>
      </c>
    </row>
    <row r="5" customFormat="false" ht="12.8" hidden="false" customHeight="false" outlineLevel="0" collapsed="false">
      <c r="A5" s="159" t="s">
        <v>65</v>
      </c>
      <c r="B5" s="159" t="n">
        <v>1240.79435920704</v>
      </c>
      <c r="C5" s="159" t="n">
        <f aca="false">SUM(B3/2,B4:B7,B8/2)/5</f>
        <v>1303.53589810511</v>
      </c>
      <c r="D5" s="160" t="n">
        <f aca="false">C5/B5</f>
        <v>1.05056562228262</v>
      </c>
      <c r="E5" s="159" t="n">
        <f aca="false">B5*$C$25</f>
        <v>1201.66376443756</v>
      </c>
      <c r="F5" s="53"/>
      <c r="G5" s="159" t="s">
        <v>65</v>
      </c>
      <c r="H5" s="159" t="n">
        <v>1214.98292863787</v>
      </c>
      <c r="I5" s="159" t="n">
        <f aca="false">SUM(H3/2,H4:H7,H8/2)/5</f>
        <v>1271.90333645474</v>
      </c>
      <c r="J5" s="160" t="n">
        <f aca="false">I5/H5</f>
        <v>1.04684873052553</v>
      </c>
      <c r="K5" s="159" t="n">
        <f aca="false">H5*$C$25</f>
        <v>1176.66634194517</v>
      </c>
      <c r="L5" s="53"/>
      <c r="M5" s="159" t="s">
        <v>65</v>
      </c>
      <c r="N5" s="159" t="n">
        <v>1208.11163120715</v>
      </c>
      <c r="O5" s="159" t="n">
        <f aca="false">SUM(N3/2,N4:N7,N8/2)/5</f>
        <v>1308.04652102786</v>
      </c>
      <c r="P5" s="160" t="n">
        <f aca="false">O5/N5</f>
        <v>1.08271991365637</v>
      </c>
      <c r="Q5" s="159" t="n">
        <f aca="false">N5*$C$25</f>
        <v>1170.01174275563</v>
      </c>
      <c r="R5" s="53"/>
      <c r="S5" s="159" t="s">
        <v>65</v>
      </c>
      <c r="T5" s="159" t="n">
        <v>1304.1922827886</v>
      </c>
      <c r="U5" s="159" t="n">
        <f aca="false">SUM(T3/2,T4:T7,T8/2)/5</f>
        <v>1311.53820936486</v>
      </c>
      <c r="V5" s="160" t="n">
        <f aca="false">U5/T5</f>
        <v>1.00563254872246</v>
      </c>
      <c r="W5" s="159" t="n">
        <f aca="false">T5*$C$25</f>
        <v>1263.06232491878</v>
      </c>
      <c r="X5" s="53"/>
      <c r="Y5" s="159" t="s">
        <v>65</v>
      </c>
      <c r="Z5" s="159" t="n">
        <v>1129.27794632521</v>
      </c>
      <c r="AA5" s="159" t="n">
        <f aca="false">SUM(Z3/2,Z4:Z7,Z8/2)/5</f>
        <v>1153.36066125567</v>
      </c>
      <c r="AB5" s="160" t="n">
        <f aca="false">AA5/Z5</f>
        <v>1.02132576396168</v>
      </c>
      <c r="AC5" s="159" t="n">
        <f aca="false">Z5*$C$25</f>
        <v>1093.66421438658</v>
      </c>
      <c r="AD5" s="53"/>
      <c r="AE5" s="159" t="s">
        <v>65</v>
      </c>
      <c r="AF5" s="159" t="n">
        <v>1414.91884377939</v>
      </c>
      <c r="AG5" s="159" t="n">
        <f aca="false">SUM(AF3/2,AF4:AF7,AF8/2)/5</f>
        <v>1507.34144019438</v>
      </c>
      <c r="AH5" s="160" t="n">
        <f aca="false">AG5/AF5</f>
        <v>1.06532006893634</v>
      </c>
      <c r="AI5" s="159" t="n">
        <f aca="false">AF5*$C$25</f>
        <v>1370.29693242333</v>
      </c>
      <c r="AJ5" s="53"/>
      <c r="AK5" s="159" t="s">
        <v>65</v>
      </c>
      <c r="AL5" s="159" t="n">
        <v>1201.518748361</v>
      </c>
      <c r="AM5" s="159" t="n">
        <f aca="false">SUM(AL3/2,AL4:AL7,AL8/2)/5</f>
        <v>1260.09417613752</v>
      </c>
      <c r="AN5" s="160" t="n">
        <f aca="false">AM5/AL5</f>
        <v>1.04875115586538</v>
      </c>
      <c r="AO5" s="159" t="n">
        <f aca="false">AL5*$C$25</f>
        <v>1163.6267778655</v>
      </c>
      <c r="AP5" s="53"/>
      <c r="AQ5" s="159" t="s">
        <v>65</v>
      </c>
      <c r="AR5" s="159" t="n">
        <v>1066.07001993893</v>
      </c>
      <c r="AS5" s="159" t="n">
        <f aca="false">SUM(AR3/2,AR4:AR7,AR8/2)/5</f>
        <v>1083.94165398821</v>
      </c>
      <c r="AT5" s="160" t="n">
        <f aca="false">AS5/AR5</f>
        <v>1.01676403398935</v>
      </c>
      <c r="AU5" s="159" t="n">
        <f aca="false">AR5*$C$25</f>
        <v>1032.44965921067</v>
      </c>
      <c r="AV5" s="53"/>
      <c r="AW5" s="159" t="s">
        <v>65</v>
      </c>
      <c r="AX5" s="159" t="n">
        <v>1966.13801286875</v>
      </c>
      <c r="AY5" s="159" t="n">
        <f aca="false">SUM(AX3/2,AX4:AX7,AX8/2)/5</f>
        <v>2117.56642362752</v>
      </c>
      <c r="AZ5" s="160" t="n">
        <f aca="false">AY5/AX5</f>
        <v>1.0770182000285</v>
      </c>
      <c r="BA5" s="159" t="n">
        <f aca="false">AX5*$C$25</f>
        <v>1904.13245226029</v>
      </c>
    </row>
    <row r="6" customFormat="false" ht="12.8" hidden="false" customHeight="false" outlineLevel="0" collapsed="false">
      <c r="A6" s="53" t="s">
        <v>64</v>
      </c>
      <c r="B6" s="53" t="n">
        <v>1321.09879600648</v>
      </c>
      <c r="C6" s="53" t="n">
        <f aca="false">SUM(B4/2,B5:B8,B9/2)/5</f>
        <v>1367.25793750875</v>
      </c>
      <c r="D6" s="1" t="n">
        <f aca="false">C6/B6</f>
        <v>1.03493996182708</v>
      </c>
      <c r="E6" s="53" t="n">
        <f aca="false">B6*$C$26</f>
        <v>1305.45445322291</v>
      </c>
      <c r="F6" s="53"/>
      <c r="G6" s="53" t="s">
        <v>64</v>
      </c>
      <c r="H6" s="53" t="n">
        <v>1291.75009395494</v>
      </c>
      <c r="I6" s="53" t="n">
        <f aca="false">SUM(H4/2,H5:H8,H9/2)/5</f>
        <v>1330.68037646121</v>
      </c>
      <c r="J6" s="1" t="n">
        <f aca="false">I6/H6</f>
        <v>1.03013762699802</v>
      </c>
      <c r="K6" s="53" t="n">
        <f aca="false">H6*$C$26</f>
        <v>1276.45329607607</v>
      </c>
      <c r="L6" s="53"/>
      <c r="M6" s="53" t="s">
        <v>64</v>
      </c>
      <c r="N6" s="53" t="n">
        <v>1308.00740431248</v>
      </c>
      <c r="O6" s="53" t="n">
        <f aca="false">SUM(N4/2,N5:N8,N9/2)/5</f>
        <v>1400.51249277466</v>
      </c>
      <c r="P6" s="1" t="n">
        <f aca="false">O6/N6</f>
        <v>1.07072214435269</v>
      </c>
      <c r="Q6" s="53" t="n">
        <f aca="false">N6*$C$26</f>
        <v>1292.51808870765</v>
      </c>
      <c r="R6" s="53"/>
      <c r="S6" s="53" t="s">
        <v>64</v>
      </c>
      <c r="T6" s="53" t="n">
        <v>1275.99826797498</v>
      </c>
      <c r="U6" s="53" t="n">
        <f aca="false">SUM(T4/2,T5:T8,T9/2)/5</f>
        <v>1405.26182057999</v>
      </c>
      <c r="V6" s="1" t="n">
        <f aca="false">U6/T6</f>
        <v>1.10130386212056</v>
      </c>
      <c r="W6" s="53" t="n">
        <f aca="false">T6*$C$26</f>
        <v>1260.88800191783</v>
      </c>
      <c r="X6" s="53"/>
      <c r="Y6" s="53" t="s">
        <v>64</v>
      </c>
      <c r="Z6" s="53" t="n">
        <v>1192.44587674258</v>
      </c>
      <c r="AA6" s="53" t="n">
        <f aca="false">SUM(Z4/2,Z5:Z8,Z9/2)/5</f>
        <v>1170.0491804482</v>
      </c>
      <c r="AB6" s="1" t="n">
        <f aca="false">AA6/Z6</f>
        <v>0.981217850863336</v>
      </c>
      <c r="AC6" s="53" t="n">
        <f aca="false">Z6*$C$26</f>
        <v>1178.3250311987</v>
      </c>
      <c r="AD6" s="53"/>
      <c r="AE6" s="53" t="s">
        <v>64</v>
      </c>
      <c r="AF6" s="53" t="n">
        <v>1542.27190692296</v>
      </c>
      <c r="AG6" s="53" t="n">
        <f aca="false">SUM(AF4/2,AF5:AF8,AF9/2)/5</f>
        <v>1585.04289977981</v>
      </c>
      <c r="AH6" s="1" t="n">
        <f aca="false">AG6/AF6</f>
        <v>1.02773245927962</v>
      </c>
      <c r="AI6" s="53" t="n">
        <f aca="false">AF6*$C$26</f>
        <v>1524.00845043484</v>
      </c>
      <c r="AJ6" s="53"/>
      <c r="AK6" s="53" t="s">
        <v>64</v>
      </c>
      <c r="AL6" s="53" t="n">
        <v>1282.0268233471</v>
      </c>
      <c r="AM6" s="53" t="n">
        <f aca="false">SUM(AL4/2,AL5:AL8,AL9/2)/5</f>
        <v>1315.60337503972</v>
      </c>
      <c r="AN6" s="1" t="n">
        <f aca="false">AM6/AL6</f>
        <v>1.02619020997155</v>
      </c>
      <c r="AO6" s="53" t="n">
        <f aca="false">AL6*$C$26</f>
        <v>1266.84516763536</v>
      </c>
      <c r="AP6" s="53"/>
      <c r="AQ6" s="53" t="s">
        <v>64</v>
      </c>
      <c r="AR6" s="53" t="n">
        <v>1087.67942286592</v>
      </c>
      <c r="AS6" s="53" t="n">
        <f aca="false">SUM(AR4/2,AR5:AR8,AR9/2)/5</f>
        <v>1127.31331673287</v>
      </c>
      <c r="AT6" s="1" t="n">
        <f aca="false">AS6/AR6</f>
        <v>1.03643894794159</v>
      </c>
      <c r="AU6" s="53" t="n">
        <f aca="false">AR6*$C$26</f>
        <v>1074.79921301229</v>
      </c>
      <c r="AV6" s="53"/>
      <c r="AW6" s="53" t="s">
        <v>64</v>
      </c>
      <c r="AX6" s="53" t="n">
        <v>2159.83665969291</v>
      </c>
      <c r="AY6" s="53" t="n">
        <f aca="false">SUM(AX4/2,AX5:AX8,AX9/2)/5</f>
        <v>2277.27177870061</v>
      </c>
      <c r="AZ6" s="1" t="n">
        <f aca="false">AY6/AX6</f>
        <v>1.05437222230703</v>
      </c>
      <c r="BA6" s="53" t="n">
        <f aca="false">AX6*$C$26</f>
        <v>2134.26005243016</v>
      </c>
    </row>
    <row r="7" customFormat="false" ht="12.8" hidden="false" customHeight="false" outlineLevel="0" collapsed="false">
      <c r="A7" s="165" t="s">
        <v>63</v>
      </c>
      <c r="B7" s="53" t="n">
        <v>1489.40185088379</v>
      </c>
      <c r="C7" s="53" t="n">
        <f aca="false">SUM(B5/2,B6:B9,B10/2)/5</f>
        <v>1441.88162061191</v>
      </c>
      <c r="D7" s="1" t="n">
        <f aca="false">C7/B7</f>
        <v>0.968094419754023</v>
      </c>
      <c r="E7" s="53" t="n">
        <f aca="false">B7*$C$29</f>
        <v>1455.67469285181</v>
      </c>
      <c r="F7" s="53"/>
      <c r="G7" s="165" t="s">
        <v>63</v>
      </c>
      <c r="H7" s="53" t="n">
        <v>1442.5659041325</v>
      </c>
      <c r="I7" s="53" t="n">
        <f aca="false">SUM(H5/2,H6:H9,H10/2)/5</f>
        <v>1399.19059587035</v>
      </c>
      <c r="J7" s="1" t="n">
        <f aca="false">I7/H7</f>
        <v>0.969931835947397</v>
      </c>
      <c r="K7" s="53" t="n">
        <f aca="false">H7*$C$29</f>
        <v>1409.89933520663</v>
      </c>
      <c r="L7" s="53"/>
      <c r="M7" s="165" t="s">
        <v>63</v>
      </c>
      <c r="N7" s="53" t="n">
        <v>1562.74740298156</v>
      </c>
      <c r="O7" s="53" t="n">
        <f aca="false">SUM(N5/2,N6:N9,N10/2)/5</f>
        <v>1509.35272354027</v>
      </c>
      <c r="P7" s="1" t="n">
        <f aca="false">O7/N7</f>
        <v>0.965832815118156</v>
      </c>
      <c r="Q7" s="53" t="n">
        <f aca="false">N7*$C$29</f>
        <v>1527.35935200449</v>
      </c>
      <c r="R7" s="53"/>
      <c r="S7" s="165" t="s">
        <v>63</v>
      </c>
      <c r="T7" s="53" t="n">
        <v>1498.02053658996</v>
      </c>
      <c r="U7" s="53" t="n">
        <f aca="false">SUM(T5/2,T6:T9,T10/2)/5</f>
        <v>1507.87437893571</v>
      </c>
      <c r="V7" s="1" t="n">
        <f aca="false">U7/T7</f>
        <v>1.00657790871691</v>
      </c>
      <c r="W7" s="53" t="n">
        <f aca="false">T7*$C$29</f>
        <v>1464.09821042746</v>
      </c>
      <c r="X7" s="53"/>
      <c r="Y7" s="165" t="s">
        <v>63</v>
      </c>
      <c r="Z7" s="53" t="n">
        <v>1228.9721608087</v>
      </c>
      <c r="AA7" s="53" t="n">
        <f aca="false">SUM(Z5/2,Z6:Z9,Z10/2)/5</f>
        <v>1194.26505333975</v>
      </c>
      <c r="AB7" s="1" t="n">
        <f aca="false">AA7/Z7</f>
        <v>0.971759240301987</v>
      </c>
      <c r="AC7" s="53" t="n">
        <f aca="false">Z7*$C$29</f>
        <v>1201.14237245447</v>
      </c>
      <c r="AD7" s="53"/>
      <c r="AE7" s="165" t="s">
        <v>63</v>
      </c>
      <c r="AF7" s="53" t="n">
        <v>1718.73339057198</v>
      </c>
      <c r="AG7" s="53" t="n">
        <f aca="false">SUM(AF5/2,AF6:AF9,AF10/2)/5</f>
        <v>1663.9189197082</v>
      </c>
      <c r="AH7" s="1" t="n">
        <f aca="false">AG7/AF7</f>
        <v>0.968107636027518</v>
      </c>
      <c r="AI7" s="53" t="n">
        <f aca="false">AF7*$C$29</f>
        <v>1679.81307323502</v>
      </c>
      <c r="AJ7" s="53"/>
      <c r="AK7" s="165" t="s">
        <v>63</v>
      </c>
      <c r="AL7" s="53" t="n">
        <v>1427.65315560343</v>
      </c>
      <c r="AM7" s="53" t="n">
        <f aca="false">SUM(AL5/2,AL6:AL9,AL10/2)/5</f>
        <v>1380.24203329456</v>
      </c>
      <c r="AN7" s="1" t="n">
        <f aca="false">AM7/AL7</f>
        <v>0.966790867849947</v>
      </c>
      <c r="AO7" s="53" t="n">
        <f aca="false">AL7*$C$29</f>
        <v>1395.32428239482</v>
      </c>
      <c r="AP7" s="53"/>
      <c r="AQ7" s="165" t="s">
        <v>63</v>
      </c>
      <c r="AR7" s="53" t="n">
        <v>1178.94185564387</v>
      </c>
      <c r="AS7" s="53" t="n">
        <f aca="false">SUM(AR5/2,AR6:AR9,AR10/2)/5</f>
        <v>1171.10158103944</v>
      </c>
      <c r="AT7" s="1" t="n">
        <f aca="false">AS7/AR7</f>
        <v>0.993349735979855</v>
      </c>
      <c r="AU7" s="53" t="n">
        <f aca="false">AR7*$C$29</f>
        <v>1152.24499189805</v>
      </c>
      <c r="AV7" s="53"/>
      <c r="AW7" s="165" t="s">
        <v>63</v>
      </c>
      <c r="AX7" s="53" t="n">
        <v>2587.82091929685</v>
      </c>
      <c r="AY7" s="53" t="n">
        <f aca="false">SUM(AX5/2,AX6:AX9,AX10/2)/5</f>
        <v>2431.82554490964</v>
      </c>
      <c r="AZ7" s="1" t="n">
        <f aca="false">AY7/AX7</f>
        <v>0.939719409011657</v>
      </c>
      <c r="BA7" s="53" t="n">
        <f aca="false">AX7*$C$29</f>
        <v>2529.22031728216</v>
      </c>
    </row>
    <row r="8" customFormat="false" ht="12.8" hidden="false" customHeight="false" outlineLevel="0" collapsed="false">
      <c r="A8" s="53" t="s">
        <v>62</v>
      </c>
      <c r="B8" s="53" t="n">
        <v>1429.74716735523</v>
      </c>
      <c r="C8" s="53" t="n">
        <f aca="false">SUM(B6/2,B7:B10,B11/2)/5</f>
        <v>1500.59986861052</v>
      </c>
      <c r="D8" s="1" t="n">
        <f aca="false">C8/B8</f>
        <v>1.04955610535418</v>
      </c>
      <c r="E8" s="53" t="n">
        <f aca="false">$C$27*B8</f>
        <v>1486.04464530318</v>
      </c>
      <c r="F8" s="53"/>
      <c r="G8" s="53" t="s">
        <v>62</v>
      </c>
      <c r="H8" s="53" t="n">
        <v>1387.5089758925</v>
      </c>
      <c r="I8" s="53" t="n">
        <f aca="false">SUM(H6/2,H7:H10,H11/2)/5</f>
        <v>1452.77146687878</v>
      </c>
      <c r="J8" s="1" t="n">
        <f aca="false">I8/H8</f>
        <v>1.0470357252603</v>
      </c>
      <c r="K8" s="53" t="n">
        <f aca="false">$C$27*H8</f>
        <v>1442.14329009603</v>
      </c>
      <c r="L8" s="53"/>
      <c r="M8" s="53" t="s">
        <v>62</v>
      </c>
      <c r="N8" s="53" t="n">
        <v>1507.31959673565</v>
      </c>
      <c r="O8" s="53" t="n">
        <f aca="false">SUM(N6/2,N7:N10,N11/2)/5</f>
        <v>1593.81246625404</v>
      </c>
      <c r="P8" s="1" t="n">
        <f aca="false">O8/N8</f>
        <v>1.05738190474382</v>
      </c>
      <c r="Q8" s="53" t="n">
        <f aca="false">$C$27*N8</f>
        <v>1566.67155328802</v>
      </c>
      <c r="R8" s="53"/>
      <c r="S8" s="53" t="s">
        <v>62</v>
      </c>
      <c r="T8" s="53" t="n">
        <v>1590.09321478376</v>
      </c>
      <c r="U8" s="53" t="n">
        <f aca="false">SUM(T6/2,T7:T10,T11/2)/5</f>
        <v>1596.21488673933</v>
      </c>
      <c r="V8" s="1" t="n">
        <f aca="false">U8/T8</f>
        <v>1.0038498824463</v>
      </c>
      <c r="W8" s="53" t="n">
        <f aca="false">$C$27*T8</f>
        <v>1652.70445104875</v>
      </c>
      <c r="X8" s="53"/>
      <c r="Y8" s="53" t="s">
        <v>62</v>
      </c>
      <c r="Z8" s="53" t="n">
        <v>1160.68257446748</v>
      </c>
      <c r="AA8" s="53" t="n">
        <f aca="false">SUM(Z6/2,Z7:Z10,Z11/2)/5</f>
        <v>1219.5483106805</v>
      </c>
      <c r="AB8" s="1" t="n">
        <f aca="false">AA8/Z8</f>
        <v>1.05071648141184</v>
      </c>
      <c r="AC8" s="53" t="n">
        <f aca="false">$C$27*Z8</f>
        <v>1206.3854113974</v>
      </c>
      <c r="AD8" s="53"/>
      <c r="AE8" s="53" t="s">
        <v>62</v>
      </c>
      <c r="AF8" s="53" t="n">
        <v>1663.79013275861</v>
      </c>
      <c r="AG8" s="53" t="n">
        <f aca="false">SUM(AF6/2,AF7:AF10,AF11/2)/5</f>
        <v>1715.26957649244</v>
      </c>
      <c r="AH8" s="1" t="n">
        <f aca="false">AG8/AF8</f>
        <v>1.03094106805915</v>
      </c>
      <c r="AI8" s="53" t="n">
        <f aca="false">$C$27*AF8</f>
        <v>1729.30324615912</v>
      </c>
      <c r="AJ8" s="53"/>
      <c r="AK8" s="53" t="s">
        <v>62</v>
      </c>
      <c r="AL8" s="53" t="n">
        <v>1363.34540926402</v>
      </c>
      <c r="AM8" s="53" t="n">
        <f aca="false">SUM(AL6/2,AL7:AL10,AL11/2)/5</f>
        <v>1429.96943715695</v>
      </c>
      <c r="AN8" s="1" t="n">
        <f aca="false">AM8/AL8</f>
        <v>1.04886804726096</v>
      </c>
      <c r="AO8" s="53" t="n">
        <f aca="false">$C$27*AL8</f>
        <v>1417.02826303421</v>
      </c>
      <c r="AP8" s="53"/>
      <c r="AQ8" s="53" t="s">
        <v>62</v>
      </c>
      <c r="AR8" s="53" t="n">
        <v>1205.53413298421</v>
      </c>
      <c r="AS8" s="53" t="n">
        <f aca="false">SUM(AR6/2,AR7:AR10,AR11/2)/5</f>
        <v>1203.33530064432</v>
      </c>
      <c r="AT8" s="1" t="n">
        <f aca="false">AS8/AR8</f>
        <v>0.998176051362024</v>
      </c>
      <c r="AU8" s="53" t="n">
        <f aca="false">$C$27*AR8</f>
        <v>1253.00303714908</v>
      </c>
      <c r="AV8" s="53"/>
      <c r="AW8" s="53" t="s">
        <v>62</v>
      </c>
      <c r="AX8" s="53" t="n">
        <v>2432.90857851927</v>
      </c>
      <c r="AY8" s="53" t="n">
        <f aca="false">SUM(AX6/2,AX7:AX10,AX11/2)/5</f>
        <v>2525.78895177313</v>
      </c>
      <c r="AZ8" s="1" t="n">
        <f aca="false">AY8/AX8</f>
        <v>1.03817668040383</v>
      </c>
      <c r="BA8" s="53" t="n">
        <f aca="false">$C$27*AX8</f>
        <v>2528.70636723035</v>
      </c>
    </row>
    <row r="9" customFormat="false" ht="12.8" hidden="false" customHeight="false" outlineLevel="0" collapsed="false">
      <c r="A9" s="157" t="s">
        <v>61</v>
      </c>
      <c r="B9" s="157" t="n">
        <v>1537.72825488232</v>
      </c>
      <c r="C9" s="53" t="n">
        <f aca="false">SUM(B7/2,B8:B11,B12/2)/5</f>
        <v>1522.52464968021</v>
      </c>
      <c r="D9" s="1" t="n">
        <f aca="false">C9/B9</f>
        <v>0.990112944108403</v>
      </c>
      <c r="E9" s="53" t="n">
        <f aca="false">$C$28*B9</f>
        <v>1578.70499978637</v>
      </c>
      <c r="F9" s="53"/>
      <c r="G9" s="157" t="s">
        <v>61</v>
      </c>
      <c r="H9" s="157" t="n">
        <v>1485.27350460214</v>
      </c>
      <c r="I9" s="53" t="n">
        <f aca="false">SUM(H7/2,H8:H11,H12/2)/5</f>
        <v>1472.97649189099</v>
      </c>
      <c r="J9" s="1" t="n">
        <f aca="false">I9/H9</f>
        <v>0.991720708224413</v>
      </c>
      <c r="K9" s="53" t="n">
        <f aca="false">$C$28*H9</f>
        <v>1524.85245707153</v>
      </c>
      <c r="L9" s="53"/>
      <c r="M9" s="157" t="s">
        <v>61</v>
      </c>
      <c r="N9" s="157" t="n">
        <v>1681.37343506626</v>
      </c>
      <c r="O9" s="53" t="n">
        <f aca="false">SUM(N7/2,N8:N11,N12/2)/5</f>
        <v>1626.38886344184</v>
      </c>
      <c r="P9" s="1" t="n">
        <f aca="false">O9/N9</f>
        <v>0.967297823031053</v>
      </c>
      <c r="Q9" s="53" t="n">
        <f aca="false">$C$28*N9</f>
        <v>1726.17797716816</v>
      </c>
      <c r="R9" s="53"/>
      <c r="S9" s="157" t="s">
        <v>61</v>
      </c>
      <c r="T9" s="157" t="n">
        <v>1575.39779170744</v>
      </c>
      <c r="U9" s="53" t="n">
        <f aca="false">SUM(T7/2,T8:T11,T12/2)/5</f>
        <v>1595.74507131693</v>
      </c>
      <c r="V9" s="1" t="n">
        <f aca="false">U9/T9</f>
        <v>1.0129156456335</v>
      </c>
      <c r="W9" s="53" t="n">
        <f aca="false">$C$28*T9</f>
        <v>1617.37833880881</v>
      </c>
      <c r="X9" s="53"/>
      <c r="Y9" s="157" t="s">
        <v>61</v>
      </c>
      <c r="Z9" s="157" t="n">
        <v>1193.78975802594</v>
      </c>
      <c r="AA9" s="53" t="n">
        <f aca="false">SUM(Z7/2,Z8:Z11,Z12/2)/5</f>
        <v>1239.03024282402</v>
      </c>
      <c r="AB9" s="1" t="n">
        <f aca="false">AA9/Z9</f>
        <v>1.03789652616294</v>
      </c>
      <c r="AC9" s="53" t="n">
        <f aca="false">$C$28*Z9</f>
        <v>1225.60137248277</v>
      </c>
      <c r="AD9" s="53"/>
      <c r="AE9" s="157" t="s">
        <v>61</v>
      </c>
      <c r="AF9" s="157" t="n">
        <v>1797.02475863398</v>
      </c>
      <c r="AG9" s="53" t="n">
        <f aca="false">SUM(AF7/2,AF8:AF11,AF12/2)/5</f>
        <v>1726.30203314001</v>
      </c>
      <c r="AH9" s="1" t="n">
        <f aca="false">AG9/AF9</f>
        <v>0.960644545850479</v>
      </c>
      <c r="AI9" s="53" t="n">
        <f aca="false">$C$28*AF9</f>
        <v>1844.91112925051</v>
      </c>
      <c r="AJ9" s="53"/>
      <c r="AK9" s="157" t="s">
        <v>61</v>
      </c>
      <c r="AL9" s="157" t="n">
        <v>1465.62780445024</v>
      </c>
      <c r="AM9" s="53" t="n">
        <f aca="false">SUM(AL7/2,AL8:AL11,AL12/2)/5</f>
        <v>1450.22355162434</v>
      </c>
      <c r="AN9" s="1" t="n">
        <f aca="false">AM9/AL9</f>
        <v>0.989489655709908</v>
      </c>
      <c r="AO9" s="53" t="n">
        <f aca="false">$C$28*AL9</f>
        <v>1504.68324644824</v>
      </c>
      <c r="AP9" s="53"/>
      <c r="AQ9" s="157" t="s">
        <v>61</v>
      </c>
      <c r="AR9" s="157" t="n">
        <v>1201.7430381435</v>
      </c>
      <c r="AS9" s="53" t="n">
        <f aca="false">SUM(AR7/2,AR8:AR11,AR12/2)/5</f>
        <v>1201.38195266619</v>
      </c>
      <c r="AT9" s="1" t="n">
        <f aca="false">AS9/AR9</f>
        <v>0.999699531875074</v>
      </c>
      <c r="AU9" s="53" t="n">
        <f aca="false">$C$28*AR9</f>
        <v>1233.76658831101</v>
      </c>
      <c r="AV9" s="53"/>
      <c r="AW9" s="157" t="s">
        <v>61</v>
      </c>
      <c r="AX9" s="157" t="n">
        <v>2675.76581050053</v>
      </c>
      <c r="AY9" s="53" t="n">
        <f aca="false">SUM(AX7/2,AX8:AX11,AX12/2)/5</f>
        <v>2537.35309055952</v>
      </c>
      <c r="AZ9" s="1" t="n">
        <f aca="false">AY9/AX9</f>
        <v>0.948271736114634</v>
      </c>
      <c r="BA9" s="53" t="n">
        <f aca="false">$C$28*AX9</f>
        <v>2747.06850828978</v>
      </c>
    </row>
    <row r="10" customFormat="false" ht="12.8" hidden="false" customHeight="false" outlineLevel="0" collapsed="false">
      <c r="A10" s="159" t="s">
        <v>57</v>
      </c>
      <c r="B10" s="159" t="n">
        <v>1622.06970865643</v>
      </c>
      <c r="C10" s="159" t="n">
        <f aca="false">SUM(B8/2,B9:B12,B13/2)/5</f>
        <v>1523.43143084934</v>
      </c>
      <c r="D10" s="160" t="n">
        <f aca="false">C10/B10</f>
        <v>0.939189865095998</v>
      </c>
      <c r="E10" s="159" t="n">
        <f aca="false">B10*$C$25</f>
        <v>1570.91493672641</v>
      </c>
      <c r="F10" s="53"/>
      <c r="G10" s="159" t="s">
        <v>57</v>
      </c>
      <c r="H10" s="159" t="n">
        <v>1562.72607290149</v>
      </c>
      <c r="I10" s="159" t="n">
        <f aca="false">SUM(H8/2,H9:H12,H13/2)/5</f>
        <v>1474.2941494804</v>
      </c>
      <c r="J10" s="160" t="n">
        <f aca="false">I10/H10</f>
        <v>0.943411756574265</v>
      </c>
      <c r="K10" s="159" t="n">
        <f aca="false">H10*$C$25</f>
        <v>1513.44280509755</v>
      </c>
      <c r="L10" s="53"/>
      <c r="M10" s="159" t="s">
        <v>57</v>
      </c>
      <c r="N10" s="159" t="n">
        <v>1766.51992600362</v>
      </c>
      <c r="O10" s="159" t="n">
        <f aca="false">SUM(N8/2,N9:N12,N13/2)/5</f>
        <v>1631.71509420772</v>
      </c>
      <c r="P10" s="160" t="n">
        <f aca="false">O10/N10</f>
        <v>0.923689039782944</v>
      </c>
      <c r="Q10" s="159" t="n">
        <f aca="false">N10*$C$25</f>
        <v>1710.80966679448</v>
      </c>
      <c r="R10" s="53"/>
      <c r="S10" s="159" t="s">
        <v>57</v>
      </c>
      <c r="T10" s="159" t="n">
        <v>1895.53188445621</v>
      </c>
      <c r="U10" s="159" t="n">
        <f aca="false">SUM(T8/2,T9:T12,T13/2)/5</f>
        <v>1529.07397531853</v>
      </c>
      <c r="V10" s="160" t="n">
        <f aca="false">U10/T10</f>
        <v>0.806672780266733</v>
      </c>
      <c r="W10" s="159" t="n">
        <f aca="false">T10*$C$25</f>
        <v>1835.75301014645</v>
      </c>
      <c r="X10" s="53"/>
      <c r="Y10" s="159" t="s">
        <v>57</v>
      </c>
      <c r="Z10" s="159" t="n">
        <v>1261.59184698293</v>
      </c>
      <c r="AA10" s="159" t="n">
        <f aca="false">SUM(Z8/2,Z9:Z12,Z13/2)/5</f>
        <v>1253.82958514733</v>
      </c>
      <c r="AB10" s="160" t="n">
        <f aca="false">AA10/Z10</f>
        <v>0.993847247939844</v>
      </c>
      <c r="AC10" s="159" t="n">
        <f aca="false">Z10*$C$25</f>
        <v>1221.805367489</v>
      </c>
      <c r="AD10" s="53"/>
      <c r="AE10" s="159" t="s">
        <v>57</v>
      </c>
      <c r="AF10" s="159" t="n">
        <v>1780.62997552756</v>
      </c>
      <c r="AG10" s="159" t="n">
        <f aca="false">SUM(AF8/2,AF9:AF12,AF13/2)/5</f>
        <v>1719.31599820107</v>
      </c>
      <c r="AH10" s="160" t="n">
        <f aca="false">AG10/AF10</f>
        <v>0.965566132116628</v>
      </c>
      <c r="AI10" s="159" t="n">
        <f aca="false">AF10*$C$25</f>
        <v>1724.47473151815</v>
      </c>
      <c r="AJ10" s="53"/>
      <c r="AK10" s="159" t="s">
        <v>57</v>
      </c>
      <c r="AL10" s="159" t="n">
        <v>1523.59519925498</v>
      </c>
      <c r="AM10" s="159" t="n">
        <f aca="false">SUM(AL8/2,AL9:AL12,AL13/2)/5</f>
        <v>1454.66911709026</v>
      </c>
      <c r="AN10" s="160" t="n">
        <f aca="false">AM10/AL10</f>
        <v>0.954760895677262</v>
      </c>
      <c r="AO10" s="159" t="n">
        <f aca="false">AL10*$C$25</f>
        <v>1475.54599118727</v>
      </c>
      <c r="AP10" s="53"/>
      <c r="AQ10" s="159" t="s">
        <v>57</v>
      </c>
      <c r="AR10" s="159" t="n">
        <v>1297.14889118046</v>
      </c>
      <c r="AS10" s="159" t="n">
        <f aca="false">SUM(AR8/2,AR9:AR12,AR13/2)/5</f>
        <v>1175.97844171772</v>
      </c>
      <c r="AT10" s="160" t="n">
        <f aca="false">AS10/AR10</f>
        <v>0.906587092440503</v>
      </c>
      <c r="AU10" s="159" t="n">
        <f aca="false">AR10*$C$25</f>
        <v>1256.24105883916</v>
      </c>
      <c r="AV10" s="53"/>
      <c r="AW10" s="159" t="s">
        <v>57</v>
      </c>
      <c r="AX10" s="159" t="n">
        <v>2639.45350020853</v>
      </c>
      <c r="AY10" s="159" t="n">
        <f aca="false">SUM(AX8/2,AX9:AX12,AX13/2)/5</f>
        <v>2508.90717128449</v>
      </c>
      <c r="AZ10" s="160" t="n">
        <f aca="false">AY10/AX10</f>
        <v>0.950540394474185</v>
      </c>
      <c r="BA10" s="159" t="n">
        <f aca="false">AX10*$C$25</f>
        <v>2556.21377191418</v>
      </c>
    </row>
    <row r="11" customFormat="false" ht="12.8" hidden="false" customHeight="false" outlineLevel="0" collapsed="false">
      <c r="A11" s="53" t="s">
        <v>56</v>
      </c>
      <c r="B11" s="53" t="n">
        <v>1527.0059265432</v>
      </c>
      <c r="C11" s="53" t="n">
        <f aca="false">SUM(B9/2,B10:B13,B14/2)/5</f>
        <v>1518.1971432042</v>
      </c>
      <c r="D11" s="1" t="n">
        <f aca="false">C11/B11</f>
        <v>0.994231336508995</v>
      </c>
      <c r="E11" s="53" t="n">
        <f aca="false">B11*$C$26</f>
        <v>1508.92324853335</v>
      </c>
      <c r="F11" s="53"/>
      <c r="G11" s="53" t="s">
        <v>56</v>
      </c>
      <c r="H11" s="53" t="n">
        <v>1479.81565977561</v>
      </c>
      <c r="I11" s="53" t="n">
        <f aca="false">SUM(H9/2,H10:H13,H14/2)/5</f>
        <v>1470.54623388656</v>
      </c>
      <c r="J11" s="1" t="n">
        <f aca="false">I11/H11</f>
        <v>0.993736094203478</v>
      </c>
      <c r="K11" s="53" t="n">
        <f aca="false">H11*$C$26</f>
        <v>1462.29180500563</v>
      </c>
      <c r="L11" s="53"/>
      <c r="M11" s="53" t="s">
        <v>56</v>
      </c>
      <c r="N11" s="53" t="n">
        <v>1594.19653665369</v>
      </c>
      <c r="O11" s="53" t="n">
        <f aca="false">SUM(N9/2,N10:N13,N14/2)/5</f>
        <v>1621.60522079004</v>
      </c>
      <c r="P11" s="1" t="n">
        <f aca="false">O11/N11</f>
        <v>1.01719278865947</v>
      </c>
      <c r="Q11" s="53" t="n">
        <f aca="false">N11*$C$26</f>
        <v>1575.31819299069</v>
      </c>
      <c r="R11" s="53"/>
      <c r="S11" s="53" t="s">
        <v>56</v>
      </c>
      <c r="T11" s="53" t="n">
        <v>1568.06374434358</v>
      </c>
      <c r="U11" s="53" t="n">
        <f aca="false">SUM(T9/2,T10:T13,T14/2)/5</f>
        <v>1458.39221298777</v>
      </c>
      <c r="V11" s="1" t="n">
        <f aca="false">U11/T11</f>
        <v>0.930059264649522</v>
      </c>
      <c r="W11" s="53" t="n">
        <f aca="false">T11*$C$26</f>
        <v>1549.49486304784</v>
      </c>
      <c r="X11" s="53"/>
      <c r="Y11" s="53" t="s">
        <v>56</v>
      </c>
      <c r="Z11" s="53" t="n">
        <v>1312.96454949235</v>
      </c>
      <c r="AA11" s="53" t="n">
        <f aca="false">SUM(Z9/2,Z10:Z13,Z14/2)/5</f>
        <v>1271.16675404628</v>
      </c>
      <c r="AB11" s="1" t="n">
        <f aca="false">AA11/Z11</f>
        <v>0.968165328254879</v>
      </c>
      <c r="AC11" s="53" t="n">
        <f aca="false">Z11*$C$26</f>
        <v>1297.41653178389</v>
      </c>
      <c r="AD11" s="53"/>
      <c r="AE11" s="53" t="s">
        <v>56</v>
      </c>
      <c r="AF11" s="53" t="n">
        <v>1690.06734301718</v>
      </c>
      <c r="AG11" s="53" t="n">
        <f aca="false">SUM(AF9/2,AF10:AF13,AF14/2)/5</f>
        <v>1701.44177136082</v>
      </c>
      <c r="AH11" s="1" t="n">
        <f aca="false">AG11/AF11</f>
        <v>1.00673016278945</v>
      </c>
      <c r="AI11" s="53" t="n">
        <f aca="false">AF11*$C$26</f>
        <v>1670.05370518676</v>
      </c>
      <c r="AJ11" s="53"/>
      <c r="AK11" s="53" t="s">
        <v>56</v>
      </c>
      <c r="AL11" s="53" t="n">
        <v>1457.22441107701</v>
      </c>
      <c r="AM11" s="53" t="n">
        <f aca="false">SUM(AL9/2,AL10:AL13,AL14/2)/5</f>
        <v>1454.51621697589</v>
      </c>
      <c r="AN11" s="1" t="n">
        <f aca="false">AM11/AL11</f>
        <v>0.998141539435838</v>
      </c>
      <c r="AO11" s="53" t="n">
        <f aca="false">AL11*$C$26</f>
        <v>1439.96808000746</v>
      </c>
      <c r="AP11" s="53"/>
      <c r="AQ11" s="53" t="s">
        <v>56</v>
      </c>
      <c r="AR11" s="53" t="n">
        <v>1178.9377476732</v>
      </c>
      <c r="AS11" s="53" t="n">
        <f aca="false">SUM(AR9/2,AR10:AR13,AR14/2)/5</f>
        <v>1149.95148575</v>
      </c>
      <c r="AT11" s="1" t="n">
        <f aca="false">AS11/AR11</f>
        <v>0.975413237908099</v>
      </c>
      <c r="AU11" s="53" t="n">
        <f aca="false">AR11*$C$26</f>
        <v>1164.97686427762</v>
      </c>
      <c r="AV11" s="53"/>
      <c r="AW11" s="53" t="s">
        <v>56</v>
      </c>
      <c r="AX11" s="53" t="n">
        <v>2426.15524098804</v>
      </c>
      <c r="AY11" s="53" t="n">
        <f aca="false">SUM(AX9/2,AX10:AX13,AX14/2)/5</f>
        <v>2477.00603589883</v>
      </c>
      <c r="AZ11" s="1" t="n">
        <f aca="false">AY11/AX11</f>
        <v>1.02095941514859</v>
      </c>
      <c r="BA11" s="53" t="n">
        <f aca="false">AX11*$C$26</f>
        <v>2397.42491109076</v>
      </c>
    </row>
    <row r="12" customFormat="false" ht="12.8" hidden="false" customHeight="false" outlineLevel="0" collapsed="false">
      <c r="A12" s="165" t="s">
        <v>55</v>
      </c>
      <c r="B12" s="53" t="n">
        <v>1502.74253104396</v>
      </c>
      <c r="C12" s="53" t="n">
        <f aca="false">SUM(B10/2,B11:B14,B15/2)/5</f>
        <v>1508.44742196235</v>
      </c>
      <c r="D12" s="1" t="n">
        <f aca="false">C12/B12</f>
        <v>1.00379631959603</v>
      </c>
      <c r="E12" s="53" t="n">
        <f aca="false">B12*$C$29</f>
        <v>1468.7132764168</v>
      </c>
      <c r="F12" s="53"/>
      <c r="G12" s="165" t="s">
        <v>55</v>
      </c>
      <c r="H12" s="53" t="n">
        <v>1456.55058843393</v>
      </c>
      <c r="I12" s="53" t="n">
        <f aca="false">SUM(H10/2,H11:H14,H15/2)/5</f>
        <v>1463.20768474379</v>
      </c>
      <c r="J12" s="1" t="n">
        <f aca="false">I12/H12</f>
        <v>1.00457045320823</v>
      </c>
      <c r="K12" s="53" t="n">
        <f aca="false">H12*$C$29</f>
        <v>1423.56733958908</v>
      </c>
      <c r="L12" s="53"/>
      <c r="M12" s="165" t="s">
        <v>55</v>
      </c>
      <c r="N12" s="53" t="n">
        <v>1602.32224251837</v>
      </c>
      <c r="O12" s="53" t="n">
        <f aca="false">SUM(N10/2,N11:N14,N15/2)/5</f>
        <v>1597.33670275509</v>
      </c>
      <c r="P12" s="1" t="n">
        <f aca="false">O12/N12</f>
        <v>0.996888553606146</v>
      </c>
      <c r="Q12" s="53" t="n">
        <f aca="false">N12*$C$29</f>
        <v>1566.03802851696</v>
      </c>
      <c r="R12" s="53"/>
      <c r="S12" s="165" t="s">
        <v>55</v>
      </c>
      <c r="T12" s="53" t="n">
        <v>1201.25690599736</v>
      </c>
      <c r="U12" s="53" t="n">
        <f aca="false">SUM(T10/2,T11:T14,T15/2)/5</f>
        <v>1363.98658810702</v>
      </c>
      <c r="V12" s="1" t="n">
        <f aca="false">U12/T12</f>
        <v>1.13546617821485</v>
      </c>
      <c r="W12" s="53" t="n">
        <f aca="false">T12*$C$29</f>
        <v>1174.05472313346</v>
      </c>
      <c r="X12" s="53"/>
      <c r="Y12" s="165" t="s">
        <v>55</v>
      </c>
      <c r="Z12" s="53" t="n">
        <v>1303.27280949414</v>
      </c>
      <c r="AA12" s="53" t="n">
        <f aca="false">SUM(Z10/2,Z11:Z14,Z15/2)/5</f>
        <v>1292.42006292343</v>
      </c>
      <c r="AB12" s="1" t="n">
        <f aca="false">AA12/Z12</f>
        <v>0.991672697771604</v>
      </c>
      <c r="AC12" s="53" t="n">
        <f aca="false">Z12*$C$29</f>
        <v>1273.76050025503</v>
      </c>
      <c r="AD12" s="53"/>
      <c r="AE12" s="165" t="s">
        <v>55</v>
      </c>
      <c r="AF12" s="53" t="n">
        <v>1681.26252095343</v>
      </c>
      <c r="AG12" s="53" t="n">
        <f aca="false">SUM(AF10/2,AF11:AF14,AF15/2)/5</f>
        <v>1679.38912348946</v>
      </c>
      <c r="AH12" s="1" t="n">
        <f aca="false">AG12/AF12</f>
        <v>0.998885719844089</v>
      </c>
      <c r="AI12" s="53" t="n">
        <f aca="false">AF12*$C$29</f>
        <v>1643.19072273202</v>
      </c>
      <c r="AJ12" s="53"/>
      <c r="AK12" s="165" t="s">
        <v>55</v>
      </c>
      <c r="AL12" s="53" t="n">
        <v>1454.99671254743</v>
      </c>
      <c r="AM12" s="53" t="n">
        <f aca="false">SUM(AL10/2,AL11:AL14,AL15/2)/5</f>
        <v>1451.46941035896</v>
      </c>
      <c r="AN12" s="1" t="n">
        <f aca="false">AM12/AL12</f>
        <v>0.997575731850081</v>
      </c>
      <c r="AO12" s="53" t="n">
        <f aca="false">AL12*$C$29</f>
        <v>1422.04865086013</v>
      </c>
      <c r="AP12" s="53"/>
      <c r="AQ12" s="165" t="s">
        <v>55</v>
      </c>
      <c r="AR12" s="53" t="n">
        <v>1068.15005105525</v>
      </c>
      <c r="AS12" s="53" t="n">
        <f aca="false">SUM(AR10/2,AR11:AR14,AR15/2)/5</f>
        <v>1117.86149117249</v>
      </c>
      <c r="AT12" s="1" t="n">
        <f aca="false">AS12/AR12</f>
        <v>1.04653975353755</v>
      </c>
      <c r="AU12" s="53" t="n">
        <f aca="false">AR12*$C$29</f>
        <v>1043.96204192096</v>
      </c>
      <c r="AV12" s="53"/>
      <c r="AW12" s="165" t="s">
        <v>55</v>
      </c>
      <c r="AX12" s="53" t="n">
        <v>2437.14372586559</v>
      </c>
      <c r="AY12" s="53" t="n">
        <f aca="false">SUM(AX10/2,AX11:AX14,AX15/2)/5</f>
        <v>2457.64912490739</v>
      </c>
      <c r="AZ12" s="1" t="n">
        <f aca="false">AY12/AX12</f>
        <v>1.00841370117986</v>
      </c>
      <c r="BA12" s="53" t="n">
        <f aca="false">AX12*$C$29</f>
        <v>2381.95517380347</v>
      </c>
    </row>
    <row r="13" customFormat="false" ht="12.8" hidden="false" customHeight="false" outlineLevel="0" collapsed="false">
      <c r="A13" s="53" t="s">
        <v>54</v>
      </c>
      <c r="B13" s="53" t="n">
        <v>1425.47429888632</v>
      </c>
      <c r="C13" s="53" t="n">
        <f aca="false">SUM(B11/2,B12:B15,B16/2)/5</f>
        <v>1507.97636433013</v>
      </c>
      <c r="D13" s="1" t="n">
        <f aca="false">C13/B13</f>
        <v>1.05787692244488</v>
      </c>
      <c r="E13" s="53" t="n">
        <f aca="false">$C$27*B13</f>
        <v>1481.60352910216</v>
      </c>
      <c r="F13" s="53"/>
      <c r="G13" s="53" t="s">
        <v>54</v>
      </c>
      <c r="H13" s="53" t="n">
        <v>1386.70086748513</v>
      </c>
      <c r="I13" s="53" t="n">
        <f aca="false">SUM(H11/2,H12:H15,H16/2)/5</f>
        <v>1463.99387852597</v>
      </c>
      <c r="J13" s="1" t="n">
        <f aca="false">I13/H13</f>
        <v>1.05573877744882</v>
      </c>
      <c r="K13" s="53" t="n">
        <f aca="false">$C$27*H13</f>
        <v>1441.30336175134</v>
      </c>
      <c r="L13" s="53"/>
      <c r="M13" s="53" t="s">
        <v>54</v>
      </c>
      <c r="N13" s="53" t="n">
        <v>1521.00706485767</v>
      </c>
      <c r="O13" s="53" t="n">
        <f aca="false">SUM(N11/2,N12:N15,N16/2)/5</f>
        <v>1580.91530555982</v>
      </c>
      <c r="P13" s="1" t="n">
        <f aca="false">O13/N13</f>
        <v>1.03938722053717</v>
      </c>
      <c r="Q13" s="53" t="n">
        <f aca="false">$C$27*N13</f>
        <v>1580.89797679485</v>
      </c>
      <c r="R13" s="53"/>
      <c r="S13" s="53" t="s">
        <v>54</v>
      </c>
      <c r="T13" s="53" t="n">
        <v>1220.14588539237</v>
      </c>
      <c r="U13" s="53" t="n">
        <f aca="false">SUM(T11/2,T12:T15,T16/2)/5</f>
        <v>1271.76556655819</v>
      </c>
      <c r="V13" s="1" t="n">
        <f aca="false">U13/T13</f>
        <v>1.04230615517686</v>
      </c>
      <c r="W13" s="53" t="n">
        <f aca="false">$C$27*T13</f>
        <v>1268.19013940074</v>
      </c>
      <c r="X13" s="53"/>
      <c r="Y13" s="53" t="s">
        <v>54</v>
      </c>
      <c r="Z13" s="53" t="n">
        <v>1234.3753490151</v>
      </c>
      <c r="AA13" s="53" t="n">
        <f aca="false">SUM(Z11/2,Z12:Z15,Z16/2)/5</f>
        <v>1317.46338170363</v>
      </c>
      <c r="AB13" s="1" t="n">
        <f aca="false">AA13/Z13</f>
        <v>1.06731180491803</v>
      </c>
      <c r="AC13" s="53" t="n">
        <f aca="false">$C$27*Z13</f>
        <v>1282.97989992966</v>
      </c>
      <c r="AD13" s="53"/>
      <c r="AE13" s="53" t="s">
        <v>54</v>
      </c>
      <c r="AF13" s="53" t="n">
        <v>1631.4006529878</v>
      </c>
      <c r="AG13" s="53" t="n">
        <f aca="false">SUM(AF11/2,AF12:AF15,AF16/2)/5</f>
        <v>1669.81391599937</v>
      </c>
      <c r="AH13" s="1" t="n">
        <f aca="false">AG13/AF13</f>
        <v>1.02354618587483</v>
      </c>
      <c r="AI13" s="53" t="n">
        <f aca="false">$C$27*AF13</f>
        <v>1695.63840381737</v>
      </c>
      <c r="AJ13" s="53"/>
      <c r="AK13" s="53" t="s">
        <v>54</v>
      </c>
      <c r="AL13" s="53" t="n">
        <v>1380.45750697927</v>
      </c>
      <c r="AM13" s="53" t="n">
        <f aca="false">SUM(AL11/2,AL12:AL15,AL16/2)/5</f>
        <v>1455.83045852958</v>
      </c>
      <c r="AN13" s="1" t="n">
        <f aca="false">AM13/AL13</f>
        <v>1.05459997947727</v>
      </c>
      <c r="AO13" s="53" t="n">
        <f aca="false">$C$27*AL13</f>
        <v>1434.81416375867</v>
      </c>
      <c r="AP13" s="53"/>
      <c r="AQ13" s="53" t="s">
        <v>54</v>
      </c>
      <c r="AR13" s="53" t="n">
        <v>1062.29082808812</v>
      </c>
      <c r="AS13" s="53" t="n">
        <f aca="false">SUM(AR11/2,AR12:AR15,AR16/2)/5</f>
        <v>1087.03662342653</v>
      </c>
      <c r="AT13" s="1" t="n">
        <f aca="false">AS13/AR13</f>
        <v>1.02329474630121</v>
      </c>
      <c r="AU13" s="53" t="n">
        <f aca="false">$C$27*AR13</f>
        <v>1104.11940857709</v>
      </c>
      <c r="AV13" s="53"/>
      <c r="AW13" s="53" t="s">
        <v>54</v>
      </c>
      <c r="AX13" s="53" t="n">
        <v>2299.1265792002</v>
      </c>
      <c r="AY13" s="53" t="n">
        <f aca="false">SUM(AX11/2,AX12:AX15,AX16/2)/5</f>
        <v>2477.10596819043</v>
      </c>
      <c r="AZ13" s="1" t="n">
        <f aca="false">AY13/AX13</f>
        <v>1.07741174000613</v>
      </c>
      <c r="BA13" s="53" t="n">
        <f aca="false">$C$27*AX13</f>
        <v>2389.65659097249</v>
      </c>
    </row>
    <row r="14" customFormat="false" ht="12.8" hidden="false" customHeight="false" outlineLevel="0" collapsed="false">
      <c r="A14" s="157" t="s">
        <v>53</v>
      </c>
      <c r="B14" s="157" t="n">
        <v>1489.65824689988</v>
      </c>
      <c r="C14" s="53" t="n">
        <f aca="false">SUM(B12/2,B13:B16,B17/2)/5</f>
        <v>1521.00034959558</v>
      </c>
      <c r="D14" s="1" t="n">
        <f aca="false">C14/B14</f>
        <v>1.02103979403392</v>
      </c>
      <c r="E14" s="53" t="n">
        <f aca="false">$C$28*B14</f>
        <v>1529.35404216385</v>
      </c>
      <c r="F14" s="53"/>
      <c r="G14" s="157" t="s">
        <v>53</v>
      </c>
      <c r="H14" s="157" t="n">
        <v>1448.60245707112</v>
      </c>
      <c r="I14" s="53" t="n">
        <f aca="false">SUM(H12/2,H13:H16,H17/2)/5</f>
        <v>1476.50117609014</v>
      </c>
      <c r="J14" s="1" t="n">
        <f aca="false">I14/H14</f>
        <v>1.01925905819284</v>
      </c>
      <c r="K14" s="53" t="n">
        <f aca="false">$C$28*H14</f>
        <v>1487.20421467186</v>
      </c>
      <c r="L14" s="53"/>
      <c r="M14" s="157" t="s">
        <v>53</v>
      </c>
      <c r="N14" s="157" t="n">
        <v>1566.58723276744</v>
      </c>
      <c r="O14" s="53" t="n">
        <f aca="false">SUM(N12/2,N13:N16,N17/2)/5</f>
        <v>1581.9962586764</v>
      </c>
      <c r="P14" s="1" t="n">
        <f aca="false">O14/N14</f>
        <v>1.0098360471646</v>
      </c>
      <c r="Q14" s="53" t="n">
        <f aca="false">$C$28*N14</f>
        <v>1608.33299974755</v>
      </c>
      <c r="R14" s="53"/>
      <c r="S14" s="157" t="s">
        <v>53</v>
      </c>
      <c r="T14" s="157" t="n">
        <v>1238.52749779118</v>
      </c>
      <c r="U14" s="53" t="n">
        <f aca="false">SUM(T12/2,T13:T16,T17/2)/5</f>
        <v>1241.45157193476</v>
      </c>
      <c r="V14" s="1" t="n">
        <f aca="false">U14/T14</f>
        <v>1.00236092791545</v>
      </c>
      <c r="W14" s="53" t="n">
        <f aca="false">$C$28*T14</f>
        <v>1271.5312649864</v>
      </c>
      <c r="X14" s="53"/>
      <c r="Y14" s="157" t="s">
        <v>53</v>
      </c>
      <c r="Z14" s="157" t="n">
        <v>1293.46867246783</v>
      </c>
      <c r="AA14" s="53" t="n">
        <f aca="false">SUM(Z12/2,Z13:Z16,Z17/2)/5</f>
        <v>1344.90801307729</v>
      </c>
      <c r="AB14" s="1" t="n">
        <f aca="false">AA14/Z14</f>
        <v>1.03976852451426</v>
      </c>
      <c r="AC14" s="53" t="n">
        <f aca="false">$C$28*Z14</f>
        <v>1327.936489304</v>
      </c>
      <c r="AD14" s="53"/>
      <c r="AE14" s="157" t="s">
        <v>53</v>
      </c>
      <c r="AF14" s="157" t="n">
        <v>1650.67197000228</v>
      </c>
      <c r="AG14" s="53" t="n">
        <f aca="false">SUM(AF12/2,AF13:AF16,AF17/2)/5</f>
        <v>1667.91073107766</v>
      </c>
      <c r="AH14" s="1" t="n">
        <f aca="false">AG14/AF14</f>
        <v>1.01044348083003</v>
      </c>
      <c r="AI14" s="53" t="n">
        <f aca="false">$C$28*AF14</f>
        <v>1694.65839219378</v>
      </c>
      <c r="AJ14" s="53"/>
      <c r="AK14" s="157" t="s">
        <v>53</v>
      </c>
      <c r="AL14" s="157" t="n">
        <v>1446.98670559127</v>
      </c>
      <c r="AM14" s="53" t="n">
        <f aca="false">SUM(AL12/2,AL13:AL16,AL17/2)/5</f>
        <v>1469.70942170383</v>
      </c>
      <c r="AN14" s="1" t="n">
        <f aca="false">AM14/AL14</f>
        <v>1.01570347261987</v>
      </c>
      <c r="AO14" s="53" t="n">
        <f aca="false">$C$28*AL14</f>
        <v>1485.54540731656</v>
      </c>
      <c r="AP14" s="53"/>
      <c r="AQ14" s="157" t="s">
        <v>53</v>
      </c>
      <c r="AR14" s="157" t="n">
        <v>1084.71678336241</v>
      </c>
      <c r="AS14" s="53" t="n">
        <f aca="false">SUM(AR12/2,AR13:AR16,AR17/2)/5</f>
        <v>1082.93665670665</v>
      </c>
      <c r="AT14" s="1" t="n">
        <f aca="false">AS14/AR14</f>
        <v>0.998358901896729</v>
      </c>
      <c r="AU14" s="53" t="n">
        <f aca="false">$C$28*AR14</f>
        <v>1113.62186641844</v>
      </c>
      <c r="AV14" s="53"/>
      <c r="AW14" s="157" t="s">
        <v>53</v>
      </c>
      <c r="AX14" s="157" t="n">
        <v>2490.53645596309</v>
      </c>
      <c r="AY14" s="53" t="n">
        <f aca="false">SUM(AX12/2,AX13:AX16,AX17/2)/5</f>
        <v>2510.4542561587</v>
      </c>
      <c r="AZ14" s="1" t="n">
        <f aca="false">AY14/AX14</f>
        <v>1.00799739355267</v>
      </c>
      <c r="BA14" s="53" t="n">
        <f aca="false">$C$28*AX14</f>
        <v>2556.90323871954</v>
      </c>
    </row>
    <row r="15" customFormat="false" ht="12.8" hidden="false" customHeight="false" outlineLevel="0" collapsed="false">
      <c r="A15" s="159" t="s">
        <v>52</v>
      </c>
      <c r="B15" s="159" t="n">
        <v>1572.64250422039</v>
      </c>
      <c r="C15" s="159" t="n">
        <f aca="false">SUM(B13/2,B14:B17,B18/2)/5</f>
        <v>1546.47834111362</v>
      </c>
      <c r="D15" s="160" t="n">
        <f aca="false">C15/B15</f>
        <v>0.983362930204065</v>
      </c>
      <c r="E15" s="159" t="n">
        <f aca="false">B15*$C$25</f>
        <v>1523.04650461475</v>
      </c>
      <c r="F15" s="53"/>
      <c r="G15" s="159" t="s">
        <v>52</v>
      </c>
      <c r="H15" s="159" t="n">
        <v>1526.01162900482</v>
      </c>
      <c r="I15" s="159" t="n">
        <f aca="false">SUM(H13/2,H14:H17,H18/2)/5</f>
        <v>1500.31313902716</v>
      </c>
      <c r="J15" s="160" t="n">
        <f aca="false">I15/H15</f>
        <v>0.983159702397272</v>
      </c>
      <c r="K15" s="159" t="n">
        <f aca="false">H15*$C$25</f>
        <v>1477.88621464827</v>
      </c>
      <c r="L15" s="53"/>
      <c r="M15" s="159" t="s">
        <v>52</v>
      </c>
      <c r="N15" s="159" t="n">
        <v>1638.62094795298</v>
      </c>
      <c r="O15" s="159" t="n">
        <f aca="false">SUM(N13/2,N14:N17,N18/2)/5</f>
        <v>1601.3120357065</v>
      </c>
      <c r="P15" s="160" t="n">
        <f aca="false">O15/N15</f>
        <v>0.977231517580018</v>
      </c>
      <c r="Q15" s="159" t="n">
        <f aca="false">N15*$C$25</f>
        <v>1586.94420408374</v>
      </c>
      <c r="R15" s="53"/>
      <c r="S15" s="159" t="s">
        <v>52</v>
      </c>
      <c r="T15" s="159" t="n">
        <v>1288.34592956504</v>
      </c>
      <c r="U15" s="159" t="n">
        <f aca="false">SUM(T13/2,T14:T17,T18/2)/5</f>
        <v>1241.71329340306</v>
      </c>
      <c r="V15" s="160" t="n">
        <f aca="false">U15/T15</f>
        <v>0.963804258552107</v>
      </c>
      <c r="W15" s="159" t="n">
        <f aca="false">T15*$C$25</f>
        <v>1247.71571383377</v>
      </c>
      <c r="X15" s="53"/>
      <c r="Y15" s="159" t="s">
        <v>52</v>
      </c>
      <c r="Z15" s="159" t="n">
        <v>1374.44602131255</v>
      </c>
      <c r="AA15" s="159" t="n">
        <f aca="false">SUM(Z13/2,Z14:Z17,Z18/2)/5</f>
        <v>1379.21874650978</v>
      </c>
      <c r="AB15" s="160" t="n">
        <f aca="false">AA15/Z15</f>
        <v>1.00347247190739</v>
      </c>
      <c r="AC15" s="159" t="n">
        <f aca="false">Z15*$C$25</f>
        <v>1331.10049036826</v>
      </c>
      <c r="AD15" s="53"/>
      <c r="AE15" s="159" t="s">
        <v>52</v>
      </c>
      <c r="AF15" s="159" t="n">
        <v>1706.45628544561</v>
      </c>
      <c r="AG15" s="159" t="n">
        <f aca="false">SUM(AF13/2,AF14:AF17,AF18/2)/5</f>
        <v>1674.49434330337</v>
      </c>
      <c r="AH15" s="160" t="n">
        <f aca="false">AG15/AF15</f>
        <v>0.981269990673161</v>
      </c>
      <c r="AI15" s="159" t="n">
        <f aca="false">AF15*$C$25</f>
        <v>1652.6402369585</v>
      </c>
      <c r="AJ15" s="53"/>
      <c r="AK15" s="159" t="s">
        <v>52</v>
      </c>
      <c r="AL15" s="159" t="n">
        <v>1511.7682319447</v>
      </c>
      <c r="AM15" s="159" t="n">
        <f aca="false">SUM(AL13/2,AL14:AL17,AL18/2)/5</f>
        <v>1494.88722424156</v>
      </c>
      <c r="AN15" s="160" t="n">
        <f aca="false">AM15/AL15</f>
        <v>0.988833600715752</v>
      </c>
      <c r="AO15" s="159" t="n">
        <f aca="false">AL15*$C$25</f>
        <v>1464.09200773345</v>
      </c>
      <c r="AP15" s="53"/>
      <c r="AQ15" s="159" t="s">
        <v>52</v>
      </c>
      <c r="AR15" s="159" t="n">
        <v>1093.27520018645</v>
      </c>
      <c r="AS15" s="159" t="n">
        <f aca="false">SUM(AR13/2,AR14:AR17,AR18/2)/5</f>
        <v>1098.51750075854</v>
      </c>
      <c r="AT15" s="160" t="n">
        <f aca="false">AS15/AR15</f>
        <v>1.0047950420637</v>
      </c>
      <c r="AU15" s="159" t="n">
        <f aca="false">AR15*$C$25</f>
        <v>1058.79687707627</v>
      </c>
      <c r="AV15" s="53"/>
      <c r="AW15" s="159" t="s">
        <v>52</v>
      </c>
      <c r="AX15" s="159" t="n">
        <v>2631.11374483153</v>
      </c>
      <c r="AY15" s="159" t="n">
        <f aca="false">SUM(AX13/2,AX14:AX17,AX18/2)/5</f>
        <v>2551.07368097438</v>
      </c>
      <c r="AZ15" s="160" t="n">
        <f aca="false">AY15/AX15</f>
        <v>0.969579398072632</v>
      </c>
      <c r="BA15" s="159" t="n">
        <f aca="false">AX15*$C$25</f>
        <v>2548.13702513785</v>
      </c>
    </row>
    <row r="16" customFormat="false" ht="12.8" hidden="false" customHeight="false" outlineLevel="0" collapsed="false">
      <c r="A16" s="53" t="s">
        <v>51</v>
      </c>
      <c r="B16" s="53" t="n">
        <v>1571.72255465698</v>
      </c>
      <c r="C16" s="53" t="n">
        <f aca="false">SUM(B14/2,B15:B18,B19/2)/5</f>
        <v>1578.65210852203</v>
      </c>
      <c r="D16" s="1" t="n">
        <f aca="false">C16/B16</f>
        <v>1.00440889127952</v>
      </c>
      <c r="E16" s="53" t="n">
        <f aca="false">B16*$C$26</f>
        <v>1553.11034603182</v>
      </c>
      <c r="F16" s="53"/>
      <c r="G16" s="53" t="s">
        <v>51</v>
      </c>
      <c r="H16" s="53" t="n">
        <v>1524.39204149411</v>
      </c>
      <c r="I16" s="53" t="n">
        <f aca="false">SUM(H14/2,H15:H18,H19/2)/5</f>
        <v>1530.06281762006</v>
      </c>
      <c r="J16" s="1" t="n">
        <f aca="false">I16/H16</f>
        <v>1.00372002475189</v>
      </c>
      <c r="K16" s="53" t="n">
        <f aca="false">H16*$C$26</f>
        <v>1506.34031689504</v>
      </c>
      <c r="L16" s="53"/>
      <c r="M16" s="53" t="s">
        <v>51</v>
      </c>
      <c r="N16" s="53" t="n">
        <v>1557.88154275155</v>
      </c>
      <c r="O16" s="53" t="n">
        <f aca="false">SUM(N14/2,N15:N18,N19/2)/5</f>
        <v>1640.32673036877</v>
      </c>
      <c r="P16" s="1" t="n">
        <f aca="false">O16/N16</f>
        <v>1.05292134565739</v>
      </c>
      <c r="Q16" s="53" t="n">
        <f aca="false">N16*$C$26</f>
        <v>1539.43323824573</v>
      </c>
      <c r="R16" s="53"/>
      <c r="S16" s="53" t="s">
        <v>51</v>
      </c>
      <c r="T16" s="53" t="n">
        <v>1253.03948374645</v>
      </c>
      <c r="U16" s="53" t="n">
        <f aca="false">SUM(T14/2,T15:T18,T19/2)/5</f>
        <v>1246.06702272485</v>
      </c>
      <c r="V16" s="1" t="n">
        <f aca="false">U16/T16</f>
        <v>0.994435561598783</v>
      </c>
      <c r="W16" s="53" t="n">
        <f aca="false">T16*$C$26</f>
        <v>1238.20109371511</v>
      </c>
      <c r="X16" s="53"/>
      <c r="Y16" s="53" t="s">
        <v>51</v>
      </c>
      <c r="Z16" s="53" t="n">
        <v>1450.54356296467</v>
      </c>
      <c r="AA16" s="53" t="n">
        <f aca="false">SUM(Z14/2,Z15:Z18,Z19/2)/5</f>
        <v>1407.60587791155</v>
      </c>
      <c r="AB16" s="1" t="n">
        <f aca="false">AA16/Z16</f>
        <v>0.970398900005897</v>
      </c>
      <c r="AC16" s="53" t="n">
        <f aca="false">Z16*$C$26</f>
        <v>1433.36634594645</v>
      </c>
      <c r="AD16" s="53"/>
      <c r="AE16" s="53" t="s">
        <v>51</v>
      </c>
      <c r="AF16" s="53" t="n">
        <v>1668.48895819827</v>
      </c>
      <c r="AG16" s="53" t="n">
        <f aca="false">SUM(AF14/2,AF15:AF18,AF19/2)/5</f>
        <v>1694.37075455719</v>
      </c>
      <c r="AH16" s="1" t="n">
        <f aca="false">AG16/AF16</f>
        <v>1.0155121172554</v>
      </c>
      <c r="AI16" s="53" t="n">
        <f aca="false">AF16*$C$26</f>
        <v>1648.73084981792</v>
      </c>
      <c r="AJ16" s="53"/>
      <c r="AK16" s="53" t="s">
        <v>51</v>
      </c>
      <c r="AL16" s="53" t="n">
        <v>1512.66186009343</v>
      </c>
      <c r="AM16" s="53" t="n">
        <f aca="false">SUM(AL14/2,AL15:AL18,AL19/2)/5</f>
        <v>1525.44827247368</v>
      </c>
      <c r="AN16" s="1" t="n">
        <f aca="false">AM16/AL16</f>
        <v>1.00845292177821</v>
      </c>
      <c r="AO16" s="53" t="n">
        <f aca="false">AL16*$C$26</f>
        <v>1494.74904333327</v>
      </c>
      <c r="AP16" s="53"/>
      <c r="AQ16" s="53" t="s">
        <v>51</v>
      </c>
      <c r="AR16" s="53" t="n">
        <v>1074.56276120768</v>
      </c>
      <c r="AS16" s="53" t="n">
        <f aca="false">SUM(AR14/2,AR15:AR18,AR19/2)/5</f>
        <v>1115.22788393501</v>
      </c>
      <c r="AT16" s="1" t="n">
        <f aca="false">AS16/AR16</f>
        <v>1.03784341333551</v>
      </c>
      <c r="AU16" s="53" t="n">
        <f aca="false">AR16*$C$26</f>
        <v>1061.83787777761</v>
      </c>
      <c r="AV16" s="53"/>
      <c r="AW16" s="53" t="s">
        <v>51</v>
      </c>
      <c r="AX16" s="53" t="n">
        <v>2629.06342919543</v>
      </c>
      <c r="AY16" s="53" t="n">
        <f aca="false">SUM(AX14/2,AX15:AX18,AX19/2)/5</f>
        <v>2594.98150223673</v>
      </c>
      <c r="AZ16" s="1" t="n">
        <f aca="false">AY16/AX16</f>
        <v>0.987036475963179</v>
      </c>
      <c r="BA16" s="53" t="n">
        <f aca="false">AX16*$C$26</f>
        <v>2597.93027729914</v>
      </c>
    </row>
    <row r="17" customFormat="false" ht="12.8" hidden="false" customHeight="false" outlineLevel="0" collapsed="false">
      <c r="A17" s="165" t="s">
        <v>50</v>
      </c>
      <c r="B17" s="53" t="n">
        <v>1588.26575558469</v>
      </c>
      <c r="C17" s="53" t="n">
        <f aca="false">SUM(B15/2,B16:B19,B20/2)/5</f>
        <v>1633.57169310329</v>
      </c>
      <c r="D17" s="1" t="n">
        <f aca="false">C17/B17</f>
        <v>1.02852541355834</v>
      </c>
      <c r="E17" s="53" t="n">
        <f aca="false">B17*$C$29</f>
        <v>1552.29984745614</v>
      </c>
      <c r="F17" s="53"/>
      <c r="G17" s="165" t="s">
        <v>50</v>
      </c>
      <c r="H17" s="53" t="n">
        <v>1537.04718235714</v>
      </c>
      <c r="I17" s="53" t="n">
        <f aca="false">SUM(H15/2,H16:H19,H20/2)/5</f>
        <v>1580.59338668474</v>
      </c>
      <c r="J17" s="1" t="n">
        <f aca="false">I17/H17</f>
        <v>1.02833107846489</v>
      </c>
      <c r="K17" s="53" t="n">
        <f aca="false">H17*$C$29</f>
        <v>1502.24110689053</v>
      </c>
      <c r="L17" s="53"/>
      <c r="M17" s="165" t="s">
        <v>50</v>
      </c>
      <c r="N17" s="53" t="n">
        <v>1649.44676758636</v>
      </c>
      <c r="O17" s="53" t="n">
        <f aca="false">SUM(N15/2,N16:N19,N20/2)/5</f>
        <v>1731.57734243179</v>
      </c>
      <c r="P17" s="1" t="n">
        <f aca="false">O17/N17</f>
        <v>1.04979280111332</v>
      </c>
      <c r="Q17" s="53" t="n">
        <f aca="false">N17*$C$29</f>
        <v>1612.09542969007</v>
      </c>
      <c r="R17" s="53"/>
      <c r="S17" s="165" t="s">
        <v>50</v>
      </c>
      <c r="T17" s="53" t="n">
        <v>1213.14122036019</v>
      </c>
      <c r="U17" s="53" t="n">
        <f aca="false">SUM(T15/2,T16:T19,T20/2)/5</f>
        <v>1254.78426463494</v>
      </c>
      <c r="V17" s="1" t="n">
        <f aca="false">U17/T17</f>
        <v>1.03432662543804</v>
      </c>
      <c r="W17" s="53" t="n">
        <f aca="false">T17*$C$29</f>
        <v>1185.66991996539</v>
      </c>
      <c r="X17" s="53"/>
      <c r="Y17" s="165" t="s">
        <v>50</v>
      </c>
      <c r="Z17" s="53" t="n">
        <v>1440.14010975847</v>
      </c>
      <c r="AA17" s="53" t="n">
        <f aca="false">SUM(Z15/2,Z16:Z19,Z20/2)/5</f>
        <v>1428.8295678516</v>
      </c>
      <c r="AB17" s="1" t="n">
        <f aca="false">AA17/Z17</f>
        <v>0.992146221169572</v>
      </c>
      <c r="AC17" s="53" t="n">
        <f aca="false">Z17*$C$29</f>
        <v>1407.52847238123</v>
      </c>
      <c r="AD17" s="53"/>
      <c r="AE17" s="165" t="s">
        <v>50</v>
      </c>
      <c r="AF17" s="53" t="n">
        <v>1683.80905655528</v>
      </c>
      <c r="AG17" s="53" t="n">
        <f aca="false">SUM(AF15/2,AF16:AF19,AF20/2)/5</f>
        <v>1743.65673167341</v>
      </c>
      <c r="AH17" s="1" t="n">
        <f aca="false">AG17/AF17</f>
        <v>1.03554302958826</v>
      </c>
      <c r="AI17" s="53" t="n">
        <f aca="false">AF17*$C$29</f>
        <v>1645.67959262826</v>
      </c>
      <c r="AJ17" s="53"/>
      <c r="AK17" s="165" t="s">
        <v>50</v>
      </c>
      <c r="AL17" s="53" t="n">
        <v>1538.34889527357</v>
      </c>
      <c r="AM17" s="53" t="n">
        <f aca="false">SUM(AL15/2,AL16:AL19,AL20/2)/5</f>
        <v>1577.18533565606</v>
      </c>
      <c r="AN17" s="1" t="n">
        <f aca="false">AM17/AL17</f>
        <v>1.025245534678</v>
      </c>
      <c r="AO17" s="53" t="n">
        <f aca="false">AL17*$C$29</f>
        <v>1503.51334282114</v>
      </c>
      <c r="AP17" s="53"/>
      <c r="AQ17" s="165" t="s">
        <v>50</v>
      </c>
      <c r="AR17" s="53" t="n">
        <v>1131.52537032191</v>
      </c>
      <c r="AS17" s="53" t="n">
        <f aca="false">SUM(AR15/2,AR16:AR19,AR20/2)/5</f>
        <v>1133.70860789025</v>
      </c>
      <c r="AT17" s="1" t="n">
        <f aca="false">AS17/AR17</f>
        <v>1.00192946408945</v>
      </c>
      <c r="AU17" s="53" t="n">
        <f aca="false">AR17*$C$29</f>
        <v>1105.90224184292</v>
      </c>
      <c r="AV17" s="53"/>
      <c r="AW17" s="165" t="s">
        <v>50</v>
      </c>
      <c r="AX17" s="53" t="n">
        <v>2567.71841734088</v>
      </c>
      <c r="AY17" s="53" t="n">
        <f aca="false">SUM(AX15/2,AX16:AX19,AX20/2)/5</f>
        <v>2649.47594020581</v>
      </c>
      <c r="AZ17" s="1" t="n">
        <f aca="false">AY17/AX17</f>
        <v>1.0318405329466</v>
      </c>
      <c r="BA17" s="53" t="n">
        <f aca="false">AX17*$C$29</f>
        <v>2509.57303180112</v>
      </c>
    </row>
    <row r="18" customFormat="false" ht="12.8" hidden="false" customHeight="false" outlineLevel="0" collapsed="false">
      <c r="A18" s="53" t="s">
        <v>33</v>
      </c>
      <c r="B18" s="53" t="n">
        <v>1594.73098952601</v>
      </c>
      <c r="C18" s="53" t="n">
        <f aca="false">SUM(B16/2,B17:B20,B21/2)/5</f>
        <v>1727.70326886582</v>
      </c>
      <c r="D18" s="1" t="n">
        <f aca="false">C18/B18</f>
        <v>1.08338226334922</v>
      </c>
      <c r="E18" s="53" t="n">
        <f aca="false">$C$27*B18</f>
        <v>1657.52484200961</v>
      </c>
      <c r="F18" s="53"/>
      <c r="G18" s="53" t="s">
        <v>33</v>
      </c>
      <c r="H18" s="53" t="n">
        <v>1544.32390293204</v>
      </c>
      <c r="I18" s="53" t="n">
        <f aca="false">SUM(H16/2,H17:H20,H21/2)/5</f>
        <v>1668.06355563225</v>
      </c>
      <c r="J18" s="1" t="n">
        <f aca="false">I18/H18</f>
        <v>1.0801254532584</v>
      </c>
      <c r="K18" s="53" t="n">
        <f aca="false">$C$27*H18</f>
        <v>1605.132934665</v>
      </c>
      <c r="L18" s="53"/>
      <c r="M18" s="53" t="s">
        <v>33</v>
      </c>
      <c r="N18" s="53" t="n">
        <v>1667.04031009066</v>
      </c>
      <c r="O18" s="53" t="n">
        <f aca="false">SUM(N16/2,N17:N20,N21/2)/5</f>
        <v>1902.54554230945</v>
      </c>
      <c r="P18" s="1" t="n">
        <f aca="false">O18/N18</f>
        <v>1.14127146823821</v>
      </c>
      <c r="Q18" s="53" t="n">
        <f aca="false">$C$27*N18</f>
        <v>1732.6814019134</v>
      </c>
      <c r="R18" s="53"/>
      <c r="S18" s="53" t="s">
        <v>33</v>
      </c>
      <c r="T18" s="53" t="n">
        <v>1210.87878571249</v>
      </c>
      <c r="U18" s="53" t="n">
        <f aca="false">SUM(T16/2,T17:T20,T21/2)/5</f>
        <v>1294.27305410934</v>
      </c>
      <c r="V18" s="1" t="n">
        <f aca="false">U18/T18</f>
        <v>1.06887086418628</v>
      </c>
      <c r="W18" s="53" t="n">
        <f aca="false">$C$27*T18</f>
        <v>1258.55814000168</v>
      </c>
      <c r="X18" s="53"/>
      <c r="Y18" s="53" t="s">
        <v>33</v>
      </c>
      <c r="Z18" s="53" t="n">
        <v>1440.61538307566</v>
      </c>
      <c r="AA18" s="53" t="n">
        <f aca="false">SUM(Z16/2,Z17:Z20,Z21/2)/5</f>
        <v>1444.88709297085</v>
      </c>
      <c r="AB18" s="1" t="n">
        <f aca="false">AA18/Z18</f>
        <v>1.00296519802952</v>
      </c>
      <c r="AC18" s="53" t="n">
        <f aca="false">$C$27*Z18</f>
        <v>1497.34080601194</v>
      </c>
      <c r="AD18" s="53"/>
      <c r="AE18" s="53" t="s">
        <v>33</v>
      </c>
      <c r="AF18" s="53" t="n">
        <v>1694.69023964302</v>
      </c>
      <c r="AG18" s="53" t="n">
        <f aca="false">SUM(AF16/2,AF17:AF20,AF21/2)/5</f>
        <v>1837.54563029677</v>
      </c>
      <c r="AH18" s="1" t="n">
        <f aca="false">AG18/AF18</f>
        <v>1.08429587148849</v>
      </c>
      <c r="AI18" s="53" t="n">
        <f aca="false">$C$27*AF18</f>
        <v>1761.42007032448</v>
      </c>
      <c r="AJ18" s="53"/>
      <c r="AK18" s="53" t="s">
        <v>33</v>
      </c>
      <c r="AL18" s="53" t="n">
        <v>1548.88334963042</v>
      </c>
      <c r="AM18" s="53" t="n">
        <f aca="false">SUM(AL16/2,AL17:AL20,AL21/2)/5</f>
        <v>1666.54948819943</v>
      </c>
      <c r="AN18" s="1" t="n">
        <f aca="false">AM18/AL18</f>
        <v>1.07596836688643</v>
      </c>
      <c r="AO18" s="53" t="n">
        <f aca="false">$C$27*AL18</f>
        <v>1609.87191335044</v>
      </c>
      <c r="AP18" s="53"/>
      <c r="AQ18" s="53" t="s">
        <v>33</v>
      </c>
      <c r="AR18" s="53" t="n">
        <v>1154.72394934038</v>
      </c>
      <c r="AS18" s="53" t="n">
        <f aca="false">SUM(AR16/2,AR17:AR20,AR21/2)/5</f>
        <v>1170.82768129503</v>
      </c>
      <c r="AT18" s="1" t="n">
        <f aca="false">AS18/AR18</f>
        <v>1.01394595822131</v>
      </c>
      <c r="AU18" s="53" t="n">
        <f aca="false">$C$27*AR18</f>
        <v>1200.19216047467</v>
      </c>
      <c r="AV18" s="53"/>
      <c r="AW18" s="53" t="s">
        <v>33</v>
      </c>
      <c r="AX18" s="53" t="n">
        <v>2574.74613588176</v>
      </c>
      <c r="AY18" s="53" t="n">
        <f aca="false">SUM(AX16/2,AX17:AX20,AX21/2)/5</f>
        <v>2726.12216870535</v>
      </c>
      <c r="AZ18" s="1" t="n">
        <f aca="false">AY18/AX18</f>
        <v>1.0587926051093</v>
      </c>
      <c r="BA18" s="53" t="n">
        <f aca="false">$C$27*AX18</f>
        <v>2676.12889579623</v>
      </c>
    </row>
    <row r="19" customFormat="false" ht="12.8" hidden="false" customHeight="false" outlineLevel="0" collapsed="false">
      <c r="A19" s="157" t="s">
        <v>35</v>
      </c>
      <c r="B19" s="157" t="n">
        <v>1642.13923034423</v>
      </c>
      <c r="C19" s="53" t="n">
        <f aca="false">SUM(B17/2,B18:B21,B22/2)/5</f>
        <v>1854.74320142807</v>
      </c>
      <c r="D19" s="1" t="n">
        <f aca="false">C19/B19</f>
        <v>1.1294676889482</v>
      </c>
      <c r="E19" s="53" t="n">
        <f aca="false">$C$28*B19</f>
        <v>1685.89827562749</v>
      </c>
      <c r="F19" s="53"/>
      <c r="G19" s="157" t="s">
        <v>35</v>
      </c>
      <c r="H19" s="157" t="n">
        <v>1588.47620755325</v>
      </c>
      <c r="I19" s="53" t="n">
        <f aca="false">SUM(H17/2,H18:H21,H22/2)/5</f>
        <v>1786.90960482376</v>
      </c>
      <c r="J19" s="1" t="n">
        <f aca="false">I19/H19</f>
        <v>1.12492059769416</v>
      </c>
      <c r="K19" s="53" t="n">
        <f aca="false">$C$28*H19</f>
        <v>1630.80526285701</v>
      </c>
      <c r="L19" s="53"/>
      <c r="M19" s="157" t="s">
        <v>35</v>
      </c>
      <c r="N19" s="157" t="n">
        <v>1810.70093415713</v>
      </c>
      <c r="O19" s="53" t="n">
        <f aca="false">SUM(N17/2,N18:N21,N22/2)/5</f>
        <v>2138.44626231288</v>
      </c>
      <c r="P19" s="1" t="n">
        <f aca="false">O19/N19</f>
        <v>1.18100467171201</v>
      </c>
      <c r="Q19" s="53" t="n">
        <f aca="false">$C$28*N19</f>
        <v>1858.95174182806</v>
      </c>
      <c r="R19" s="53"/>
      <c r="S19" s="157" t="s">
        <v>35</v>
      </c>
      <c r="T19" s="157" t="n">
        <v>1291.33189068898</v>
      </c>
      <c r="U19" s="53" t="n">
        <f aca="false">SUM(T17/2,T18:T21,T22/2)/5</f>
        <v>1363.16130262869</v>
      </c>
      <c r="V19" s="1" t="n">
        <f aca="false">U19/T19</f>
        <v>1.0556242840881</v>
      </c>
      <c r="W19" s="53" t="n">
        <f aca="false">$C$28*T19</f>
        <v>1325.74276745035</v>
      </c>
      <c r="X19" s="53"/>
      <c r="Y19" s="157" t="s">
        <v>35</v>
      </c>
      <c r="Z19" s="157" t="n">
        <v>1371.09995242497</v>
      </c>
      <c r="AA19" s="53" t="n">
        <f aca="false">SUM(Z17/2,Z18:Z21,Z22/2)/5</f>
        <v>1445.14785807819</v>
      </c>
      <c r="AB19" s="1" t="n">
        <f aca="false">AA19/Z19</f>
        <v>1.054006205399</v>
      </c>
      <c r="AC19" s="53" t="n">
        <f aca="false">$C$28*Z19</f>
        <v>1407.63645541897</v>
      </c>
      <c r="AD19" s="53"/>
      <c r="AE19" s="157" t="s">
        <v>35</v>
      </c>
      <c r="AF19" s="157" t="n">
        <v>1786.14649588524</v>
      </c>
      <c r="AG19" s="53" t="n">
        <f aca="false">SUM(AF17/2,AF18:AF21,AF22/2)/5</f>
        <v>1980.26434908564</v>
      </c>
      <c r="AH19" s="1" t="n">
        <f aca="false">AG19/AF19</f>
        <v>1.10867969320971</v>
      </c>
      <c r="AI19" s="53" t="n">
        <f aca="false">$C$28*AF19</f>
        <v>1833.74298706681</v>
      </c>
      <c r="AJ19" s="53"/>
      <c r="AK19" s="157" t="s">
        <v>35</v>
      </c>
      <c r="AL19" s="157" t="n">
        <v>1584.1713452613</v>
      </c>
      <c r="AM19" s="53" t="n">
        <f aca="false">SUM(AL17/2,AL18:AL21,AL22/2)/5</f>
        <v>1785.50313588534</v>
      </c>
      <c r="AN19" s="1" t="n">
        <f aca="false">AM19/AL19</f>
        <v>1.12708965556427</v>
      </c>
      <c r="AO19" s="53" t="n">
        <f aca="false">$C$28*AL19</f>
        <v>1626.38568637975</v>
      </c>
      <c r="AP19" s="53"/>
      <c r="AQ19" s="157" t="s">
        <v>35</v>
      </c>
      <c r="AR19" s="157" t="n">
        <v>1159.38749387483</v>
      </c>
      <c r="AS19" s="53" t="n">
        <f aca="false">SUM(AR17/2,AR18:AR21,AR22/2)/5</f>
        <v>1220.97865780133</v>
      </c>
      <c r="AT19" s="1" t="n">
        <f aca="false">AS19/AR19</f>
        <v>1.05312388157703</v>
      </c>
      <c r="AU19" s="53" t="n">
        <f aca="false">$C$28*AR19</f>
        <v>1190.28237106176</v>
      </c>
      <c r="AV19" s="53"/>
      <c r="AW19" s="157" t="s">
        <v>35</v>
      </c>
      <c r="AX19" s="157" t="n">
        <v>2653.99511190498</v>
      </c>
      <c r="AY19" s="53" t="n">
        <f aca="false">SUM(AX17/2,AX18:AX21,AX22/2)/5</f>
        <v>2834.03139176193</v>
      </c>
      <c r="AZ19" s="1" t="n">
        <f aca="false">AY19/AX19</f>
        <v>1.06783595005483</v>
      </c>
      <c r="BA19" s="53" t="n">
        <f aca="false">$C$28*AX19</f>
        <v>2724.71767314546</v>
      </c>
    </row>
    <row r="20" customFormat="false" ht="12.8" hidden="false" customHeight="false" outlineLevel="0" collapsed="false">
      <c r="A20" s="159" t="s">
        <v>37</v>
      </c>
      <c r="B20" s="159" t="n">
        <v>1969.35736658864</v>
      </c>
      <c r="C20" s="159"/>
      <c r="D20" s="159"/>
      <c r="E20" s="159" t="n">
        <f aca="false">B20*$C$25</f>
        <v>1907.25027809613</v>
      </c>
      <c r="F20" s="53"/>
      <c r="G20" s="159" t="s">
        <v>37</v>
      </c>
      <c r="H20" s="159" t="n">
        <v>1891.44356916948</v>
      </c>
      <c r="I20" s="159"/>
      <c r="J20" s="159"/>
      <c r="K20" s="159" t="n">
        <f aca="false">H20*$C$25</f>
        <v>1831.79362694874</v>
      </c>
      <c r="L20" s="53"/>
      <c r="M20" s="159" t="s">
        <v>37</v>
      </c>
      <c r="N20" s="159" t="n">
        <v>2307.01336719354</v>
      </c>
      <c r="O20" s="159"/>
      <c r="P20" s="159"/>
      <c r="Q20" s="159" t="n">
        <f aca="false">N20*$C$25</f>
        <v>2234.2577131002</v>
      </c>
      <c r="R20" s="53"/>
      <c r="S20" s="159" t="s">
        <v>37</v>
      </c>
      <c r="T20" s="159" t="n">
        <v>1322.71395576813</v>
      </c>
      <c r="U20" s="159"/>
      <c r="V20" s="159"/>
      <c r="W20" s="159" t="n">
        <f aca="false">T20*$C$25</f>
        <v>1280.99988492711</v>
      </c>
      <c r="X20" s="53"/>
      <c r="Y20" s="159" t="s">
        <v>37</v>
      </c>
      <c r="Z20" s="159" t="n">
        <v>1509.05164075589</v>
      </c>
      <c r="AA20" s="159"/>
      <c r="AB20" s="159"/>
      <c r="AC20" s="159" t="n">
        <f aca="false">Z20*$C$25</f>
        <v>1461.46108894327</v>
      </c>
      <c r="AD20" s="53"/>
      <c r="AE20" s="159" t="s">
        <v>37</v>
      </c>
      <c r="AF20" s="159" t="n">
        <v>2063.84153072489</v>
      </c>
      <c r="AG20" s="159"/>
      <c r="AH20" s="159"/>
      <c r="AI20" s="159" t="n">
        <f aca="false">AF20*$C$25</f>
        <v>1998.75472080512</v>
      </c>
      <c r="AJ20" s="53"/>
      <c r="AK20" s="159" t="s">
        <v>37</v>
      </c>
      <c r="AL20" s="159" t="n">
        <v>1891.95422409844</v>
      </c>
      <c r="AM20" s="159"/>
      <c r="AN20" s="159"/>
      <c r="AO20" s="159" t="n">
        <f aca="false">AL20*$C$25</f>
        <v>1832.28817749187</v>
      </c>
      <c r="AP20" s="53"/>
      <c r="AQ20" s="159" t="s">
        <v>37</v>
      </c>
      <c r="AR20" s="159" t="n">
        <v>1203.41172922645</v>
      </c>
      <c r="AS20" s="159"/>
      <c r="AT20" s="159"/>
      <c r="AU20" s="159" t="n">
        <f aca="false">AR20*$C$25</f>
        <v>1165.46006030744</v>
      </c>
      <c r="AV20" s="53"/>
      <c r="AW20" s="159" t="s">
        <v>37</v>
      </c>
      <c r="AX20" s="159" t="n">
        <v>3012.59946858045</v>
      </c>
      <c r="AY20" s="159"/>
      <c r="AZ20" s="159"/>
      <c r="BA20" s="159" t="n">
        <f aca="false">AX20*$C$25</f>
        <v>2917.59193720908</v>
      </c>
    </row>
    <row r="21" customFormat="false" ht="12.8" hidden="false" customHeight="false" outlineLevel="0" collapsed="false">
      <c r="A21" s="53" t="s">
        <v>40</v>
      </c>
      <c r="B21" s="53" t="n">
        <v>2116.32344991411</v>
      </c>
      <c r="C21" s="53"/>
      <c r="D21" s="53"/>
      <c r="E21" s="53" t="n">
        <f aca="false">B21*$C$26</f>
        <v>2091.26212248618</v>
      </c>
      <c r="F21" s="53"/>
      <c r="G21" s="53" t="s">
        <v>40</v>
      </c>
      <c r="H21" s="53" t="n">
        <v>2033.66179080457</v>
      </c>
      <c r="I21" s="53"/>
      <c r="J21" s="53"/>
      <c r="K21" s="53" t="n">
        <f aca="false">H21*$C$26</f>
        <v>2009.57933591372</v>
      </c>
      <c r="L21" s="53"/>
      <c r="M21" s="53" t="s">
        <v>40</v>
      </c>
      <c r="N21" s="53" t="n">
        <v>2599.17112228757</v>
      </c>
      <c r="O21" s="53"/>
      <c r="P21" s="53"/>
      <c r="Q21" s="53" t="n">
        <f aca="false">N21*$C$26</f>
        <v>2568.39195261977</v>
      </c>
      <c r="R21" s="53"/>
      <c r="S21" s="53" t="s">
        <v>40</v>
      </c>
      <c r="T21" s="53" t="n">
        <v>1613.55935228735</v>
      </c>
      <c r="U21" s="53"/>
      <c r="V21" s="53"/>
      <c r="W21" s="53" t="n">
        <f aca="false">T21*$C$26</f>
        <v>1594.45171576151</v>
      </c>
      <c r="X21" s="53"/>
      <c r="Y21" s="53" t="s">
        <v>40</v>
      </c>
      <c r="Z21" s="53" t="n">
        <v>1476.51319471387</v>
      </c>
      <c r="AA21" s="53"/>
      <c r="AB21" s="53"/>
      <c r="AC21" s="53" t="n">
        <f aca="false">Z21*$C$26</f>
        <v>1459.02844746227</v>
      </c>
      <c r="AD21" s="53"/>
      <c r="AE21" s="53" t="s">
        <v>40</v>
      </c>
      <c r="AF21" s="53" t="n">
        <v>2249.99269915252</v>
      </c>
      <c r="AG21" s="53"/>
      <c r="AH21" s="53"/>
      <c r="AI21" s="53" t="n">
        <f aca="false">AF21*$C$26</f>
        <v>2223.34847151983</v>
      </c>
      <c r="AJ21" s="53"/>
      <c r="AK21" s="53" t="s">
        <v>40</v>
      </c>
      <c r="AL21" s="53" t="n">
        <v>2026.11739337336</v>
      </c>
      <c r="AM21" s="53"/>
      <c r="AN21" s="53"/>
      <c r="AO21" s="53" t="n">
        <f aca="false">AL21*$C$26</f>
        <v>2002.12427861351</v>
      </c>
      <c r="AP21" s="53"/>
      <c r="AQ21" s="53" t="s">
        <v>40</v>
      </c>
      <c r="AR21" s="53" t="n">
        <v>1335.61696621548</v>
      </c>
      <c r="AS21" s="53"/>
      <c r="AT21" s="53"/>
      <c r="AU21" s="53" t="n">
        <f aca="false">AR21*$C$26</f>
        <v>1319.80070045989</v>
      </c>
      <c r="AV21" s="53"/>
      <c r="AW21" s="53" t="s">
        <v>40</v>
      </c>
      <c r="AX21" s="53" t="n">
        <v>3014.03999044197</v>
      </c>
      <c r="AY21" s="53"/>
      <c r="AZ21" s="53"/>
      <c r="BA21" s="53" t="n">
        <f aca="false">AX21*$C$26</f>
        <v>2978.34797791695</v>
      </c>
    </row>
    <row r="22" customFormat="false" ht="12.8" hidden="false" customHeight="false" outlineLevel="0" collapsed="false">
      <c r="A22" s="165" t="s">
        <v>44</v>
      </c>
      <c r="B22" s="53" t="n">
        <v>2314.06418594999</v>
      </c>
      <c r="C22" s="53"/>
      <c r="D22" s="53"/>
      <c r="E22" s="53" t="n">
        <f aca="false">B22*$C$29</f>
        <v>2261.66274140407</v>
      </c>
      <c r="F22" s="53"/>
      <c r="G22" s="165" t="s">
        <v>44</v>
      </c>
      <c r="H22" s="53" t="n">
        <v>2216.23792496176</v>
      </c>
      <c r="I22" s="53"/>
      <c r="J22" s="53"/>
      <c r="K22" s="53" t="n">
        <f aca="false">H22*$C$29</f>
        <v>2166.05173331221</v>
      </c>
      <c r="L22" s="53"/>
      <c r="M22" s="165" t="s">
        <v>44</v>
      </c>
      <c r="N22" s="53" t="n">
        <v>2967.16438808461</v>
      </c>
      <c r="O22" s="53"/>
      <c r="P22" s="53"/>
      <c r="Q22" s="53" t="n">
        <f aca="false">N22*$C$29</f>
        <v>2899.97364156821</v>
      </c>
      <c r="R22" s="53"/>
      <c r="S22" s="165" t="s">
        <v>44</v>
      </c>
      <c r="T22" s="53" t="n">
        <v>1541.50383701283</v>
      </c>
      <c r="U22" s="53"/>
      <c r="V22" s="53"/>
      <c r="W22" s="53" t="n">
        <f aca="false">T22*$C$29</f>
        <v>1506.5968416395</v>
      </c>
      <c r="X22" s="53"/>
      <c r="Y22" s="165" t="s">
        <v>44</v>
      </c>
      <c r="Z22" s="53" t="n">
        <v>1416.77812908266</v>
      </c>
      <c r="AA22" s="53"/>
      <c r="AB22" s="53"/>
      <c r="AC22" s="53" t="n">
        <f aca="false">Z22*$C$29</f>
        <v>1384.69551831682</v>
      </c>
      <c r="AD22" s="53"/>
      <c r="AE22" s="165" t="s">
        <v>44</v>
      </c>
      <c r="AF22" s="53" t="n">
        <v>2529.4925034898</v>
      </c>
      <c r="AG22" s="53"/>
      <c r="AH22" s="53"/>
      <c r="AI22" s="53" t="n">
        <f aca="false">AF22*$C$29</f>
        <v>2472.21273486639</v>
      </c>
      <c r="AJ22" s="53"/>
      <c r="AK22" s="165" t="s">
        <v>44</v>
      </c>
      <c r="AL22" s="53" t="n">
        <v>2214.42983885283</v>
      </c>
      <c r="AM22" s="53"/>
      <c r="AN22" s="53"/>
      <c r="AO22" s="53" t="n">
        <f aca="false">AL22*$C$29</f>
        <v>2164.28459089211</v>
      </c>
      <c r="AP22" s="53"/>
      <c r="AQ22" s="165" t="s">
        <v>44</v>
      </c>
      <c r="AR22" s="53" t="n">
        <v>1371.98093037707</v>
      </c>
      <c r="AS22" s="53"/>
      <c r="AT22" s="53"/>
      <c r="AU22" s="53" t="n">
        <f aca="false">AR22*$C$29</f>
        <v>1340.91274174267</v>
      </c>
      <c r="AV22" s="53"/>
      <c r="AW22" s="165" t="s">
        <v>44</v>
      </c>
      <c r="AX22" s="53" t="n">
        <v>3261.83408666006</v>
      </c>
      <c r="AY22" s="53"/>
      <c r="AZ22" s="53"/>
      <c r="BA22" s="53" t="n">
        <f aca="false">AX22*$C$29</f>
        <v>3187.97061344791</v>
      </c>
    </row>
    <row r="24" customFormat="false" ht="12.8" hidden="false" customHeight="false" outlineLevel="0" collapsed="false">
      <c r="E24" s="1" t="s">
        <v>175</v>
      </c>
      <c r="G24" s="1"/>
      <c r="K24" s="1" t="s">
        <v>175</v>
      </c>
      <c r="M24" s="1"/>
      <c r="Q24" s="1" t="s">
        <v>175</v>
      </c>
      <c r="W24" s="1" t="s">
        <v>175</v>
      </c>
      <c r="Y24" s="1"/>
      <c r="AC24" s="1" t="s">
        <v>175</v>
      </c>
      <c r="AE24" s="1"/>
      <c r="AI24" s="1" t="s">
        <v>175</v>
      </c>
      <c r="AK24" s="1"/>
      <c r="AO24" s="1" t="s">
        <v>175</v>
      </c>
      <c r="AQ24" s="1"/>
      <c r="AU24" s="1" t="s">
        <v>175</v>
      </c>
      <c r="AW24" s="1"/>
      <c r="BA24" s="1" t="s">
        <v>175</v>
      </c>
    </row>
    <row r="25" customFormat="false" ht="12.8" hidden="false" customHeight="false" outlineLevel="0" collapsed="false">
      <c r="A25" s="1" t="s">
        <v>151</v>
      </c>
      <c r="B25" s="1" t="n">
        <f aca="false">AVERAGE(D5,D10,D15,D20)</f>
        <v>0.991039472527562</v>
      </c>
      <c r="C25" s="1" t="n">
        <f aca="false">B25/B$30</f>
        <v>0.96846327154929</v>
      </c>
      <c r="D25" s="117" t="n">
        <f aca="false">C25-1</f>
        <v>-0.0315367284507099</v>
      </c>
      <c r="E25" s="117" t="n">
        <f aca="false">1-C25</f>
        <v>0.0315367284507099</v>
      </c>
      <c r="G25" s="1" t="s">
        <v>151</v>
      </c>
      <c r="H25" s="1" t="n">
        <f aca="false">AVERAGE(J5,J10,J15,J20)</f>
        <v>0.991140063165689</v>
      </c>
      <c r="I25" s="1" t="n">
        <f aca="false">H25/H$30</f>
        <v>0.969513477593135</v>
      </c>
      <c r="J25" s="117" t="n">
        <f aca="false">I25-1</f>
        <v>-0.0304865224068652</v>
      </c>
      <c r="K25" s="117" t="n">
        <f aca="false">1-I25</f>
        <v>0.0304865224068652</v>
      </c>
      <c r="M25" s="1" t="s">
        <v>151</v>
      </c>
      <c r="N25" s="1" t="n">
        <f aca="false">AVERAGE(P5,P10,P15,P20)</f>
        <v>0.994546823673109</v>
      </c>
      <c r="O25" s="1" t="n">
        <f aca="false">N25/N$30</f>
        <v>0.959831917333215</v>
      </c>
      <c r="P25" s="117" t="n">
        <f aca="false">O25-1</f>
        <v>-0.0401680826667853</v>
      </c>
      <c r="Q25" s="117" t="n">
        <f aca="false">1-O25</f>
        <v>0.0401680826667853</v>
      </c>
      <c r="S25" s="1" t="s">
        <v>151</v>
      </c>
      <c r="T25" s="1" t="n">
        <f aca="false">AVERAGE(V5,V10,V15,V20)</f>
        <v>0.925369862513766</v>
      </c>
      <c r="U25" s="1" t="n">
        <f aca="false">T25/T$30</f>
        <v>0.913235068748304</v>
      </c>
      <c r="V25" s="117" t="n">
        <f aca="false">U25-1</f>
        <v>-0.0867649312516965</v>
      </c>
      <c r="W25" s="117" t="n">
        <f aca="false">1-U25</f>
        <v>0.0867649312516965</v>
      </c>
      <c r="Y25" s="1" t="s">
        <v>151</v>
      </c>
      <c r="Z25" s="1" t="n">
        <f aca="false">AVERAGE(AB5,AB10,AB15,AB20)</f>
        <v>1.00621516126964</v>
      </c>
      <c r="AA25" s="1" t="n">
        <f aca="false">Z25/Z$30</f>
        <v>0.996276823232413</v>
      </c>
      <c r="AB25" s="117" t="n">
        <f aca="false">AA25-1</f>
        <v>-0.00372317676758716</v>
      </c>
      <c r="AC25" s="117" t="n">
        <f aca="false">1-AA25</f>
        <v>0.00372317676758716</v>
      </c>
      <c r="AE25" s="1" t="s">
        <v>151</v>
      </c>
      <c r="AF25" s="1" t="n">
        <f aca="false">AVERAGE(AH5,AH10,AH15,AH20)</f>
        <v>1.00405206390871</v>
      </c>
      <c r="AG25" s="1" t="n">
        <f aca="false">AF25/AF$30</f>
        <v>0.984712716116025</v>
      </c>
      <c r="AH25" s="117" t="n">
        <f aca="false">AG25-1</f>
        <v>-0.015287283883975</v>
      </c>
      <c r="AI25" s="117" t="n">
        <f aca="false">1-AG25</f>
        <v>0.015287283883975</v>
      </c>
      <c r="AK25" s="1" t="s">
        <v>151</v>
      </c>
      <c r="AL25" s="1" t="n">
        <f aca="false">AVERAGE(AN5,AN10,AN15,AN20)</f>
        <v>0.997448550752798</v>
      </c>
      <c r="AM25" s="1" t="n">
        <f aca="false">AL25/AL$30</f>
        <v>0.975467329122342</v>
      </c>
      <c r="AN25" s="117" t="n">
        <f aca="false">AM25-1</f>
        <v>-0.0245326708776581</v>
      </c>
      <c r="AO25" s="117" t="n">
        <f aca="false">1-AM25</f>
        <v>0.0245326708776581</v>
      </c>
      <c r="AQ25" s="1" t="s">
        <v>151</v>
      </c>
      <c r="AR25" s="1" t="n">
        <f aca="false">AVERAGE(AT5,AT10,AT15,AT20)</f>
        <v>0.976048722831182</v>
      </c>
      <c r="AS25" s="1" t="n">
        <f aca="false">AR25/AR$30</f>
        <v>0.967843764027538</v>
      </c>
      <c r="AT25" s="117" t="n">
        <f aca="false">AS25-1</f>
        <v>-0.0321562359724622</v>
      </c>
      <c r="AU25" s="117" t="n">
        <f aca="false">1-AS25</f>
        <v>0.0321562359724622</v>
      </c>
      <c r="AW25" s="1" t="s">
        <v>151</v>
      </c>
      <c r="AX25" s="1" t="n">
        <f aca="false">AVERAGE(AZ5,AZ10,AZ15,AZ20)</f>
        <v>0.999045997525106</v>
      </c>
      <c r="AY25" s="1" t="n">
        <f aca="false">AX25/AX$30</f>
        <v>0.979557909547881</v>
      </c>
      <c r="AZ25" s="117" t="n">
        <f aca="false">AY25-1</f>
        <v>-0.0204420904521192</v>
      </c>
      <c r="BA25" s="117" t="n">
        <f aca="false">1-AY25</f>
        <v>0.0204420904521192</v>
      </c>
    </row>
    <row r="26" customFormat="false" ht="12.8" hidden="false" customHeight="false" outlineLevel="0" collapsed="false">
      <c r="A26" s="1" t="s">
        <v>152</v>
      </c>
      <c r="B26" s="1" t="n">
        <f aca="false">AVERAGE(D6,D11,D16,D21)</f>
        <v>1.01119339653853</v>
      </c>
      <c r="C26" s="1" t="n">
        <f aca="false">B26/B$30</f>
        <v>0.988158082627236</v>
      </c>
      <c r="D26" s="117" t="n">
        <f aca="false">C26-1</f>
        <v>-0.0118419173727639</v>
      </c>
      <c r="E26" s="117" t="n">
        <f aca="false">1-C26</f>
        <v>0.0118419173727639</v>
      </c>
      <c r="G26" s="1" t="s">
        <v>152</v>
      </c>
      <c r="H26" s="1" t="n">
        <f aca="false">AVERAGE(J6,J11,J16,J21)</f>
        <v>1.0091979153178</v>
      </c>
      <c r="I26" s="1" t="n">
        <f aca="false">H26/H$30</f>
        <v>0.987177309062055</v>
      </c>
      <c r="J26" s="117" t="n">
        <f aca="false">I26-1</f>
        <v>-0.0128226909379454</v>
      </c>
      <c r="K26" s="117" t="n">
        <f aca="false">1-I26</f>
        <v>0.0128226909379454</v>
      </c>
      <c r="M26" s="1" t="s">
        <v>152</v>
      </c>
      <c r="N26" s="1" t="n">
        <f aca="false">AVERAGE(P6,P11,P16,P21)</f>
        <v>1.04694542622318</v>
      </c>
      <c r="O26" s="1" t="n">
        <f aca="false">N26/N$30</f>
        <v>1.01040153351827</v>
      </c>
      <c r="P26" s="117" t="n">
        <f aca="false">O26-1</f>
        <v>0.0104015335182743</v>
      </c>
      <c r="Q26" s="117" t="n">
        <f aca="false">1-O26</f>
        <v>-0.0104015335182743</v>
      </c>
      <c r="S26" s="1" t="s">
        <v>152</v>
      </c>
      <c r="T26" s="1" t="n">
        <f aca="false">AVERAGE(V6,V11,V16,V21)</f>
        <v>1.00859956278962</v>
      </c>
      <c r="U26" s="1" t="n">
        <f aca="false">T26/T$30</f>
        <v>0.995373340300441</v>
      </c>
      <c r="V26" s="117" t="n">
        <f aca="false">U26-1</f>
        <v>-0.00462665969955878</v>
      </c>
      <c r="W26" s="117" t="n">
        <f aca="false">1-U26</f>
        <v>0.00462665969955878</v>
      </c>
      <c r="Y26" s="1" t="s">
        <v>152</v>
      </c>
      <c r="Z26" s="1" t="n">
        <f aca="false">AVERAGE(AB6,AB11,AB16,AB21)</f>
        <v>0.973260693041371</v>
      </c>
      <c r="AA26" s="1" t="n">
        <f aca="false">Z26/Z$30</f>
        <v>0.96364784467842</v>
      </c>
      <c r="AB26" s="117" t="n">
        <f aca="false">AA26-1</f>
        <v>-0.0363521553215805</v>
      </c>
      <c r="AC26" s="117" t="n">
        <f aca="false">1-AA26</f>
        <v>0.0363521553215805</v>
      </c>
      <c r="AE26" s="1" t="s">
        <v>152</v>
      </c>
      <c r="AF26" s="1" t="n">
        <f aca="false">AVERAGE(AH6,AH11,AH16,AH21)</f>
        <v>1.01665824644149</v>
      </c>
      <c r="AG26" s="1" t="n">
        <f aca="false">AF26/AF$30</f>
        <v>0.997076087188027</v>
      </c>
      <c r="AH26" s="117" t="n">
        <f aca="false">AG26-1</f>
        <v>-0.0029239128119728</v>
      </c>
      <c r="AI26" s="117" t="n">
        <f aca="false">1-AG26</f>
        <v>0.0029239128119728</v>
      </c>
      <c r="AK26" s="1" t="s">
        <v>152</v>
      </c>
      <c r="AL26" s="1" t="n">
        <f aca="false">AVERAGE(AN6,AN11,AN16,AN21)</f>
        <v>1.01092822372853</v>
      </c>
      <c r="AM26" s="1" t="n">
        <f aca="false">AL26/AL$30</f>
        <v>0.988649944491485</v>
      </c>
      <c r="AN26" s="117" t="n">
        <f aca="false">AM26-1</f>
        <v>-0.0113500555085149</v>
      </c>
      <c r="AO26" s="117" t="n">
        <f aca="false">1-AM26</f>
        <v>0.0113500555085149</v>
      </c>
      <c r="AQ26" s="1" t="s">
        <v>152</v>
      </c>
      <c r="AR26" s="1" t="n">
        <f aca="false">AVERAGE(AT6,AT11,AT16,AT21)</f>
        <v>1.0165651997284</v>
      </c>
      <c r="AS26" s="1" t="n">
        <f aca="false">AR26/AR$30</f>
        <v>1.00801964724738</v>
      </c>
      <c r="AT26" s="117" t="n">
        <f aca="false">AS26-1</f>
        <v>0.00801964724737569</v>
      </c>
      <c r="AU26" s="117" t="n">
        <f aca="false">1-AS26</f>
        <v>-0.00801964724737569</v>
      </c>
      <c r="AW26" s="1" t="s">
        <v>152</v>
      </c>
      <c r="AX26" s="1" t="n">
        <f aca="false">AVERAGE(AZ6,AZ11,AZ16,AZ21)</f>
        <v>1.0207893711396</v>
      </c>
      <c r="AY26" s="1" t="n">
        <f aca="false">AX26/AX$30</f>
        <v>1.0008771417525</v>
      </c>
      <c r="AZ26" s="117" t="n">
        <f aca="false">AY26-1</f>
        <v>0.000877141752498201</v>
      </c>
      <c r="BA26" s="117" t="n">
        <f aca="false">1-AY26</f>
        <v>-0.000877141752498201</v>
      </c>
    </row>
    <row r="27" customFormat="false" ht="12.8" hidden="false" customHeight="false" outlineLevel="0" collapsed="false">
      <c r="A27" s="1" t="s">
        <v>153</v>
      </c>
      <c r="B27" s="1" t="n">
        <f aca="false">AVERAGE(D3,D8,D13,D18)</f>
        <v>1.06360509704942</v>
      </c>
      <c r="C27" s="1" t="n">
        <f aca="false">B27/B$30</f>
        <v>1.03937582758222</v>
      </c>
      <c r="D27" s="117" t="n">
        <f aca="false">C27-1</f>
        <v>0.0393758275822225</v>
      </c>
      <c r="E27" s="117" t="n">
        <f aca="false">1-C27</f>
        <v>-0.0393758275822225</v>
      </c>
      <c r="G27" s="1" t="s">
        <v>153</v>
      </c>
      <c r="H27" s="1" t="n">
        <f aca="false">AVERAGE(J3,J8,J13,J18)</f>
        <v>1.06096665198917</v>
      </c>
      <c r="I27" s="1" t="n">
        <f aca="false">H27/H$30</f>
        <v>1.03781645663174</v>
      </c>
      <c r="J27" s="117" t="n">
        <f aca="false">I27-1</f>
        <v>0.0378164566317354</v>
      </c>
      <c r="K27" s="117" t="n">
        <f aca="false">1-I27</f>
        <v>-0.0378164566317354</v>
      </c>
      <c r="M27" s="1" t="s">
        <v>153</v>
      </c>
      <c r="N27" s="1" t="n">
        <f aca="false">AVERAGE(P3,P8,P13,P18)</f>
        <v>1.0793468645064</v>
      </c>
      <c r="O27" s="1" t="n">
        <f aca="false">N27/N$30</f>
        <v>1.04167199147105</v>
      </c>
      <c r="P27" s="117" t="n">
        <f aca="false">O27-1</f>
        <v>0.0416719914710488</v>
      </c>
      <c r="Q27" s="117" t="n">
        <f aca="false">1-O27</f>
        <v>-0.0416719914710488</v>
      </c>
      <c r="S27" s="1" t="s">
        <v>153</v>
      </c>
      <c r="T27" s="1" t="n">
        <f aca="false">AVERAGE(V3,V8,V13,V18)</f>
        <v>1.03834230060315</v>
      </c>
      <c r="U27" s="1" t="n">
        <f aca="false">T27/T$30</f>
        <v>1.02472604813351</v>
      </c>
      <c r="V27" s="117" t="n">
        <f aca="false">U27-1</f>
        <v>0.0247260481335145</v>
      </c>
      <c r="W27" s="117" t="n">
        <f aca="false">1-U27</f>
        <v>-0.0247260481335145</v>
      </c>
      <c r="Y27" s="1" t="s">
        <v>153</v>
      </c>
      <c r="Z27" s="1" t="n">
        <f aca="false">AVERAGE(AB3,AB8,AB13,AB18)</f>
        <v>1.04033116145313</v>
      </c>
      <c r="AA27" s="1" t="n">
        <f aca="false">Z27/Z$30</f>
        <v>1.0300558613472</v>
      </c>
      <c r="AB27" s="117" t="n">
        <f aca="false">AA27-1</f>
        <v>0.0300558613472017</v>
      </c>
      <c r="AC27" s="117" t="n">
        <f aca="false">1-AA27</f>
        <v>-0.0300558613472017</v>
      </c>
      <c r="AE27" s="1" t="s">
        <v>153</v>
      </c>
      <c r="AF27" s="1" t="n">
        <f aca="false">AVERAGE(AH3,AH8,AH13,AH18)</f>
        <v>1.04626104180749</v>
      </c>
      <c r="AG27" s="1" t="n">
        <f aca="false">AF27/AF$30</f>
        <v>1.0261086942383</v>
      </c>
      <c r="AH27" s="117" t="n">
        <f aca="false">AG27-1</f>
        <v>0.0261086942383015</v>
      </c>
      <c r="AI27" s="117" t="n">
        <f aca="false">1-AG27</f>
        <v>-0.0261086942383015</v>
      </c>
      <c r="AK27" s="1" t="s">
        <v>153</v>
      </c>
      <c r="AL27" s="1" t="n">
        <f aca="false">AVERAGE(AN3,AN8,AN13,AN18)</f>
        <v>1.05981213120822</v>
      </c>
      <c r="AM27" s="1" t="n">
        <f aca="false">AL27/AL$30</f>
        <v>1.03645657535007</v>
      </c>
      <c r="AN27" s="117" t="n">
        <f aca="false">AM27-1</f>
        <v>0.0364565753500725</v>
      </c>
      <c r="AO27" s="117" t="n">
        <f aca="false">1-AM27</f>
        <v>-0.0364565753500725</v>
      </c>
      <c r="AQ27" s="1" t="s">
        <v>153</v>
      </c>
      <c r="AR27" s="1" t="n">
        <f aca="false">AVERAGE(AT3,AT8,AT13,AT18)</f>
        <v>1.01180558529485</v>
      </c>
      <c r="AS27" s="1" t="n">
        <f aca="false">AR27/AR$30</f>
        <v>1.00330004356271</v>
      </c>
      <c r="AT27" s="117" t="n">
        <f aca="false">AS27-1</f>
        <v>0.00330004356271041</v>
      </c>
      <c r="AU27" s="117" t="n">
        <f aca="false">1-AS27</f>
        <v>-0.00330004356271041</v>
      </c>
      <c r="AW27" s="1" t="s">
        <v>153</v>
      </c>
      <c r="AX27" s="1" t="n">
        <f aca="false">AVERAGE(AZ3,AZ8,AZ13,AZ18)</f>
        <v>1.05812700850642</v>
      </c>
      <c r="AY27" s="1" t="n">
        <f aca="false">AX27/AX$30</f>
        <v>1.03748644512502</v>
      </c>
      <c r="AZ27" s="117" t="n">
        <f aca="false">AY27-1</f>
        <v>0.0374864451250192</v>
      </c>
      <c r="BA27" s="117" t="n">
        <f aca="false">1-AY27</f>
        <v>-0.0374864451250192</v>
      </c>
    </row>
    <row r="28" customFormat="false" ht="12.8" hidden="false" customHeight="false" outlineLevel="0" collapsed="false">
      <c r="A28" s="1" t="s">
        <v>154</v>
      </c>
      <c r="B28" s="1" t="n">
        <f aca="false">AVERAGE(D4,D9,D14,D19)</f>
        <v>1.05058014210586</v>
      </c>
      <c r="C28" s="1" t="n">
        <f aca="false">B28/B$30</f>
        <v>1.02664758534152</v>
      </c>
      <c r="D28" s="117" t="n">
        <f aca="false">C28-1</f>
        <v>0.0266475853415245</v>
      </c>
      <c r="E28" s="117" t="n">
        <f aca="false">1-C28</f>
        <v>-0.0266475853415245</v>
      </c>
      <c r="G28" s="1" t="s">
        <v>154</v>
      </c>
      <c r="H28" s="1" t="n">
        <f aca="false">AVERAGE(J4,J9,J14,J19)</f>
        <v>1.04928410051702</v>
      </c>
      <c r="I28" s="1" t="n">
        <f aca="false">H28/H$30</f>
        <v>1.02638881736473</v>
      </c>
      <c r="J28" s="117" t="n">
        <f aca="false">I28-1</f>
        <v>0.0263888173647329</v>
      </c>
      <c r="K28" s="117" t="n">
        <f aca="false">1-I28</f>
        <v>-0.0263888173647329</v>
      </c>
      <c r="M28" s="1" t="s">
        <v>154</v>
      </c>
      <c r="N28" s="1" t="n">
        <f aca="false">AVERAGE(P4,P9,P14,P19)</f>
        <v>1.05582796180885</v>
      </c>
      <c r="O28" s="1" t="n">
        <f aca="false">N28/N$30</f>
        <v>1.01897402197134</v>
      </c>
      <c r="P28" s="117" t="n">
        <f aca="false">O28-1</f>
        <v>0.018974021971339</v>
      </c>
      <c r="Q28" s="117" t="n">
        <f aca="false">1-O28</f>
        <v>-0.018974021971339</v>
      </c>
      <c r="S28" s="1" t="s">
        <v>154</v>
      </c>
      <c r="T28" s="1" t="n">
        <f aca="false">AVERAGE(V4,V9,V14,V19)</f>
        <v>1.03533653741682</v>
      </c>
      <c r="U28" s="1" t="n">
        <f aca="false">T28/T$30</f>
        <v>1.02175970088005</v>
      </c>
      <c r="V28" s="117" t="n">
        <f aca="false">U28-1</f>
        <v>0.021759700880049</v>
      </c>
      <c r="W28" s="117" t="n">
        <f aca="false">1-U28</f>
        <v>-0.021759700880049</v>
      </c>
      <c r="Y28" s="1" t="s">
        <v>154</v>
      </c>
      <c r="Z28" s="1" t="n">
        <f aca="false">AVERAGE(AB4,AB9,AB14,AB19)</f>
        <v>1.04487765702338</v>
      </c>
      <c r="AA28" s="1" t="n">
        <f aca="false">Z28/Z$30</f>
        <v>1.0345574514026</v>
      </c>
      <c r="AB28" s="117" t="n">
        <f aca="false">AA28-1</f>
        <v>0.0345574514026044</v>
      </c>
      <c r="AC28" s="117" t="n">
        <f aca="false">1-AA28</f>
        <v>-0.0345574514026044</v>
      </c>
      <c r="AE28" s="1" t="s">
        <v>154</v>
      </c>
      <c r="AF28" s="1" t="n">
        <f aca="false">AVERAGE(AH4,AH9,AH14,AH19)</f>
        <v>1.03038110444145</v>
      </c>
      <c r="AG28" s="1" t="n">
        <f aca="false">AF28/AF$30</f>
        <v>1.01053462510628</v>
      </c>
      <c r="AH28" s="117" t="n">
        <f aca="false">AG28-1</f>
        <v>0.0105346251062806</v>
      </c>
      <c r="AI28" s="117" t="n">
        <f aca="false">1-AG28</f>
        <v>-0.0105346251062806</v>
      </c>
      <c r="AK28" s="1" t="s">
        <v>154</v>
      </c>
      <c r="AL28" s="1" t="n">
        <f aca="false">AVERAGE(AN4,AN9,AN14,AN19)</f>
        <v>1.04794392549957</v>
      </c>
      <c r="AM28" s="1" t="n">
        <f aca="false">AL28/AL$30</f>
        <v>1.0248499146202</v>
      </c>
      <c r="AN28" s="117" t="n">
        <f aca="false">AM28-1</f>
        <v>0.0248499146201968</v>
      </c>
      <c r="AO28" s="117" t="n">
        <f aca="false">1-AM28</f>
        <v>-0.0248499146201968</v>
      </c>
      <c r="AQ28" s="1" t="s">
        <v>154</v>
      </c>
      <c r="AR28" s="1" t="n">
        <f aca="false">AVERAGE(AT4,AT9,AT14,AT19)</f>
        <v>1.0240286679284</v>
      </c>
      <c r="AS28" s="1" t="n">
        <f aca="false">AR28/AR$30</f>
        <v>1.01542037529139</v>
      </c>
      <c r="AT28" s="117" t="n">
        <f aca="false">AS28-1</f>
        <v>0.0154203752913942</v>
      </c>
      <c r="AU28" s="117" t="n">
        <f aca="false">1-AS28</f>
        <v>-0.0154203752913942</v>
      </c>
      <c r="AW28" s="1" t="s">
        <v>154</v>
      </c>
      <c r="AX28" s="1" t="n">
        <f aca="false">AVERAGE(AZ4,AZ9,AZ14,AZ19)</f>
        <v>1.02818696934576</v>
      </c>
      <c r="AY28" s="1" t="n">
        <f aca="false">AX28/AX$30</f>
        <v>1.00813043724886</v>
      </c>
      <c r="AZ28" s="117" t="n">
        <f aca="false">AY28-1</f>
        <v>0.0081304372488582</v>
      </c>
      <c r="BA28" s="117" t="n">
        <f aca="false">1-AY28</f>
        <v>-0.0081304372488582</v>
      </c>
    </row>
    <row r="29" customFormat="false" ht="12.8" hidden="false" customHeight="false" outlineLevel="0" collapsed="false">
      <c r="A29" s="1" t="s">
        <v>165</v>
      </c>
      <c r="B29" s="1" t="n">
        <f aca="false">AVERAGE(D7,D12,D17,D22)</f>
        <v>1.00013871763613</v>
      </c>
      <c r="C29" s="1" t="n">
        <f aca="false">B29/B$30</f>
        <v>0.977355232899727</v>
      </c>
      <c r="D29" s="117" t="n">
        <f aca="false">C29-1</f>
        <v>-0.0226447671002726</v>
      </c>
      <c r="E29" s="117" t="n">
        <f aca="false">1-C29</f>
        <v>0.0226447671002726</v>
      </c>
      <c r="G29" s="1" t="s">
        <v>165</v>
      </c>
      <c r="H29" s="1" t="n">
        <f aca="false">AVERAGE(J7,J12,J17,J22)</f>
        <v>1.00094445587351</v>
      </c>
      <c r="I29" s="1" t="n">
        <f aca="false">H29/H$30</f>
        <v>0.979103939348342</v>
      </c>
      <c r="J29" s="117" t="n">
        <f aca="false">I29-1</f>
        <v>-0.0208960606516576</v>
      </c>
      <c r="K29" s="117" t="n">
        <f aca="false">1-I29</f>
        <v>0.0208960606516576</v>
      </c>
      <c r="M29" s="1" t="s">
        <v>165</v>
      </c>
      <c r="N29" s="1" t="n">
        <f aca="false">AVERAGE(P7,P12,P17,P22)</f>
        <v>1.00417138994587</v>
      </c>
      <c r="O29" s="1" t="n">
        <f aca="false">N29/N$30</f>
        <v>0.969120535706123</v>
      </c>
      <c r="P29" s="117" t="n">
        <f aca="false">O29-1</f>
        <v>-0.0308794642938772</v>
      </c>
      <c r="Q29" s="117" t="n">
        <f aca="false">1-O29</f>
        <v>0.0308794642938772</v>
      </c>
      <c r="S29" s="1" t="s">
        <v>165</v>
      </c>
      <c r="T29" s="1" t="n">
        <f aca="false">AVERAGE(V7,V12,V17,V22)</f>
        <v>1.0587902374566</v>
      </c>
      <c r="U29" s="1" t="n">
        <f aca="false">T29/T$30</f>
        <v>1.04490584193769</v>
      </c>
      <c r="V29" s="117" t="n">
        <f aca="false">U29-1</f>
        <v>0.0449058419376909</v>
      </c>
      <c r="W29" s="117" t="n">
        <f aca="false">1-U29</f>
        <v>-0.0449058419376909</v>
      </c>
      <c r="Y29" s="1" t="s">
        <v>165</v>
      </c>
      <c r="Z29" s="1" t="n">
        <f aca="false">AVERAGE(AB7,AB12,AB17,AB22)</f>
        <v>0.985192719747721</v>
      </c>
      <c r="AA29" s="1" t="n">
        <f aca="false">Z29/Z$30</f>
        <v>0.975462019339361</v>
      </c>
      <c r="AB29" s="117" t="n">
        <f aca="false">AA29-1</f>
        <v>-0.0245379806606389</v>
      </c>
      <c r="AC29" s="117" t="n">
        <f aca="false">1-AA29</f>
        <v>0.0245379806606389</v>
      </c>
      <c r="AE29" s="1" t="s">
        <v>165</v>
      </c>
      <c r="AF29" s="1" t="n">
        <f aca="false">AVERAGE(AH7,AH12,AH17,AH22)</f>
        <v>1.00084546181996</v>
      </c>
      <c r="AG29" s="1" t="n">
        <f aca="false">AF29/AF$30</f>
        <v>0.981567877351365</v>
      </c>
      <c r="AH29" s="117" t="n">
        <f aca="false">AG29-1</f>
        <v>-0.0184321226486347</v>
      </c>
      <c r="AI29" s="117" t="n">
        <f aca="false">1-AG29</f>
        <v>0.0184321226486347</v>
      </c>
      <c r="AK29" s="1" t="s">
        <v>165</v>
      </c>
      <c r="AL29" s="1" t="n">
        <f aca="false">AVERAGE(AN7,AN12,AN17,AN22)</f>
        <v>0.996537378126008</v>
      </c>
      <c r="AM29" s="1" t="n">
        <f aca="false">AL29/AL$30</f>
        <v>0.974576236415903</v>
      </c>
      <c r="AN29" s="117" t="n">
        <f aca="false">AM29-1</f>
        <v>-0.0254237635840968</v>
      </c>
      <c r="AO29" s="117" t="n">
        <f aca="false">1-AM29</f>
        <v>0.0254237635840968</v>
      </c>
      <c r="AQ29" s="1" t="s">
        <v>165</v>
      </c>
      <c r="AR29" s="1" t="n">
        <f aca="false">AVERAGE(AT7,AT12,AT17,AT22)</f>
        <v>1.01393965120229</v>
      </c>
      <c r="AS29" s="1" t="n">
        <f aca="false">AR29/AR$30</f>
        <v>1.00541616987098</v>
      </c>
      <c r="AT29" s="117" t="n">
        <f aca="false">AS29-1</f>
        <v>0.00541616987098204</v>
      </c>
      <c r="AU29" s="117" t="n">
        <f aca="false">1-AS29</f>
        <v>-0.00541616987098204</v>
      </c>
      <c r="AW29" s="1" t="s">
        <v>165</v>
      </c>
      <c r="AX29" s="1" t="n">
        <f aca="false">AVERAGE(AZ7,AZ12,AZ17,AZ22)</f>
        <v>0.993324547712705</v>
      </c>
      <c r="AY29" s="1" t="n">
        <f aca="false">AX29/AX$30</f>
        <v>0.973948066325744</v>
      </c>
      <c r="AZ29" s="117" t="n">
        <f aca="false">AY29-1</f>
        <v>-0.026051933674256</v>
      </c>
      <c r="BA29" s="117" t="n">
        <f aca="false">1-AY29</f>
        <v>0.026051933674256</v>
      </c>
    </row>
    <row r="30" customFormat="false" ht="12.8" hidden="false" customHeight="false" outlineLevel="0" collapsed="false">
      <c r="B30" s="1" t="n">
        <f aca="false">AVERAGE(B25:B29)</f>
        <v>1.0233113651715</v>
      </c>
      <c r="C30" s="1" t="n">
        <f aca="false">B30/B$30</f>
        <v>1</v>
      </c>
      <c r="D30" s="1" t="n">
        <v>1</v>
      </c>
      <c r="G30" s="1"/>
      <c r="H30" s="1" t="n">
        <f aca="false">AVERAGE(H25:H29)</f>
        <v>1.02230663737264</v>
      </c>
      <c r="I30" s="1" t="n">
        <f aca="false">H30/H$30</f>
        <v>1</v>
      </c>
      <c r="J30" s="1" t="n">
        <v>1</v>
      </c>
      <c r="M30" s="1"/>
      <c r="N30" s="1" t="n">
        <f aca="false">AVERAGE(N25:N29)</f>
        <v>1.03616769323148</v>
      </c>
      <c r="O30" s="1" t="n">
        <f aca="false">N30/N$30</f>
        <v>1</v>
      </c>
      <c r="P30" s="1" t="n">
        <v>1</v>
      </c>
      <c r="T30" s="1" t="n">
        <f aca="false">AVERAGE(T25:T29)</f>
        <v>1.01328770015599</v>
      </c>
      <c r="U30" s="1" t="n">
        <f aca="false">T30/T$30</f>
        <v>1</v>
      </c>
      <c r="V30" s="1" t="n">
        <v>1</v>
      </c>
      <c r="Y30" s="1"/>
      <c r="Z30" s="1" t="n">
        <f aca="false">AVERAGE(Z25:Z29)</f>
        <v>1.00997547850705</v>
      </c>
      <c r="AA30" s="1" t="n">
        <f aca="false">Z30/Z$30</f>
        <v>1</v>
      </c>
      <c r="AB30" s="1" t="n">
        <v>1</v>
      </c>
      <c r="AE30" s="1"/>
      <c r="AF30" s="1" t="n">
        <f aca="false">AVERAGE(AF25:AF29)</f>
        <v>1.01963958368382</v>
      </c>
      <c r="AG30" s="1" t="n">
        <f aca="false">AF30/AF$30</f>
        <v>1</v>
      </c>
      <c r="AH30" s="1" t="n">
        <v>1</v>
      </c>
      <c r="AK30" s="1"/>
      <c r="AL30" s="1" t="n">
        <f aca="false">AVERAGE(AL25:AL29)</f>
        <v>1.02253404186302</v>
      </c>
      <c r="AM30" s="1" t="n">
        <f aca="false">AL30/AL$30</f>
        <v>1</v>
      </c>
      <c r="AN30" s="1" t="n">
        <v>1</v>
      </c>
      <c r="AQ30" s="1"/>
      <c r="AR30" s="1" t="n">
        <f aca="false">AVERAGE(AR25:AR29)</f>
        <v>1.00847756539702</v>
      </c>
      <c r="AS30" s="1" t="n">
        <f aca="false">AR30/AR$30</f>
        <v>1</v>
      </c>
      <c r="AT30" s="1" t="n">
        <v>1</v>
      </c>
      <c r="AW30" s="1"/>
      <c r="AX30" s="1" t="n">
        <f aca="false">AVERAGE(AX25:AX29)</f>
        <v>1.01989477884592</v>
      </c>
      <c r="AY30" s="1" t="n">
        <f aca="false">AX30/AX$30</f>
        <v>1</v>
      </c>
      <c r="AZ30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2A6099"/>
    <pageSetUpPr fitToPage="false"/>
  </sheetPr>
  <dimension ref="A2:AS110"/>
  <sheetViews>
    <sheetView showFormulas="false" showGridLines="true" showRowColHeaders="true" showZeros="true" rightToLeft="false" tabSelected="false" showOutlineSymbols="true" defaultGridColor="true" view="normal" topLeftCell="A8" colorId="64" zoomScale="55" zoomScaleNormal="55" zoomScalePageLayoutView="100" workbookViewId="0">
      <selection pane="topLeft" activeCell="I3" activeCellId="0" sqref="I3"/>
    </sheetView>
  </sheetViews>
  <sheetFormatPr defaultColWidth="11.53515625" defaultRowHeight="12.8" zeroHeight="false" outlineLevelRow="0" outlineLevelCol="0"/>
  <sheetData>
    <row r="2" customFormat="false" ht="12.8" hidden="false" customHeight="false" outlineLevel="0" collapsed="false">
      <c r="A2" s="18" t="s">
        <v>178</v>
      </c>
      <c r="B2" s="18" t="s">
        <v>81</v>
      </c>
      <c r="C2" s="18" t="s">
        <v>82</v>
      </c>
      <c r="D2" s="18" t="s">
        <v>83</v>
      </c>
      <c r="E2" s="18" t="s">
        <v>84</v>
      </c>
      <c r="F2" s="18" t="s">
        <v>85</v>
      </c>
      <c r="G2" s="18" t="s">
        <v>86</v>
      </c>
      <c r="H2" s="18" t="s">
        <v>87</v>
      </c>
      <c r="I2" s="18" t="s">
        <v>88</v>
      </c>
      <c r="J2" s="18" t="s">
        <v>89</v>
      </c>
    </row>
    <row r="3" customFormat="false" ht="12.8" hidden="false" customHeight="false" outlineLevel="0" collapsed="false">
      <c r="A3" s="1" t="s">
        <v>176</v>
      </c>
      <c r="B3" s="1" t="n">
        <v>1000</v>
      </c>
      <c r="C3" s="1" t="n">
        <v>1000</v>
      </c>
      <c r="D3" s="1" t="n">
        <v>1000</v>
      </c>
      <c r="E3" s="1" t="n">
        <v>1000</v>
      </c>
      <c r="F3" s="1" t="n">
        <v>1000</v>
      </c>
      <c r="G3" s="1" t="n">
        <v>1000</v>
      </c>
      <c r="H3" s="1" t="n">
        <v>1000</v>
      </c>
      <c r="I3" s="1" t="n">
        <v>1000</v>
      </c>
      <c r="J3" s="1" t="n">
        <v>1000</v>
      </c>
    </row>
    <row r="4" customFormat="false" ht="12.8" hidden="false" customHeight="false" outlineLevel="0" collapsed="false">
      <c r="A4" s="1" t="s">
        <v>78</v>
      </c>
      <c r="B4" s="1" t="n">
        <v>1007.49769856477</v>
      </c>
      <c r="C4" s="1" t="n">
        <v>1007.5505004377</v>
      </c>
      <c r="D4" s="1" t="n">
        <v>1018.39909504945</v>
      </c>
      <c r="E4" s="1" t="n">
        <v>991.97300854958</v>
      </c>
      <c r="F4" s="1" t="n">
        <v>1043.08020190526</v>
      </c>
      <c r="G4" s="1" t="n">
        <v>1001.33283078723</v>
      </c>
      <c r="H4" s="1" t="n">
        <v>1030.9030272234</v>
      </c>
      <c r="I4" s="1" t="n">
        <v>1009.53421052523</v>
      </c>
      <c r="J4" s="1" t="n">
        <v>1026.8993497</v>
      </c>
    </row>
    <row r="5" customFormat="false" ht="12.8" hidden="false" customHeight="false" outlineLevel="0" collapsed="false">
      <c r="A5" s="156" t="s">
        <v>77</v>
      </c>
      <c r="B5" s="156" t="n">
        <v>1023.46907751266</v>
      </c>
      <c r="C5" s="156" t="n">
        <v>1023.37286583693</v>
      </c>
      <c r="D5" s="156" t="n">
        <v>1043.44597520819</v>
      </c>
      <c r="E5" s="156" t="n">
        <v>968.504172137741</v>
      </c>
      <c r="F5" s="156" t="n">
        <v>1021.7719939654</v>
      </c>
      <c r="G5" s="156" t="n">
        <v>1009.15699410474</v>
      </c>
      <c r="H5" s="156" t="n">
        <v>1013.07435767144</v>
      </c>
      <c r="I5" s="1" t="n">
        <v>1024.21623283919</v>
      </c>
      <c r="J5" s="156" t="n">
        <v>973.983459501735</v>
      </c>
    </row>
    <row r="6" customFormat="false" ht="12.8" hidden="false" customHeight="false" outlineLevel="0" collapsed="false">
      <c r="A6" s="158" t="s">
        <v>76</v>
      </c>
      <c r="B6" s="158" t="n">
        <v>1031.37167369587</v>
      </c>
      <c r="C6" s="158" t="n">
        <v>1032.72512704403</v>
      </c>
      <c r="D6" s="158" t="n">
        <v>1055.31509503673</v>
      </c>
      <c r="E6" s="158" t="n">
        <v>992.882484477134</v>
      </c>
      <c r="F6" s="158" t="n">
        <v>1057.13951054373</v>
      </c>
      <c r="G6" s="158" t="n">
        <v>1006.21862527815</v>
      </c>
      <c r="H6" s="158" t="n">
        <v>1070.20494939053</v>
      </c>
      <c r="I6" s="1" t="n">
        <v>1030.59024208396</v>
      </c>
      <c r="J6" s="158" t="n">
        <v>1003.15926106259</v>
      </c>
    </row>
    <row r="7" customFormat="false" ht="12.8" hidden="false" customHeight="false" outlineLevel="0" collapsed="false">
      <c r="A7" s="1" t="s">
        <v>75</v>
      </c>
      <c r="B7" s="1" t="n">
        <v>1001.9714396309</v>
      </c>
      <c r="C7" s="1" t="n">
        <v>1001.13234218746</v>
      </c>
      <c r="D7" s="1" t="n">
        <v>967.355085415258</v>
      </c>
      <c r="E7" s="1" t="n">
        <v>964.450747154384</v>
      </c>
      <c r="F7" s="1" t="n">
        <v>1148.45507637991</v>
      </c>
      <c r="G7" s="1" t="n">
        <v>995.553513927524</v>
      </c>
      <c r="H7" s="1" t="n">
        <v>1116.03966988488</v>
      </c>
      <c r="I7" s="1" t="n">
        <v>999.647773779699</v>
      </c>
      <c r="J7" s="1" t="n">
        <v>992.253811546543</v>
      </c>
    </row>
    <row r="8" customFormat="false" ht="12.8" hidden="false" customHeight="false" outlineLevel="0" collapsed="false">
      <c r="A8" s="166" t="s">
        <v>74</v>
      </c>
      <c r="B8" s="1" t="n">
        <v>1068.43234745447</v>
      </c>
      <c r="C8" s="1" t="n">
        <v>1060.30138968193</v>
      </c>
      <c r="D8" s="1" t="n">
        <v>1088.53608504996</v>
      </c>
      <c r="E8" s="1" t="n">
        <v>965.867422312371</v>
      </c>
      <c r="F8" s="1" t="n">
        <v>1307.94718552635</v>
      </c>
      <c r="G8" s="1" t="n">
        <v>1017.81199720388</v>
      </c>
      <c r="H8" s="1" t="n">
        <v>1192.85626675545</v>
      </c>
      <c r="I8" s="1" t="n">
        <v>1054.6551341765</v>
      </c>
      <c r="J8" s="1" t="n">
        <v>985.813239720211</v>
      </c>
    </row>
    <row r="9" customFormat="false" ht="12.8" hidden="false" customHeight="false" outlineLevel="0" collapsed="false">
      <c r="A9" s="1" t="s">
        <v>73</v>
      </c>
      <c r="B9" s="1" t="n">
        <v>1096.5901077552</v>
      </c>
      <c r="C9" s="1" t="n">
        <v>1086.53707918444</v>
      </c>
      <c r="D9" s="1" t="n">
        <v>1090.78682444493</v>
      </c>
      <c r="E9" s="1" t="n">
        <v>958.504722226702</v>
      </c>
      <c r="F9" s="1" t="n">
        <v>1498.83587723517</v>
      </c>
      <c r="G9" s="1" t="n">
        <v>1047.06289775526</v>
      </c>
      <c r="H9" s="1" t="n">
        <v>1263.94899919983</v>
      </c>
      <c r="I9" s="1" t="n">
        <v>1088.23164608957</v>
      </c>
      <c r="J9" s="1" t="n">
        <v>1001.86958665258</v>
      </c>
    </row>
    <row r="10" customFormat="false" ht="12.8" hidden="false" customHeight="false" outlineLevel="0" collapsed="false">
      <c r="A10" s="156" t="s">
        <v>72</v>
      </c>
      <c r="B10" s="156" t="n">
        <v>1144.25447635615</v>
      </c>
      <c r="C10" s="156" t="n">
        <v>1130.45830835129</v>
      </c>
      <c r="D10" s="156" t="n">
        <v>1125.95373914014</v>
      </c>
      <c r="E10" s="156" t="n">
        <v>1061.50549576553</v>
      </c>
      <c r="F10" s="156" t="n">
        <v>1606.7889235658</v>
      </c>
      <c r="G10" s="156" t="n">
        <v>1083.16780667706</v>
      </c>
      <c r="H10" s="156" t="n">
        <v>1357.63347409367</v>
      </c>
      <c r="I10" s="1" t="n">
        <v>1125.35223713314</v>
      </c>
      <c r="J10" s="156" t="n">
        <v>1036.32546784094</v>
      </c>
    </row>
    <row r="11" customFormat="false" ht="12.8" hidden="false" customHeight="false" outlineLevel="0" collapsed="false">
      <c r="A11" s="158" t="s">
        <v>70</v>
      </c>
      <c r="B11" s="158" t="n">
        <v>944.657850094641</v>
      </c>
      <c r="C11" s="158" t="n">
        <v>942.308767803262</v>
      </c>
      <c r="D11" s="158" t="n">
        <v>893.588508237692</v>
      </c>
      <c r="E11" s="158" t="n">
        <v>1012.68992213886</v>
      </c>
      <c r="F11" s="158" t="n">
        <v>1238.06632726865</v>
      </c>
      <c r="G11" s="158" t="n">
        <v>929.293103874896</v>
      </c>
      <c r="H11" s="158" t="n">
        <v>1058.10598494273</v>
      </c>
      <c r="I11" s="1" t="n">
        <v>932.761442173415</v>
      </c>
      <c r="J11" s="158" t="n">
        <v>933.956092668926</v>
      </c>
    </row>
    <row r="12" customFormat="false" ht="12.8" hidden="false" customHeight="false" outlineLevel="0" collapsed="false">
      <c r="A12" s="1" t="s">
        <v>69</v>
      </c>
      <c r="B12" s="1" t="n">
        <v>1103.49461040936</v>
      </c>
      <c r="C12" s="1" t="n">
        <v>1086.07970695682</v>
      </c>
      <c r="D12" s="1" t="n">
        <v>999.074804279807</v>
      </c>
      <c r="E12" s="1" t="n">
        <v>1078.72071442258</v>
      </c>
      <c r="F12" s="1" t="n">
        <v>1617.30052070201</v>
      </c>
      <c r="G12" s="1" t="n">
        <v>1083.62135316918</v>
      </c>
      <c r="H12" s="1" t="n">
        <v>1202.20427187188</v>
      </c>
      <c r="I12" s="1" t="n">
        <v>1080.96058493448</v>
      </c>
      <c r="J12" s="1" t="n">
        <v>949.811539391652</v>
      </c>
    </row>
    <row r="13" s="40" customFormat="true" ht="12.8" hidden="false" customHeight="false" outlineLevel="0" collapsed="false">
      <c r="A13" s="166" t="s">
        <v>68</v>
      </c>
      <c r="B13" s="40" t="n">
        <v>1177.56827191917</v>
      </c>
      <c r="C13" s="40" t="n">
        <v>1156.02576880072</v>
      </c>
      <c r="D13" s="40" t="n">
        <v>1141.13414569332</v>
      </c>
      <c r="E13" s="40" t="n">
        <v>1094.71399173852</v>
      </c>
      <c r="F13" s="40" t="n">
        <v>1771.13595226588</v>
      </c>
      <c r="G13" s="40" t="n">
        <v>1110.4076570153</v>
      </c>
      <c r="H13" s="40" t="n">
        <v>1312.76830614498</v>
      </c>
      <c r="I13" s="1" t="n">
        <v>1149.67316794031</v>
      </c>
      <c r="J13" s="40" t="n">
        <v>962.880491332894</v>
      </c>
      <c r="Q13" s="1"/>
      <c r="AR13" s="1"/>
      <c r="AS13" s="1"/>
    </row>
    <row r="14" customFormat="false" ht="12.8" hidden="false" customHeight="false" outlineLevel="0" collapsed="false">
      <c r="A14" s="1" t="s">
        <v>67</v>
      </c>
      <c r="B14" s="1" t="n">
        <v>1157.48825490115</v>
      </c>
      <c r="C14" s="1" t="n">
        <v>1137.09762565566</v>
      </c>
      <c r="D14" s="1" t="n">
        <v>1112.65389212724</v>
      </c>
      <c r="E14" s="1" t="n">
        <v>1087.64308452214</v>
      </c>
      <c r="F14" s="1" t="n">
        <v>1708.07720253894</v>
      </c>
      <c r="G14" s="1" t="n">
        <v>1103.64221079996</v>
      </c>
      <c r="H14" s="1" t="n">
        <v>1309.82460444008</v>
      </c>
      <c r="I14" s="1" t="n">
        <v>1132.56355189635</v>
      </c>
      <c r="J14" s="1" t="n">
        <v>978.621277361791</v>
      </c>
    </row>
    <row r="15" customFormat="false" ht="12.8" hidden="false" customHeight="false" outlineLevel="0" collapsed="false">
      <c r="A15" s="156" t="s">
        <v>66</v>
      </c>
      <c r="B15" s="156" t="n">
        <v>1172.76677330007</v>
      </c>
      <c r="C15" s="156" t="n">
        <v>1147.91445477433</v>
      </c>
      <c r="D15" s="156" t="n">
        <v>1151.37942220665</v>
      </c>
      <c r="E15" s="156" t="n">
        <v>1140.61180981782</v>
      </c>
      <c r="F15" s="156" t="n">
        <v>1803.54363574996</v>
      </c>
      <c r="G15" s="156" t="n">
        <v>1083.94492976813</v>
      </c>
      <c r="H15" s="156" t="n">
        <v>1373.97569109822</v>
      </c>
      <c r="I15" s="1" t="n">
        <v>1141.3176727959</v>
      </c>
      <c r="J15" s="156" t="n">
        <v>994.939266319325</v>
      </c>
    </row>
    <row r="16" customFormat="false" ht="12.8" hidden="false" customHeight="false" outlineLevel="0" collapsed="false">
      <c r="A16" s="158" t="s">
        <v>65</v>
      </c>
      <c r="B16" s="158" t="n">
        <v>1240.79435920704</v>
      </c>
      <c r="C16" s="158" t="n">
        <v>1214.98292863787</v>
      </c>
      <c r="D16" s="158" t="n">
        <v>1208.11163120715</v>
      </c>
      <c r="E16" s="158" t="n">
        <v>1304.1922827886</v>
      </c>
      <c r="F16" s="158" t="n">
        <v>1966.13801286875</v>
      </c>
      <c r="G16" s="158" t="n">
        <v>1129.27794632521</v>
      </c>
      <c r="H16" s="158" t="n">
        <v>1414.91884377939</v>
      </c>
      <c r="I16" s="1" t="n">
        <v>1201.518748361</v>
      </c>
      <c r="J16" s="158" t="n">
        <v>1066.07001993893</v>
      </c>
    </row>
    <row r="17" customFormat="false" ht="12.8" hidden="false" customHeight="false" outlineLevel="0" collapsed="false">
      <c r="A17" s="1" t="s">
        <v>64</v>
      </c>
      <c r="B17" s="1" t="n">
        <v>1321.09879600648</v>
      </c>
      <c r="C17" s="1" t="n">
        <v>1291.75009395494</v>
      </c>
      <c r="D17" s="1" t="n">
        <v>1308.00740431248</v>
      </c>
      <c r="E17" s="1" t="n">
        <v>1275.99826797498</v>
      </c>
      <c r="F17" s="1" t="n">
        <v>2159.83665969291</v>
      </c>
      <c r="G17" s="1" t="n">
        <v>1192.44587674258</v>
      </c>
      <c r="H17" s="1" t="n">
        <v>1542.27190692296</v>
      </c>
      <c r="I17" s="1" t="n">
        <v>1282.0268233471</v>
      </c>
      <c r="J17" s="1" t="n">
        <v>1087.67942286592</v>
      </c>
    </row>
    <row r="18" customFormat="false" ht="12.8" hidden="false" customHeight="false" outlineLevel="0" collapsed="false">
      <c r="A18" s="166" t="s">
        <v>63</v>
      </c>
      <c r="B18" s="1" t="n">
        <v>1489.40185088379</v>
      </c>
      <c r="C18" s="1" t="n">
        <v>1442.5659041325</v>
      </c>
      <c r="D18" s="1" t="n">
        <v>1562.74740298156</v>
      </c>
      <c r="E18" s="1" t="n">
        <v>1498.02053658996</v>
      </c>
      <c r="F18" s="1" t="n">
        <v>2587.82091929685</v>
      </c>
      <c r="G18" s="1" t="n">
        <v>1228.9721608087</v>
      </c>
      <c r="H18" s="1" t="n">
        <v>1718.73339057198</v>
      </c>
      <c r="I18" s="1" t="n">
        <v>1427.65315560343</v>
      </c>
      <c r="J18" s="1" t="n">
        <v>1178.94185564387</v>
      </c>
    </row>
    <row r="19" customFormat="false" ht="12.8" hidden="false" customHeight="false" outlineLevel="0" collapsed="false">
      <c r="A19" s="1" t="s">
        <v>62</v>
      </c>
      <c r="B19" s="1" t="n">
        <v>1429.74716735523</v>
      </c>
      <c r="C19" s="1" t="n">
        <v>1387.5089758925</v>
      </c>
      <c r="D19" s="1" t="n">
        <v>1507.31959673565</v>
      </c>
      <c r="E19" s="1" t="n">
        <v>1590.09321478376</v>
      </c>
      <c r="F19" s="1" t="n">
        <v>2432.90857851927</v>
      </c>
      <c r="G19" s="1" t="n">
        <v>1160.68257446748</v>
      </c>
      <c r="H19" s="1" t="n">
        <v>1663.79013275861</v>
      </c>
      <c r="I19" s="1" t="n">
        <v>1363.34540926402</v>
      </c>
      <c r="J19" s="1" t="n">
        <v>1205.53413298421</v>
      </c>
    </row>
    <row r="20" customFormat="false" ht="12.8" hidden="false" customHeight="false" outlineLevel="0" collapsed="false">
      <c r="A20" s="156" t="s">
        <v>61</v>
      </c>
      <c r="B20" s="156" t="n">
        <v>1537.72825488232</v>
      </c>
      <c r="C20" s="156" t="n">
        <v>1485.27350460214</v>
      </c>
      <c r="D20" s="156" t="n">
        <v>1681.37343506626</v>
      </c>
      <c r="E20" s="156" t="n">
        <v>1575.39779170744</v>
      </c>
      <c r="F20" s="156" t="n">
        <v>2675.76581050053</v>
      </c>
      <c r="G20" s="156" t="n">
        <v>1193.78975802594</v>
      </c>
      <c r="H20" s="156" t="n">
        <v>1797.02475863398</v>
      </c>
      <c r="I20" s="1" t="n">
        <v>1465.62780445024</v>
      </c>
      <c r="J20" s="156" t="n">
        <v>1201.7430381435</v>
      </c>
    </row>
    <row r="21" customFormat="false" ht="12.8" hidden="false" customHeight="false" outlineLevel="0" collapsed="false">
      <c r="A21" s="158" t="s">
        <v>57</v>
      </c>
      <c r="B21" s="158" t="n">
        <v>1622.06970865643</v>
      </c>
      <c r="C21" s="158" t="n">
        <v>1562.72607290149</v>
      </c>
      <c r="D21" s="158" t="n">
        <v>1766.51992600362</v>
      </c>
      <c r="E21" s="158" t="n">
        <v>1895.53188445621</v>
      </c>
      <c r="F21" s="158" t="n">
        <v>2639.45350020853</v>
      </c>
      <c r="G21" s="158" t="n">
        <v>1261.59184698293</v>
      </c>
      <c r="H21" s="158" t="n">
        <v>1780.62997552756</v>
      </c>
      <c r="I21" s="1" t="n">
        <v>1523.59519925498</v>
      </c>
      <c r="J21" s="158" t="n">
        <v>1297.14889118046</v>
      </c>
    </row>
    <row r="22" customFormat="false" ht="12.8" hidden="false" customHeight="false" outlineLevel="0" collapsed="false">
      <c r="A22" s="1" t="s">
        <v>56</v>
      </c>
      <c r="B22" s="1" t="n">
        <v>1527.0059265432</v>
      </c>
      <c r="C22" s="1" t="n">
        <v>1479.81565977561</v>
      </c>
      <c r="D22" s="1" t="n">
        <v>1594.19653665369</v>
      </c>
      <c r="E22" s="1" t="n">
        <v>1568.06374434358</v>
      </c>
      <c r="F22" s="1" t="n">
        <v>2426.15524098804</v>
      </c>
      <c r="G22" s="1" t="n">
        <v>1312.96454949235</v>
      </c>
      <c r="H22" s="1" t="n">
        <v>1690.06734301718</v>
      </c>
      <c r="I22" s="1" t="n">
        <v>1457.22441107701</v>
      </c>
      <c r="J22" s="1" t="n">
        <v>1178.9377476732</v>
      </c>
    </row>
    <row r="23" customFormat="false" ht="12.8" hidden="false" customHeight="false" outlineLevel="0" collapsed="false">
      <c r="A23" s="166" t="s">
        <v>55</v>
      </c>
      <c r="B23" s="1" t="n">
        <v>1502.74253104396</v>
      </c>
      <c r="C23" s="1" t="n">
        <v>1456.55058843393</v>
      </c>
      <c r="D23" s="1" t="n">
        <v>1602.32224251837</v>
      </c>
      <c r="E23" s="1" t="n">
        <v>1201.25690599736</v>
      </c>
      <c r="F23" s="1" t="n">
        <v>2437.14372586559</v>
      </c>
      <c r="G23" s="1" t="n">
        <v>1303.27280949414</v>
      </c>
      <c r="H23" s="1" t="n">
        <v>1681.26252095343</v>
      </c>
      <c r="I23" s="1" t="n">
        <v>1454.99671254743</v>
      </c>
      <c r="J23" s="1" t="n">
        <v>1068.15005105525</v>
      </c>
    </row>
    <row r="24" customFormat="false" ht="12.8" hidden="false" customHeight="false" outlineLevel="0" collapsed="false">
      <c r="A24" s="1" t="s">
        <v>54</v>
      </c>
      <c r="B24" s="1" t="n">
        <v>1425.47429888632</v>
      </c>
      <c r="C24" s="1" t="n">
        <v>1386.70086748513</v>
      </c>
      <c r="D24" s="1" t="n">
        <v>1521.00706485767</v>
      </c>
      <c r="E24" s="1" t="n">
        <v>1220.14588539237</v>
      </c>
      <c r="F24" s="1" t="n">
        <v>2299.1265792002</v>
      </c>
      <c r="G24" s="1" t="n">
        <v>1234.3753490151</v>
      </c>
      <c r="H24" s="1" t="n">
        <v>1631.4006529878</v>
      </c>
      <c r="I24" s="1" t="n">
        <v>1380.45750697927</v>
      </c>
      <c r="J24" s="1" t="n">
        <v>1062.29082808812</v>
      </c>
    </row>
    <row r="25" customFormat="false" ht="12.8" hidden="false" customHeight="false" outlineLevel="0" collapsed="false">
      <c r="A25" s="156" t="s">
        <v>53</v>
      </c>
      <c r="B25" s="156" t="n">
        <v>1489.65824689988</v>
      </c>
      <c r="C25" s="156" t="n">
        <v>1448.60245707112</v>
      </c>
      <c r="D25" s="156" t="n">
        <v>1566.58723276744</v>
      </c>
      <c r="E25" s="156" t="n">
        <v>1238.52749779118</v>
      </c>
      <c r="F25" s="156" t="n">
        <v>2490.53645596309</v>
      </c>
      <c r="G25" s="156" t="n">
        <v>1293.46867246783</v>
      </c>
      <c r="H25" s="156" t="n">
        <v>1650.67197000228</v>
      </c>
      <c r="I25" s="1" t="n">
        <v>1446.98670559127</v>
      </c>
      <c r="J25" s="156" t="n">
        <v>1084.71678336241</v>
      </c>
    </row>
    <row r="26" customFormat="false" ht="12.8" hidden="false" customHeight="false" outlineLevel="0" collapsed="false">
      <c r="A26" s="158" t="s">
        <v>52</v>
      </c>
      <c r="B26" s="158" t="n">
        <v>1572.64250422039</v>
      </c>
      <c r="C26" s="158" t="n">
        <v>1526.01162900482</v>
      </c>
      <c r="D26" s="158" t="n">
        <v>1638.62094795298</v>
      </c>
      <c r="E26" s="158" t="n">
        <v>1288.34592956504</v>
      </c>
      <c r="F26" s="158" t="n">
        <v>2631.11374483153</v>
      </c>
      <c r="G26" s="158" t="n">
        <v>1374.44602131255</v>
      </c>
      <c r="H26" s="158" t="n">
        <v>1706.45628544561</v>
      </c>
      <c r="I26" s="1" t="n">
        <v>1511.7682319447</v>
      </c>
      <c r="J26" s="158" t="n">
        <v>1093.27520018645</v>
      </c>
    </row>
    <row r="27" customFormat="false" ht="12.8" hidden="false" customHeight="false" outlineLevel="0" collapsed="false">
      <c r="A27" s="1" t="s">
        <v>51</v>
      </c>
      <c r="B27" s="1" t="n">
        <v>1571.72255465698</v>
      </c>
      <c r="C27" s="1" t="n">
        <v>1524.39204149411</v>
      </c>
      <c r="D27" s="1" t="n">
        <v>1557.88154275155</v>
      </c>
      <c r="E27" s="1" t="n">
        <v>1253.03948374645</v>
      </c>
      <c r="F27" s="1" t="n">
        <v>2629.06342919543</v>
      </c>
      <c r="G27" s="1" t="n">
        <v>1450.54356296467</v>
      </c>
      <c r="H27" s="1" t="n">
        <v>1668.48895819827</v>
      </c>
      <c r="I27" s="1" t="n">
        <v>1512.66186009343</v>
      </c>
      <c r="J27" s="1" t="n">
        <v>1074.56276120768</v>
      </c>
    </row>
    <row r="28" customFormat="false" ht="12.8" hidden="false" customHeight="false" outlineLevel="0" collapsed="false">
      <c r="A28" s="166" t="s">
        <v>50</v>
      </c>
      <c r="B28" s="1" t="n">
        <v>1588.26575558469</v>
      </c>
      <c r="C28" s="1" t="n">
        <v>1537.04718235714</v>
      </c>
      <c r="D28" s="1" t="n">
        <v>1649.44676758636</v>
      </c>
      <c r="E28" s="1" t="n">
        <v>1213.14122036019</v>
      </c>
      <c r="F28" s="1" t="n">
        <v>2567.71841734088</v>
      </c>
      <c r="G28" s="1" t="n">
        <v>1440.14010975847</v>
      </c>
      <c r="H28" s="1" t="n">
        <v>1683.80905655528</v>
      </c>
      <c r="I28" s="1" t="n">
        <v>1538.34889527357</v>
      </c>
      <c r="J28" s="1" t="n">
        <v>1131.52537032191</v>
      </c>
    </row>
    <row r="29" customFormat="false" ht="12.8" hidden="false" customHeight="false" outlineLevel="0" collapsed="false">
      <c r="A29" s="1" t="s">
        <v>33</v>
      </c>
      <c r="B29" s="1" t="n">
        <v>1594.73098952601</v>
      </c>
      <c r="C29" s="1" t="n">
        <v>1544.32390293204</v>
      </c>
      <c r="D29" s="1" t="n">
        <v>1667.04031009066</v>
      </c>
      <c r="E29" s="1" t="n">
        <v>1210.87878571249</v>
      </c>
      <c r="F29" s="1" t="n">
        <v>2574.74613588176</v>
      </c>
      <c r="G29" s="1" t="n">
        <v>1440.61538307566</v>
      </c>
      <c r="H29" s="1" t="n">
        <v>1694.69023964302</v>
      </c>
      <c r="I29" s="1" t="n">
        <v>1548.88334963042</v>
      </c>
      <c r="J29" s="1" t="n">
        <v>1154.72394934038</v>
      </c>
    </row>
    <row r="30" customFormat="false" ht="12.8" hidden="false" customHeight="false" outlineLevel="0" collapsed="false">
      <c r="A30" s="156" t="s">
        <v>35</v>
      </c>
      <c r="B30" s="156" t="n">
        <v>1642.13923034423</v>
      </c>
      <c r="C30" s="156" t="n">
        <v>1588.47620755325</v>
      </c>
      <c r="D30" s="156" t="n">
        <v>1810.70093415713</v>
      </c>
      <c r="E30" s="156" t="n">
        <v>1291.33189068898</v>
      </c>
      <c r="F30" s="156" t="n">
        <v>2653.99511190498</v>
      </c>
      <c r="G30" s="156" t="n">
        <v>1371.09995242497</v>
      </c>
      <c r="H30" s="156" t="n">
        <v>1786.14649588524</v>
      </c>
      <c r="I30" s="1" t="n">
        <v>1584.1713452613</v>
      </c>
      <c r="J30" s="156" t="n">
        <v>1159.38749387483</v>
      </c>
    </row>
    <row r="31" customFormat="false" ht="12.8" hidden="false" customHeight="false" outlineLevel="0" collapsed="false">
      <c r="A31" s="158" t="s">
        <v>37</v>
      </c>
      <c r="B31" s="158" t="n">
        <v>1969.35736658864</v>
      </c>
      <c r="C31" s="158" t="n">
        <v>1891.44356916948</v>
      </c>
      <c r="D31" s="158" t="n">
        <v>2307.01336719354</v>
      </c>
      <c r="E31" s="158" t="n">
        <v>1322.71395576813</v>
      </c>
      <c r="F31" s="158" t="n">
        <v>3012.59946858045</v>
      </c>
      <c r="G31" s="158" t="n">
        <v>1509.05164075589</v>
      </c>
      <c r="H31" s="158" t="n">
        <v>2063.84153072489</v>
      </c>
      <c r="I31" s="1" t="n">
        <v>1891.95422409844</v>
      </c>
      <c r="J31" s="158" t="n">
        <v>1203.41172922645</v>
      </c>
    </row>
    <row r="32" customFormat="false" ht="12.8" hidden="false" customHeight="false" outlineLevel="0" collapsed="false">
      <c r="A32" s="1" t="s">
        <v>40</v>
      </c>
      <c r="B32" s="1" t="n">
        <v>2116.32344991411</v>
      </c>
      <c r="C32" s="1" t="n">
        <v>2033.66179080457</v>
      </c>
      <c r="D32" s="1" t="n">
        <v>2599.17112228757</v>
      </c>
      <c r="E32" s="1" t="n">
        <v>1613.55935228735</v>
      </c>
      <c r="F32" s="1" t="n">
        <v>3014.03999044197</v>
      </c>
      <c r="G32" s="1" t="n">
        <v>1476.51319471387</v>
      </c>
      <c r="H32" s="1" t="n">
        <v>2249.99269915252</v>
      </c>
      <c r="I32" s="1" t="n">
        <v>2026.11739337336</v>
      </c>
      <c r="J32" s="1" t="n">
        <v>1335.61696621548</v>
      </c>
    </row>
    <row r="33" customFormat="false" ht="12.8" hidden="false" customHeight="false" outlineLevel="0" collapsed="false">
      <c r="A33" s="166" t="s">
        <v>44</v>
      </c>
      <c r="B33" s="1" t="n">
        <v>2314.06418594999</v>
      </c>
      <c r="C33" s="1" t="n">
        <v>2216.23792496176</v>
      </c>
      <c r="D33" s="1" t="n">
        <v>2967.16438808461</v>
      </c>
      <c r="E33" s="1" t="n">
        <v>1541.50383701283</v>
      </c>
      <c r="F33" s="1" t="n">
        <v>3261.83408666006</v>
      </c>
      <c r="G33" s="1" t="n">
        <v>1416.77812908266</v>
      </c>
      <c r="H33" s="1" t="n">
        <v>2529.4925034898</v>
      </c>
      <c r="I33" s="1" t="n">
        <v>2214.42983885283</v>
      </c>
      <c r="J33" s="1" t="n">
        <v>1371.98093037707</v>
      </c>
    </row>
    <row r="35" customFormat="false" ht="12.8" hidden="false" customHeight="false" outlineLevel="0" collapsed="false">
      <c r="A35" s="1" t="s">
        <v>178</v>
      </c>
      <c r="B35" s="1" t="s">
        <v>81</v>
      </c>
      <c r="C35" s="1" t="s">
        <v>82</v>
      </c>
      <c r="D35" s="1" t="s">
        <v>83</v>
      </c>
      <c r="E35" s="1" t="s">
        <v>84</v>
      </c>
      <c r="F35" s="1" t="s">
        <v>85</v>
      </c>
      <c r="G35" s="1" t="s">
        <v>86</v>
      </c>
      <c r="H35" s="1" t="s">
        <v>87</v>
      </c>
      <c r="I35" s="1" t="s">
        <v>88</v>
      </c>
      <c r="J35" s="1" t="s">
        <v>89</v>
      </c>
    </row>
    <row r="36" customFormat="false" ht="12.8" hidden="false" customHeight="false" outlineLevel="0" collapsed="false">
      <c r="A36" s="1" t="s">
        <v>78</v>
      </c>
      <c r="B36" s="1" t="n">
        <v>1007.49769856477</v>
      </c>
      <c r="C36" s="1" t="n">
        <v>1007.5505004377</v>
      </c>
      <c r="D36" s="1" t="n">
        <v>1018.39909504945</v>
      </c>
      <c r="E36" s="1" t="n">
        <v>991.97300854958</v>
      </c>
      <c r="F36" s="1" t="n">
        <v>1043.08020190526</v>
      </c>
      <c r="G36" s="1" t="n">
        <v>1001.33283078723</v>
      </c>
      <c r="H36" s="1" t="n">
        <v>1030.9030272234</v>
      </c>
      <c r="I36" s="18" t="n">
        <v>1009.53421052523</v>
      </c>
      <c r="J36" s="1" t="n">
        <v>1026.8993497</v>
      </c>
    </row>
    <row r="37" customFormat="false" ht="12.8" hidden="false" customHeight="false" outlineLevel="0" collapsed="false">
      <c r="A37" s="156" t="s">
        <v>77</v>
      </c>
      <c r="B37" s="156" t="n">
        <v>1023.46907751266</v>
      </c>
      <c r="C37" s="156" t="n">
        <v>1023.37286583693</v>
      </c>
      <c r="D37" s="156" t="n">
        <v>1043.44597520819</v>
      </c>
      <c r="E37" s="156" t="n">
        <v>968.504172137741</v>
      </c>
      <c r="F37" s="156" t="n">
        <v>1021.7719939654</v>
      </c>
      <c r="G37" s="156" t="n">
        <v>1009.15699410474</v>
      </c>
      <c r="H37" s="156" t="n">
        <v>1013.07435767144</v>
      </c>
      <c r="I37" s="1" t="n">
        <v>1024.21623283919</v>
      </c>
      <c r="J37" s="156" t="n">
        <v>973.983459501735</v>
      </c>
    </row>
    <row r="38" customFormat="false" ht="12.8" hidden="false" customHeight="false" outlineLevel="0" collapsed="false">
      <c r="A38" s="158" t="s">
        <v>76</v>
      </c>
      <c r="B38" s="158" t="n">
        <v>1031.37167369587</v>
      </c>
      <c r="C38" s="158" t="n">
        <v>1032.72512704403</v>
      </c>
      <c r="D38" s="158" t="n">
        <v>1055.31509503673</v>
      </c>
      <c r="E38" s="158" t="n">
        <v>992.882484477134</v>
      </c>
      <c r="F38" s="158" t="n">
        <v>1057.13951054373</v>
      </c>
      <c r="G38" s="158" t="n">
        <v>1006.21862527815</v>
      </c>
      <c r="H38" s="158" t="n">
        <v>1070.20494939053</v>
      </c>
      <c r="I38" s="1" t="n">
        <v>1030.59024208396</v>
      </c>
      <c r="J38" s="158" t="n">
        <v>1003.15926106259</v>
      </c>
    </row>
    <row r="39" customFormat="false" ht="12.8" hidden="false" customHeight="false" outlineLevel="0" collapsed="false">
      <c r="A39" s="1" t="s">
        <v>75</v>
      </c>
      <c r="B39" s="1" t="n">
        <v>1001.9714396309</v>
      </c>
      <c r="C39" s="1" t="n">
        <v>1001.13234218746</v>
      </c>
      <c r="D39" s="1" t="n">
        <v>967.355085415258</v>
      </c>
      <c r="E39" s="1" t="n">
        <v>964.450747154384</v>
      </c>
      <c r="F39" s="1" t="n">
        <v>1148.45507637991</v>
      </c>
      <c r="G39" s="1" t="n">
        <v>995.553513927524</v>
      </c>
      <c r="H39" s="1" t="n">
        <v>1116.03966988488</v>
      </c>
      <c r="I39" s="1" t="n">
        <v>999.647773779699</v>
      </c>
      <c r="J39" s="1" t="n">
        <v>992.253811546543</v>
      </c>
    </row>
    <row r="40" customFormat="false" ht="12.8" hidden="false" customHeight="false" outlineLevel="0" collapsed="false">
      <c r="A40" s="1" t="s">
        <v>73</v>
      </c>
      <c r="B40" s="1" t="n">
        <v>1096.5901077552</v>
      </c>
      <c r="C40" s="1" t="n">
        <v>1086.53707918444</v>
      </c>
      <c r="D40" s="1" t="n">
        <v>1090.78682444493</v>
      </c>
      <c r="E40" s="1" t="n">
        <v>958.504722226702</v>
      </c>
      <c r="F40" s="1" t="n">
        <v>1498.83587723517</v>
      </c>
      <c r="G40" s="1" t="n">
        <v>1047.06289775526</v>
      </c>
      <c r="H40" s="1" t="n">
        <v>1263.94899919983</v>
      </c>
      <c r="I40" s="1" t="n">
        <v>1088.23164608957</v>
      </c>
      <c r="J40" s="1" t="n">
        <v>1001.86958665258</v>
      </c>
    </row>
    <row r="41" customFormat="false" ht="12.8" hidden="false" customHeight="false" outlineLevel="0" collapsed="false">
      <c r="A41" s="156" t="s">
        <v>72</v>
      </c>
      <c r="B41" s="156" t="n">
        <v>1144.25447635615</v>
      </c>
      <c r="C41" s="156" t="n">
        <v>1130.45830835129</v>
      </c>
      <c r="D41" s="156" t="n">
        <v>1125.95373914014</v>
      </c>
      <c r="E41" s="156" t="n">
        <v>1061.50549576553</v>
      </c>
      <c r="F41" s="156" t="n">
        <v>1606.7889235658</v>
      </c>
      <c r="G41" s="156" t="n">
        <v>1083.16780667706</v>
      </c>
      <c r="H41" s="156" t="n">
        <v>1357.63347409367</v>
      </c>
      <c r="I41" s="1" t="n">
        <v>1125.35223713314</v>
      </c>
      <c r="J41" s="156" t="n">
        <v>1036.32546784094</v>
      </c>
    </row>
    <row r="42" customFormat="false" ht="12.8" hidden="false" customHeight="false" outlineLevel="0" collapsed="false">
      <c r="A42" s="158" t="s">
        <v>70</v>
      </c>
      <c r="B42" s="158" t="n">
        <v>944.657850094641</v>
      </c>
      <c r="C42" s="158" t="n">
        <v>942.308767803262</v>
      </c>
      <c r="D42" s="158" t="n">
        <v>893.588508237692</v>
      </c>
      <c r="E42" s="158" t="n">
        <v>1012.68992213886</v>
      </c>
      <c r="F42" s="158" t="n">
        <v>1238.06632726865</v>
      </c>
      <c r="G42" s="158" t="n">
        <v>929.293103874896</v>
      </c>
      <c r="H42" s="158" t="n">
        <v>1058.10598494273</v>
      </c>
      <c r="I42" s="1" t="n">
        <v>932.761442173415</v>
      </c>
      <c r="J42" s="158" t="n">
        <v>933.956092668926</v>
      </c>
    </row>
    <row r="43" customFormat="false" ht="12.8" hidden="false" customHeight="false" outlineLevel="0" collapsed="false">
      <c r="A43" s="1" t="s">
        <v>69</v>
      </c>
      <c r="B43" s="1" t="n">
        <v>1103.49461040936</v>
      </c>
      <c r="C43" s="1" t="n">
        <v>1086.07970695682</v>
      </c>
      <c r="D43" s="1" t="n">
        <v>999.074804279807</v>
      </c>
      <c r="E43" s="1" t="n">
        <v>1078.72071442258</v>
      </c>
      <c r="F43" s="1" t="n">
        <v>1617.30052070201</v>
      </c>
      <c r="G43" s="1" t="n">
        <v>1083.62135316918</v>
      </c>
      <c r="H43" s="1" t="n">
        <v>1202.20427187188</v>
      </c>
      <c r="I43" s="1" t="n">
        <v>1080.96058493448</v>
      </c>
      <c r="J43" s="1" t="n">
        <v>949.811539391652</v>
      </c>
    </row>
    <row r="44" customFormat="false" ht="12.8" hidden="false" customHeight="false" outlineLevel="0" collapsed="false">
      <c r="A44" s="1" t="s">
        <v>67</v>
      </c>
      <c r="B44" s="1" t="n">
        <v>1157.48825490115</v>
      </c>
      <c r="C44" s="1" t="n">
        <v>1137.09762565566</v>
      </c>
      <c r="D44" s="1" t="n">
        <v>1112.65389212724</v>
      </c>
      <c r="E44" s="1" t="n">
        <v>1087.64308452214</v>
      </c>
      <c r="F44" s="1" t="n">
        <v>1708.07720253894</v>
      </c>
      <c r="G44" s="1" t="n">
        <v>1103.64221079996</v>
      </c>
      <c r="H44" s="1" t="n">
        <v>1309.82460444008</v>
      </c>
      <c r="I44" s="1" t="n">
        <v>1132.56355189635</v>
      </c>
      <c r="J44" s="1" t="n">
        <v>978.621277361791</v>
      </c>
    </row>
    <row r="45" customFormat="false" ht="12.8" hidden="false" customHeight="false" outlineLevel="0" collapsed="false">
      <c r="A45" s="156" t="s">
        <v>66</v>
      </c>
      <c r="B45" s="156" t="n">
        <v>1172.76677330007</v>
      </c>
      <c r="C45" s="156" t="n">
        <v>1147.91445477433</v>
      </c>
      <c r="D45" s="156" t="n">
        <v>1151.37942220665</v>
      </c>
      <c r="E45" s="156" t="n">
        <v>1140.61180981782</v>
      </c>
      <c r="F45" s="156" t="n">
        <v>1803.54363574996</v>
      </c>
      <c r="G45" s="156" t="n">
        <v>1083.94492976813</v>
      </c>
      <c r="H45" s="156" t="n">
        <v>1373.97569109822</v>
      </c>
      <c r="I45" s="1" t="n">
        <v>1141.3176727959</v>
      </c>
      <c r="J45" s="156" t="n">
        <v>994.939266319325</v>
      </c>
    </row>
    <row r="46" customFormat="false" ht="12.8" hidden="false" customHeight="false" outlineLevel="0" collapsed="false">
      <c r="A46" s="158" t="s">
        <v>65</v>
      </c>
      <c r="B46" s="158" t="n">
        <v>1240.79435920704</v>
      </c>
      <c r="C46" s="158" t="n">
        <v>1214.98292863787</v>
      </c>
      <c r="D46" s="158" t="n">
        <v>1208.11163120715</v>
      </c>
      <c r="E46" s="158" t="n">
        <v>1304.1922827886</v>
      </c>
      <c r="F46" s="158" t="n">
        <v>1966.13801286875</v>
      </c>
      <c r="G46" s="158" t="n">
        <v>1129.27794632521</v>
      </c>
      <c r="H46" s="158" t="n">
        <v>1414.91884377939</v>
      </c>
      <c r="I46" s="1" t="n">
        <v>1201.518748361</v>
      </c>
      <c r="J46" s="158" t="n">
        <v>1066.07001993893</v>
      </c>
    </row>
    <row r="47" customFormat="false" ht="12.8" hidden="false" customHeight="false" outlineLevel="0" collapsed="false">
      <c r="A47" s="1" t="s">
        <v>64</v>
      </c>
      <c r="B47" s="1" t="n">
        <v>1321.09879600648</v>
      </c>
      <c r="C47" s="1" t="n">
        <v>1291.75009395494</v>
      </c>
      <c r="D47" s="1" t="n">
        <v>1308.00740431248</v>
      </c>
      <c r="E47" s="1" t="n">
        <v>1275.99826797498</v>
      </c>
      <c r="F47" s="1" t="n">
        <v>2159.83665969291</v>
      </c>
      <c r="G47" s="1" t="n">
        <v>1192.44587674258</v>
      </c>
      <c r="H47" s="1" t="n">
        <v>1542.27190692296</v>
      </c>
      <c r="I47" s="1" t="n">
        <v>1282.0268233471</v>
      </c>
      <c r="J47" s="1" t="n">
        <v>1087.67942286592</v>
      </c>
    </row>
    <row r="48" customFormat="false" ht="12.8" hidden="false" customHeight="false" outlineLevel="0" collapsed="false">
      <c r="A48" s="1" t="s">
        <v>62</v>
      </c>
      <c r="B48" s="1" t="n">
        <v>1429.74716735523</v>
      </c>
      <c r="C48" s="1" t="n">
        <v>1387.5089758925</v>
      </c>
      <c r="D48" s="1" t="n">
        <v>1507.31959673565</v>
      </c>
      <c r="E48" s="1" t="n">
        <v>1590.09321478376</v>
      </c>
      <c r="F48" s="1" t="n">
        <v>2432.90857851927</v>
      </c>
      <c r="G48" s="1" t="n">
        <v>1160.68257446748</v>
      </c>
      <c r="H48" s="1" t="n">
        <v>1663.79013275861</v>
      </c>
      <c r="I48" s="1" t="n">
        <v>1363.34540926402</v>
      </c>
      <c r="J48" s="1" t="n">
        <v>1205.53413298421</v>
      </c>
    </row>
    <row r="49" customFormat="false" ht="12.8" hidden="false" customHeight="false" outlineLevel="0" collapsed="false">
      <c r="A49" s="156" t="s">
        <v>61</v>
      </c>
      <c r="B49" s="156" t="n">
        <v>1537.72825488232</v>
      </c>
      <c r="C49" s="156" t="n">
        <v>1485.27350460214</v>
      </c>
      <c r="D49" s="156" t="n">
        <v>1681.37343506626</v>
      </c>
      <c r="E49" s="156" t="n">
        <v>1575.39779170744</v>
      </c>
      <c r="F49" s="156" t="n">
        <v>2675.76581050053</v>
      </c>
      <c r="G49" s="156" t="n">
        <v>1193.78975802594</v>
      </c>
      <c r="H49" s="156" t="n">
        <v>1797.02475863398</v>
      </c>
      <c r="I49" s="1" t="n">
        <v>1465.62780445024</v>
      </c>
      <c r="J49" s="156" t="n">
        <v>1201.7430381435</v>
      </c>
    </row>
    <row r="50" customFormat="false" ht="12.8" hidden="false" customHeight="false" outlineLevel="0" collapsed="false">
      <c r="A50" s="158" t="s">
        <v>57</v>
      </c>
      <c r="B50" s="158" t="n">
        <v>1622.06970865643</v>
      </c>
      <c r="C50" s="158" t="n">
        <v>1562.72607290149</v>
      </c>
      <c r="D50" s="158" t="n">
        <v>1766.51992600362</v>
      </c>
      <c r="E50" s="158" t="n">
        <v>1895.53188445621</v>
      </c>
      <c r="F50" s="158" t="n">
        <v>2639.45350020853</v>
      </c>
      <c r="G50" s="158" t="n">
        <v>1261.59184698293</v>
      </c>
      <c r="H50" s="158" t="n">
        <v>1780.62997552756</v>
      </c>
      <c r="I50" s="1" t="n">
        <v>1523.59519925498</v>
      </c>
      <c r="J50" s="158" t="n">
        <v>1297.14889118046</v>
      </c>
    </row>
    <row r="51" customFormat="false" ht="12.8" hidden="false" customHeight="false" outlineLevel="0" collapsed="false">
      <c r="A51" s="1" t="s">
        <v>56</v>
      </c>
      <c r="B51" s="1" t="n">
        <v>1527.0059265432</v>
      </c>
      <c r="C51" s="1" t="n">
        <v>1479.81565977561</v>
      </c>
      <c r="D51" s="1" t="n">
        <v>1594.19653665369</v>
      </c>
      <c r="E51" s="1" t="n">
        <v>1568.06374434358</v>
      </c>
      <c r="F51" s="1" t="n">
        <v>2426.15524098804</v>
      </c>
      <c r="G51" s="1" t="n">
        <v>1312.96454949235</v>
      </c>
      <c r="H51" s="1" t="n">
        <v>1690.06734301718</v>
      </c>
      <c r="I51" s="1" t="n">
        <v>1457.22441107701</v>
      </c>
      <c r="J51" s="1" t="n">
        <v>1178.9377476732</v>
      </c>
    </row>
    <row r="52" customFormat="false" ht="12.8" hidden="false" customHeight="false" outlineLevel="0" collapsed="false">
      <c r="A52" s="1" t="s">
        <v>54</v>
      </c>
      <c r="B52" s="1" t="n">
        <v>1425.47429888632</v>
      </c>
      <c r="C52" s="1" t="n">
        <v>1386.70086748513</v>
      </c>
      <c r="D52" s="1" t="n">
        <v>1521.00706485767</v>
      </c>
      <c r="E52" s="1" t="n">
        <v>1220.14588539237</v>
      </c>
      <c r="F52" s="1" t="n">
        <v>2299.1265792002</v>
      </c>
      <c r="G52" s="1" t="n">
        <v>1234.3753490151</v>
      </c>
      <c r="H52" s="1" t="n">
        <v>1631.4006529878</v>
      </c>
      <c r="I52" s="1" t="n">
        <v>1380.45750697927</v>
      </c>
      <c r="J52" s="1" t="n">
        <v>1062.29082808812</v>
      </c>
    </row>
    <row r="53" customFormat="false" ht="12.8" hidden="false" customHeight="false" outlineLevel="0" collapsed="false">
      <c r="A53" s="156" t="s">
        <v>53</v>
      </c>
      <c r="B53" s="156" t="n">
        <v>1489.65824689988</v>
      </c>
      <c r="C53" s="156" t="n">
        <v>1448.60245707112</v>
      </c>
      <c r="D53" s="156" t="n">
        <v>1566.58723276744</v>
      </c>
      <c r="E53" s="156" t="n">
        <v>1238.52749779118</v>
      </c>
      <c r="F53" s="156" t="n">
        <v>2490.53645596309</v>
      </c>
      <c r="G53" s="156" t="n">
        <v>1293.46867246783</v>
      </c>
      <c r="H53" s="156" t="n">
        <v>1650.67197000228</v>
      </c>
      <c r="I53" s="1" t="n">
        <v>1446.98670559127</v>
      </c>
      <c r="J53" s="156" t="n">
        <v>1084.71678336241</v>
      </c>
    </row>
    <row r="54" customFormat="false" ht="12.8" hidden="false" customHeight="false" outlineLevel="0" collapsed="false">
      <c r="A54" s="158" t="s">
        <v>52</v>
      </c>
      <c r="B54" s="158" t="n">
        <v>1572.64250422039</v>
      </c>
      <c r="C54" s="158" t="n">
        <v>1526.01162900482</v>
      </c>
      <c r="D54" s="158" t="n">
        <v>1638.62094795298</v>
      </c>
      <c r="E54" s="158" t="n">
        <v>1288.34592956504</v>
      </c>
      <c r="F54" s="158" t="n">
        <v>2631.11374483153</v>
      </c>
      <c r="G54" s="158" t="n">
        <v>1374.44602131255</v>
      </c>
      <c r="H54" s="158" t="n">
        <v>1706.45628544561</v>
      </c>
      <c r="I54" s="1" t="n">
        <v>1511.7682319447</v>
      </c>
      <c r="J54" s="158" t="n">
        <v>1093.27520018645</v>
      </c>
    </row>
    <row r="55" customFormat="false" ht="12.8" hidden="false" customHeight="false" outlineLevel="0" collapsed="false">
      <c r="A55" s="1" t="s">
        <v>51</v>
      </c>
      <c r="B55" s="1" t="n">
        <v>1571.72255465698</v>
      </c>
      <c r="C55" s="1" t="n">
        <v>1524.39204149411</v>
      </c>
      <c r="D55" s="1" t="n">
        <v>1557.88154275155</v>
      </c>
      <c r="E55" s="1" t="n">
        <v>1253.03948374645</v>
      </c>
      <c r="F55" s="1" t="n">
        <v>2629.06342919543</v>
      </c>
      <c r="G55" s="1" t="n">
        <v>1450.54356296467</v>
      </c>
      <c r="H55" s="1" t="n">
        <v>1668.48895819827</v>
      </c>
      <c r="I55" s="1" t="n">
        <v>1512.66186009343</v>
      </c>
      <c r="J55" s="1" t="n">
        <v>1074.56276120768</v>
      </c>
    </row>
    <row r="56" customFormat="false" ht="12.8" hidden="false" customHeight="false" outlineLevel="0" collapsed="false">
      <c r="A56" s="1" t="s">
        <v>33</v>
      </c>
      <c r="B56" s="1" t="n">
        <v>1594.73098952601</v>
      </c>
      <c r="C56" s="1" t="n">
        <v>1544.32390293204</v>
      </c>
      <c r="D56" s="1" t="n">
        <v>1667.04031009066</v>
      </c>
      <c r="E56" s="1" t="n">
        <v>1210.87878571249</v>
      </c>
      <c r="F56" s="1" t="n">
        <v>2574.74613588176</v>
      </c>
      <c r="G56" s="1" t="n">
        <v>1440.61538307566</v>
      </c>
      <c r="H56" s="1" t="n">
        <v>1694.69023964302</v>
      </c>
      <c r="I56" s="1" t="n">
        <v>1548.88334963042</v>
      </c>
      <c r="J56" s="1" t="n">
        <v>1154.72394934038</v>
      </c>
    </row>
    <row r="57" customFormat="false" ht="12.8" hidden="false" customHeight="false" outlineLevel="0" collapsed="false">
      <c r="A57" s="156" t="s">
        <v>35</v>
      </c>
      <c r="B57" s="156" t="n">
        <v>1642.13923034423</v>
      </c>
      <c r="C57" s="156" t="n">
        <v>1588.47620755325</v>
      </c>
      <c r="D57" s="156" t="n">
        <v>1810.70093415713</v>
      </c>
      <c r="E57" s="156" t="n">
        <v>1291.33189068898</v>
      </c>
      <c r="F57" s="156" t="n">
        <v>2653.99511190498</v>
      </c>
      <c r="G57" s="156" t="n">
        <v>1371.09995242497</v>
      </c>
      <c r="H57" s="156" t="n">
        <v>1786.14649588524</v>
      </c>
      <c r="I57" s="1" t="n">
        <v>1584.1713452613</v>
      </c>
      <c r="J57" s="156" t="n">
        <v>1159.38749387483</v>
      </c>
    </row>
    <row r="58" customFormat="false" ht="12.8" hidden="false" customHeight="false" outlineLevel="0" collapsed="false">
      <c r="A58" s="158" t="s">
        <v>37</v>
      </c>
      <c r="B58" s="158" t="n">
        <v>1969.35736658864</v>
      </c>
      <c r="C58" s="158" t="n">
        <v>1891.44356916948</v>
      </c>
      <c r="D58" s="158" t="n">
        <v>2307.01336719354</v>
      </c>
      <c r="E58" s="158" t="n">
        <v>1322.71395576813</v>
      </c>
      <c r="F58" s="158" t="n">
        <v>3012.59946858045</v>
      </c>
      <c r="G58" s="158" t="n">
        <v>1509.05164075589</v>
      </c>
      <c r="H58" s="158" t="n">
        <v>2063.84153072489</v>
      </c>
      <c r="I58" s="1" t="n">
        <v>1891.95422409844</v>
      </c>
      <c r="J58" s="158" t="n">
        <v>1203.41172922645</v>
      </c>
    </row>
    <row r="59" customFormat="false" ht="12.8" hidden="false" customHeight="false" outlineLevel="0" collapsed="false">
      <c r="A59" s="1" t="s">
        <v>40</v>
      </c>
      <c r="B59" s="1" t="n">
        <v>2116.32344991411</v>
      </c>
      <c r="C59" s="1" t="n">
        <v>2033.66179080457</v>
      </c>
      <c r="D59" s="1" t="n">
        <v>2599.17112228757</v>
      </c>
      <c r="E59" s="1" t="n">
        <v>1613.55935228735</v>
      </c>
      <c r="F59" s="1" t="n">
        <v>3014.03999044197</v>
      </c>
      <c r="G59" s="1" t="n">
        <v>1476.51319471387</v>
      </c>
      <c r="H59" s="1" t="n">
        <v>2249.99269915252</v>
      </c>
      <c r="I59" s="1" t="n">
        <v>2026.11739337336</v>
      </c>
      <c r="J59" s="1" t="n">
        <v>1335.61696621548</v>
      </c>
    </row>
    <row r="61" customFormat="false" ht="12.8" hidden="false" customHeight="false" outlineLevel="0" collapsed="false">
      <c r="A61" s="18" t="s">
        <v>178</v>
      </c>
      <c r="B61" s="18" t="s">
        <v>117</v>
      </c>
      <c r="C61" s="18" t="s">
        <v>118</v>
      </c>
      <c r="D61" s="18" t="s">
        <v>155</v>
      </c>
      <c r="E61" s="18" t="s">
        <v>120</v>
      </c>
      <c r="F61" s="18" t="s">
        <v>121</v>
      </c>
      <c r="G61" s="18" t="s">
        <v>122</v>
      </c>
      <c r="H61" s="18" t="s">
        <v>179</v>
      </c>
      <c r="I61" s="18" t="s">
        <v>157</v>
      </c>
      <c r="J61" s="18" t="s">
        <v>125</v>
      </c>
      <c r="K61" s="18" t="s">
        <v>126</v>
      </c>
      <c r="L61" s="18" t="s">
        <v>127</v>
      </c>
      <c r="M61" s="18" t="s">
        <v>128</v>
      </c>
      <c r="N61" s="18" t="s">
        <v>129</v>
      </c>
      <c r="O61" s="18" t="s">
        <v>130</v>
      </c>
      <c r="P61" s="18" t="s">
        <v>131</v>
      </c>
    </row>
    <row r="62" customFormat="false" ht="12.8" hidden="false" customHeight="false" outlineLevel="0" collapsed="false">
      <c r="A62" s="1" t="s">
        <v>78</v>
      </c>
      <c r="B62" s="1" t="n">
        <v>2913.98</v>
      </c>
      <c r="C62" s="1" t="n">
        <v>26458.31</v>
      </c>
      <c r="D62" s="1" t="n">
        <v>1696.57</v>
      </c>
      <c r="E62" s="1" t="n">
        <v>7510.2</v>
      </c>
      <c r="F62" s="1" t="n">
        <v>12246.73</v>
      </c>
      <c r="G62" s="1" t="n">
        <v>5493.49</v>
      </c>
      <c r="H62" s="1" t="n">
        <v>3399.2</v>
      </c>
      <c r="I62" s="1" t="n">
        <v>24120.04</v>
      </c>
      <c r="J62" s="1" t="n">
        <v>2475.36</v>
      </c>
      <c r="K62" s="1" t="n">
        <v>3438.86</v>
      </c>
      <c r="L62" s="1" t="n">
        <v>8455.17</v>
      </c>
      <c r="M62" s="1" t="n">
        <v>624.39</v>
      </c>
      <c r="N62" s="1" t="n">
        <v>727.08</v>
      </c>
      <c r="O62" s="1" t="n">
        <v>1822.33</v>
      </c>
      <c r="P62" s="1" t="n">
        <v>1040.88</v>
      </c>
    </row>
    <row r="63" customFormat="false" ht="12.8" hidden="false" customHeight="false" outlineLevel="0" collapsed="false">
      <c r="A63" s="1" t="s">
        <v>77</v>
      </c>
      <c r="B63" s="1" t="n">
        <v>2485.74</v>
      </c>
      <c r="C63" s="1" t="n">
        <v>23062.4</v>
      </c>
      <c r="D63" s="1" t="n">
        <v>1337.92</v>
      </c>
      <c r="E63" s="1" t="n">
        <v>6733.97</v>
      </c>
      <c r="F63" s="1" t="n">
        <v>10558.96</v>
      </c>
      <c r="G63" s="1" t="n">
        <v>4678.74</v>
      </c>
      <c r="H63" s="1" t="n">
        <v>2986.53</v>
      </c>
      <c r="I63" s="1" t="n">
        <v>20014.77</v>
      </c>
      <c r="J63" s="1" t="n">
        <v>2358.5</v>
      </c>
      <c r="K63" s="1" t="n">
        <v>3010.65</v>
      </c>
      <c r="L63" s="1" t="n">
        <v>7327.14</v>
      </c>
      <c r="M63" s="1" t="n">
        <v>594.46</v>
      </c>
      <c r="N63" s="1" t="n">
        <v>761.69</v>
      </c>
      <c r="O63" s="1" t="n">
        <v>1588.44</v>
      </c>
      <c r="P63" s="1" t="n">
        <v>1017.07</v>
      </c>
    </row>
    <row r="64" customFormat="false" ht="12.8" hidden="false" customHeight="false" outlineLevel="0" collapsed="false">
      <c r="A64" s="160" t="s">
        <v>76</v>
      </c>
      <c r="B64" s="160" t="n">
        <v>2834.4</v>
      </c>
      <c r="C64" s="160" t="n">
        <v>25928.68</v>
      </c>
      <c r="D64" s="160" t="n">
        <v>1539.74</v>
      </c>
      <c r="E64" s="160" t="n">
        <v>7279.19</v>
      </c>
      <c r="F64" s="160" t="n">
        <v>11526.04</v>
      </c>
      <c r="G64" s="160" t="n">
        <v>5350.53</v>
      </c>
      <c r="H64" s="160" t="n">
        <v>3351.71</v>
      </c>
      <c r="I64" s="160" t="n">
        <v>21003.76</v>
      </c>
      <c r="J64" s="160" t="n">
        <v>2492.4</v>
      </c>
      <c r="K64" s="160" t="n">
        <v>3728.4</v>
      </c>
      <c r="L64" s="160" t="n">
        <v>7861.06</v>
      </c>
      <c r="M64" s="160" t="n">
        <v>574.39</v>
      </c>
      <c r="N64" s="160" t="n">
        <v>731.6</v>
      </c>
      <c r="O64" s="160" t="n">
        <v>1867.95</v>
      </c>
      <c r="P64" s="160" t="n">
        <v>1042.95</v>
      </c>
    </row>
    <row r="65" customFormat="false" ht="12.8" hidden="false" customHeight="false" outlineLevel="0" collapsed="false">
      <c r="A65" s="1" t="s">
        <v>75</v>
      </c>
      <c r="B65" s="1" t="n">
        <v>2941.76</v>
      </c>
      <c r="C65" s="1" t="n">
        <v>26599.96</v>
      </c>
      <c r="D65" s="1" t="n">
        <v>1566.57</v>
      </c>
      <c r="E65" s="1" t="n">
        <v>7425.63</v>
      </c>
      <c r="F65" s="1" t="n">
        <v>12398.8</v>
      </c>
      <c r="G65" s="1" t="n">
        <v>5538.97</v>
      </c>
      <c r="H65" s="1" t="n">
        <v>3473.69</v>
      </c>
      <c r="I65" s="1" t="n">
        <v>21275.92</v>
      </c>
      <c r="J65" s="1" t="n">
        <v>2765.85</v>
      </c>
      <c r="K65" s="1" t="n">
        <v>3825.59</v>
      </c>
      <c r="L65" s="1" t="n">
        <v>8008.17</v>
      </c>
      <c r="M65" s="1" t="n">
        <v>587.81</v>
      </c>
      <c r="N65" s="1" t="n">
        <v>731.62</v>
      </c>
      <c r="O65" s="1" t="n">
        <v>2224.5</v>
      </c>
      <c r="P65" s="1" t="n">
        <v>1102.67</v>
      </c>
    </row>
    <row r="66" customFormat="false" ht="12.8" hidden="false" customHeight="false" outlineLevel="0" collapsed="false">
      <c r="A66" s="1" t="s">
        <v>73</v>
      </c>
      <c r="B66" s="1" t="n">
        <v>2976.74</v>
      </c>
      <c r="C66" s="1" t="n">
        <v>26916.83</v>
      </c>
      <c r="D66" s="1" t="n">
        <v>1523.37</v>
      </c>
      <c r="E66" s="1" t="n">
        <v>7408.21</v>
      </c>
      <c r="F66" s="1" t="n">
        <v>12428.08</v>
      </c>
      <c r="G66" s="1" t="n">
        <v>5677.79</v>
      </c>
      <c r="H66" s="1" t="n">
        <v>3569.45</v>
      </c>
      <c r="I66" s="1" t="n">
        <v>21755.84</v>
      </c>
      <c r="J66" s="1" t="n">
        <v>2747.18</v>
      </c>
      <c r="K66" s="1" t="n">
        <v>3814.53</v>
      </c>
      <c r="L66" s="1" t="n">
        <v>8204.51</v>
      </c>
      <c r="M66" s="1" t="n">
        <v>570.58</v>
      </c>
      <c r="N66" s="1" t="n">
        <v>751.08</v>
      </c>
      <c r="O66" s="1" t="n">
        <v>2157.03</v>
      </c>
      <c r="P66" s="1" t="n">
        <v>1166.18</v>
      </c>
    </row>
    <row r="67" customFormat="false" ht="12.8" hidden="false" customHeight="false" outlineLevel="0" collapsed="false">
      <c r="A67" s="1" t="s">
        <v>72</v>
      </c>
      <c r="B67" s="1" t="n">
        <v>3221.29</v>
      </c>
      <c r="C67" s="1" t="n">
        <v>28462.14</v>
      </c>
      <c r="D67" s="1" t="n">
        <v>1664.15</v>
      </c>
      <c r="E67" s="1" t="n">
        <v>7587.05</v>
      </c>
      <c r="F67" s="1" t="n">
        <v>13249.01</v>
      </c>
      <c r="G67" s="1" t="n">
        <v>5982.22</v>
      </c>
      <c r="H67" s="1" t="n">
        <v>3748.47</v>
      </c>
      <c r="I67" s="1" t="n">
        <v>23656.62</v>
      </c>
      <c r="J67" s="1" t="n">
        <v>3045.87</v>
      </c>
      <c r="K67" s="1" t="n">
        <v>4081.63</v>
      </c>
      <c r="L67" s="1" t="n">
        <v>9425.64</v>
      </c>
      <c r="M67" s="1" t="n">
        <v>568.14</v>
      </c>
      <c r="N67" s="1" t="n">
        <v>790.33</v>
      </c>
      <c r="O67" s="1" t="n">
        <v>2300.57</v>
      </c>
      <c r="P67" s="1" t="n">
        <v>1199.89</v>
      </c>
    </row>
    <row r="68" customFormat="false" ht="12.8" hidden="false" customHeight="false" outlineLevel="0" collapsed="false">
      <c r="A68" s="160" t="s">
        <v>70</v>
      </c>
      <c r="B68" s="160" t="n">
        <v>2584.59</v>
      </c>
      <c r="C68" s="160" t="n">
        <v>21917.16</v>
      </c>
      <c r="D68" s="160" t="n">
        <v>1153.1</v>
      </c>
      <c r="E68" s="160" t="n">
        <v>5671.96</v>
      </c>
      <c r="F68" s="160" t="n">
        <v>9935.84</v>
      </c>
      <c r="G68" s="160" t="n">
        <v>4396.12</v>
      </c>
      <c r="H68" s="160" t="n">
        <v>2786.9</v>
      </c>
      <c r="I68" s="160" t="n">
        <v>18917.01</v>
      </c>
      <c r="J68" s="160" t="n">
        <v>2508.81</v>
      </c>
      <c r="K68" s="160" t="n">
        <v>3686.16</v>
      </c>
      <c r="L68" s="160" t="n">
        <v>7606.47</v>
      </c>
      <c r="M68" s="160" t="n">
        <v>419.35</v>
      </c>
      <c r="N68" s="160" t="n">
        <v>636.53</v>
      </c>
      <c r="O68" s="160" t="n">
        <v>1355.92</v>
      </c>
      <c r="P68" s="160" t="n">
        <v>917.27</v>
      </c>
    </row>
    <row r="69" customFormat="false" ht="12.8" hidden="false" customHeight="false" outlineLevel="0" collapsed="false">
      <c r="A69" s="1" t="s">
        <v>69</v>
      </c>
      <c r="B69" s="1" t="n">
        <v>3100.29</v>
      </c>
      <c r="C69" s="1" t="n">
        <v>25812.88</v>
      </c>
      <c r="D69" s="1" t="n">
        <v>1441.37</v>
      </c>
      <c r="E69" s="1" t="n">
        <v>6169.74</v>
      </c>
      <c r="F69" s="1" t="n">
        <v>12310.93</v>
      </c>
      <c r="G69" s="1" t="n">
        <v>4935.99</v>
      </c>
      <c r="H69" s="1" t="n">
        <v>3234.07</v>
      </c>
      <c r="I69" s="1" t="n">
        <v>22288.14</v>
      </c>
      <c r="J69" s="1" t="n">
        <v>2743.2</v>
      </c>
      <c r="K69" s="1" t="n">
        <v>4163.96</v>
      </c>
      <c r="L69" s="1" t="n">
        <v>8892.06</v>
      </c>
      <c r="M69" s="1" t="n">
        <v>453.26</v>
      </c>
      <c r="N69" s="1" t="n">
        <v>665.85</v>
      </c>
      <c r="O69" s="1" t="n">
        <v>1542.12</v>
      </c>
      <c r="P69" s="1" t="n">
        <v>1012.72</v>
      </c>
    </row>
    <row r="70" customFormat="false" ht="12.8" hidden="false" customHeight="false" outlineLevel="0" collapsed="false">
      <c r="A70" s="1" t="s">
        <v>67</v>
      </c>
      <c r="B70" s="1" t="n">
        <v>3363</v>
      </c>
      <c r="C70" s="1" t="n">
        <v>27781.7</v>
      </c>
      <c r="D70" s="1" t="n">
        <v>1507.69</v>
      </c>
      <c r="E70" s="1" t="n">
        <v>5866.1</v>
      </c>
      <c r="F70" s="1" t="n">
        <v>12760.73</v>
      </c>
      <c r="G70" s="1" t="n">
        <v>4803.44</v>
      </c>
      <c r="H70" s="1" t="n">
        <v>3193.61</v>
      </c>
      <c r="I70" s="1" t="n">
        <v>23185.12</v>
      </c>
      <c r="J70" s="1" t="n">
        <v>2905.81</v>
      </c>
      <c r="K70" s="1" t="n">
        <v>4587.4</v>
      </c>
      <c r="L70" s="1" t="n">
        <v>10052.87</v>
      </c>
      <c r="M70" s="1" t="n">
        <v>427.55</v>
      </c>
      <c r="N70" s="1" t="n">
        <v>692.93</v>
      </c>
      <c r="O70" s="1" t="n">
        <v>1493.22</v>
      </c>
      <c r="P70" s="1" t="n">
        <v>1001.75</v>
      </c>
    </row>
    <row r="71" customFormat="false" ht="12.8" hidden="false" customHeight="false" outlineLevel="0" collapsed="false">
      <c r="A71" s="1" t="s">
        <v>66</v>
      </c>
      <c r="B71" s="1" t="n">
        <v>3732.04</v>
      </c>
      <c r="C71" s="1" t="n">
        <v>30409.56</v>
      </c>
      <c r="D71" s="1" t="n">
        <v>1979.99</v>
      </c>
      <c r="E71" s="1" t="n">
        <v>6555.82</v>
      </c>
      <c r="F71" s="1" t="n">
        <v>13718.78</v>
      </c>
      <c r="G71" s="1" t="n">
        <v>5599.41</v>
      </c>
      <c r="H71" s="1" t="n">
        <v>3571.59</v>
      </c>
      <c r="I71" s="1" t="n">
        <v>27444.17</v>
      </c>
      <c r="J71" s="1" t="n">
        <v>3289.02</v>
      </c>
      <c r="K71" s="1" t="n">
        <v>5113.71</v>
      </c>
      <c r="L71" s="1" t="n">
        <v>11905.3</v>
      </c>
      <c r="M71" s="1" t="n">
        <v>447.53</v>
      </c>
      <c r="N71" s="1" t="n">
        <v>746.57</v>
      </c>
      <c r="O71" s="1" t="n">
        <v>1936.38</v>
      </c>
      <c r="P71" s="1" t="n">
        <v>1087.81</v>
      </c>
    </row>
    <row r="72" customFormat="false" ht="12.8" hidden="false" customHeight="false" outlineLevel="0" collapsed="false">
      <c r="A72" s="160" t="s">
        <v>65</v>
      </c>
      <c r="B72" s="160" t="n">
        <v>3972.89</v>
      </c>
      <c r="C72" s="160" t="n">
        <v>32981.55</v>
      </c>
      <c r="D72" s="160" t="n">
        <v>2220.52</v>
      </c>
      <c r="E72" s="160" t="n">
        <v>6713.63</v>
      </c>
      <c r="F72" s="160" t="n">
        <v>15421.13</v>
      </c>
      <c r="G72" s="160" t="n">
        <v>6067.23</v>
      </c>
      <c r="H72" s="160" t="n">
        <v>3919.21</v>
      </c>
      <c r="I72" s="160" t="n">
        <v>29178.8</v>
      </c>
      <c r="J72" s="160" t="n">
        <v>3541.72</v>
      </c>
      <c r="K72" s="160" t="n">
        <v>5048.36</v>
      </c>
      <c r="L72" s="160" t="n">
        <v>13391.62</v>
      </c>
      <c r="M72" s="160" t="n">
        <v>502.28</v>
      </c>
      <c r="N72" s="160" t="n">
        <v>754.4</v>
      </c>
      <c r="O72" s="160" t="n">
        <v>2077.11</v>
      </c>
      <c r="P72" s="160" t="n">
        <v>1177.04</v>
      </c>
    </row>
    <row r="73" customFormat="false" ht="12.8" hidden="false" customHeight="false" outlineLevel="0" collapsed="false">
      <c r="A73" s="1" t="s">
        <v>64</v>
      </c>
      <c r="B73" s="1" t="n">
        <v>4297.5</v>
      </c>
      <c r="C73" s="1" t="n">
        <v>34502.51</v>
      </c>
      <c r="D73" s="1" t="n">
        <v>2310.55</v>
      </c>
      <c r="E73" s="1" t="n">
        <v>7037.47</v>
      </c>
      <c r="F73" s="1" t="n">
        <v>15531.04</v>
      </c>
      <c r="G73" s="1" t="n">
        <v>6507.83</v>
      </c>
      <c r="H73" s="1" t="n">
        <v>4064.3</v>
      </c>
      <c r="I73" s="1" t="n">
        <v>28791.53</v>
      </c>
      <c r="J73" s="1" t="n">
        <v>3841.85</v>
      </c>
      <c r="K73" s="1" t="n">
        <v>5224.04</v>
      </c>
      <c r="L73" s="1" t="n">
        <v>13843.29</v>
      </c>
      <c r="M73" s="1" t="n">
        <v>557.69</v>
      </c>
      <c r="N73" s="1" t="n">
        <v>779.45</v>
      </c>
      <c r="O73" s="1" t="n">
        <v>2140.14</v>
      </c>
      <c r="P73" s="1" t="n">
        <v>1218.32</v>
      </c>
    </row>
    <row r="74" customFormat="false" ht="12.8" hidden="false" customHeight="false" outlineLevel="0" collapsed="false">
      <c r="A74" s="1" t="s">
        <v>62</v>
      </c>
      <c r="B74" s="1" t="n">
        <v>4307.54</v>
      </c>
      <c r="C74" s="1" t="n">
        <v>33843.92</v>
      </c>
      <c r="D74" s="1" t="n">
        <v>2204.37</v>
      </c>
      <c r="E74" s="1" t="n">
        <v>7086.42</v>
      </c>
      <c r="F74" s="1" t="n">
        <v>15260.69</v>
      </c>
      <c r="G74" s="1" t="n">
        <v>6520.01</v>
      </c>
      <c r="H74" s="1" t="n">
        <v>4048.08</v>
      </c>
      <c r="I74" s="1" t="n">
        <v>29452.66</v>
      </c>
      <c r="J74" s="1" t="n">
        <v>4103.52</v>
      </c>
      <c r="K74" s="1" t="n">
        <v>4866.38</v>
      </c>
      <c r="L74" s="1" t="n">
        <v>13369.3</v>
      </c>
      <c r="M74" s="1" t="n">
        <v>585.36</v>
      </c>
      <c r="N74" s="1" t="n">
        <v>802.81</v>
      </c>
      <c r="O74" s="1" t="n">
        <v>2095.08</v>
      </c>
      <c r="P74" s="1" t="n">
        <v>1228.54</v>
      </c>
    </row>
    <row r="75" customFormat="false" ht="12.8" hidden="false" customHeight="false" outlineLevel="0" collapsed="false">
      <c r="A75" s="1" t="s">
        <v>61</v>
      </c>
      <c r="B75" s="1" t="n">
        <v>4778.73</v>
      </c>
      <c r="C75" s="1" t="n">
        <v>36398.08</v>
      </c>
      <c r="D75" s="1" t="n">
        <v>2248.79</v>
      </c>
      <c r="E75" s="1" t="n">
        <v>7403.01</v>
      </c>
      <c r="F75" s="1" t="n">
        <v>15884.86</v>
      </c>
      <c r="G75" s="1" t="n">
        <v>7173.23</v>
      </c>
      <c r="H75" s="1" t="n">
        <v>4306.07</v>
      </c>
      <c r="I75" s="1" t="n">
        <v>28791.71</v>
      </c>
      <c r="J75" s="1" t="n">
        <v>3787.26</v>
      </c>
      <c r="K75" s="1" t="n">
        <v>4921.51</v>
      </c>
      <c r="L75" s="1" t="n">
        <v>14265.96</v>
      </c>
      <c r="M75" s="1" t="n">
        <v>635.68</v>
      </c>
      <c r="N75" s="1" t="n">
        <v>820.78</v>
      </c>
      <c r="O75" s="1" t="n">
        <v>2142.11</v>
      </c>
      <c r="P75" s="1" t="n">
        <v>1262.31</v>
      </c>
    </row>
    <row r="76" customFormat="false" ht="12.8" hidden="false" customHeight="false" outlineLevel="0" collapsed="false">
      <c r="A76" s="160" t="s">
        <v>57</v>
      </c>
      <c r="B76" s="160" t="n">
        <v>4530.41</v>
      </c>
      <c r="C76" s="160" t="n">
        <v>34678.35</v>
      </c>
      <c r="D76" s="160" t="n">
        <v>2070.13</v>
      </c>
      <c r="E76" s="160" t="n">
        <v>7515.68</v>
      </c>
      <c r="F76" s="160" t="n">
        <v>14414.75</v>
      </c>
      <c r="G76" s="160" t="n">
        <v>6659.87</v>
      </c>
      <c r="H76" s="160" t="n">
        <v>3902.52</v>
      </c>
      <c r="I76" s="160" t="n">
        <v>27821.43</v>
      </c>
      <c r="J76" s="160" t="n">
        <v>2703.51</v>
      </c>
      <c r="K76" s="160" t="n">
        <v>4222.6</v>
      </c>
      <c r="L76" s="160" t="n">
        <v>13828.59</v>
      </c>
      <c r="M76" s="160" t="n">
        <v>626.76</v>
      </c>
      <c r="N76" s="160" t="n">
        <v>840.53</v>
      </c>
      <c r="O76" s="160" t="n">
        <v>2127.94</v>
      </c>
      <c r="P76" s="160" t="n">
        <v>1259.81</v>
      </c>
    </row>
    <row r="77" customFormat="false" ht="12.8" hidden="false" customHeight="false" outlineLevel="0" collapsed="false">
      <c r="A77" s="1" t="s">
        <v>56</v>
      </c>
      <c r="B77" s="1" t="n">
        <v>3785.38</v>
      </c>
      <c r="C77" s="1" t="n">
        <v>30775.43</v>
      </c>
      <c r="D77" s="1" t="n">
        <v>1707.99</v>
      </c>
      <c r="E77" s="1" t="n">
        <v>7169.28</v>
      </c>
      <c r="F77" s="1" t="n">
        <v>12783.77</v>
      </c>
      <c r="G77" s="1" t="n">
        <v>5922.86</v>
      </c>
      <c r="H77" s="1" t="n">
        <v>3454.86</v>
      </c>
      <c r="I77" s="1" t="n">
        <v>26393.04</v>
      </c>
      <c r="J77" s="1" t="n">
        <v>2204.85</v>
      </c>
      <c r="K77" s="1" t="n">
        <v>4485.01</v>
      </c>
      <c r="L77" s="1" t="n">
        <v>11357.32</v>
      </c>
      <c r="M77" s="1" t="n">
        <v>613.21</v>
      </c>
      <c r="N77" s="1" t="n">
        <v>839.62</v>
      </c>
      <c r="O77" s="1" t="n">
        <v>1942.64</v>
      </c>
      <c r="P77" s="1" t="n">
        <v>1192.25</v>
      </c>
    </row>
    <row r="78" customFormat="false" ht="12.8" hidden="false" customHeight="false" outlineLevel="0" collapsed="false">
      <c r="A78" s="1" t="s">
        <v>54</v>
      </c>
      <c r="B78" s="1" t="n">
        <v>3585.62</v>
      </c>
      <c r="C78" s="1" t="n">
        <v>28725.51</v>
      </c>
      <c r="D78" s="1" t="n">
        <v>1664.72</v>
      </c>
      <c r="E78" s="1" t="n">
        <v>6893.81</v>
      </c>
      <c r="F78" s="1" t="n">
        <v>12114.36</v>
      </c>
      <c r="G78" s="1" t="n">
        <v>5762.34</v>
      </c>
      <c r="H78" s="1" t="n">
        <v>3318.2</v>
      </c>
      <c r="I78" s="1" t="n">
        <v>25937.21</v>
      </c>
      <c r="J78" s="1" t="n">
        <v>1957.31</v>
      </c>
      <c r="K78" s="1" t="n">
        <v>3804.89</v>
      </c>
      <c r="L78" s="1" t="n">
        <v>10098.31</v>
      </c>
      <c r="M78" s="1" t="n">
        <v>587.15</v>
      </c>
      <c r="N78" s="1" t="n">
        <v>827.37</v>
      </c>
      <c r="O78" s="1" t="n">
        <v>1904.45</v>
      </c>
      <c r="P78" s="1" t="n">
        <v>1127.67</v>
      </c>
    </row>
    <row r="79" customFormat="false" ht="12.8" hidden="false" customHeight="false" outlineLevel="0" collapsed="false">
      <c r="A79" s="1" t="s">
        <v>53</v>
      </c>
      <c r="B79" s="1" t="n">
        <v>3849.28</v>
      </c>
      <c r="C79" s="1" t="n">
        <v>33220.8</v>
      </c>
      <c r="D79" s="1" t="n">
        <v>1766.25</v>
      </c>
      <c r="E79" s="1" t="n">
        <v>7512.72</v>
      </c>
      <c r="F79" s="1" t="n">
        <v>14071.72</v>
      </c>
      <c r="G79" s="1" t="n">
        <v>6573.47</v>
      </c>
      <c r="H79" s="1" t="n">
        <v>3850.07</v>
      </c>
      <c r="I79" s="1" t="n">
        <v>26093.67</v>
      </c>
      <c r="J79" s="1" t="n">
        <v>2147.06</v>
      </c>
      <c r="K79" s="1" t="n">
        <v>3856.7</v>
      </c>
      <c r="L79" s="1" t="n">
        <v>10670.1</v>
      </c>
      <c r="M79" s="1" t="n">
        <v>602.86</v>
      </c>
      <c r="N79" s="1" t="n">
        <v>824.61</v>
      </c>
      <c r="O79" s="1" t="n">
        <v>2228.57</v>
      </c>
      <c r="P79" s="1" t="n">
        <v>1156.15</v>
      </c>
    </row>
    <row r="80" customFormat="false" ht="12.8" hidden="false" customHeight="false" outlineLevel="0" collapsed="false">
      <c r="A80" s="160" t="s">
        <v>52</v>
      </c>
      <c r="B80" s="160" t="n">
        <v>4109.31</v>
      </c>
      <c r="C80" s="160" t="n">
        <v>33274.15</v>
      </c>
      <c r="D80" s="160" t="n">
        <v>1802.48</v>
      </c>
      <c r="E80" s="160" t="n">
        <v>7631.74</v>
      </c>
      <c r="F80" s="160" t="n">
        <v>15522.4</v>
      </c>
      <c r="G80" s="160" t="n">
        <v>7322.39</v>
      </c>
      <c r="H80" s="160" t="n">
        <v>4315.05</v>
      </c>
      <c r="I80" s="160" t="n">
        <v>28041.48</v>
      </c>
      <c r="J80" s="160" t="n">
        <v>2450.67</v>
      </c>
      <c r="K80" s="160" t="n">
        <v>4050.93</v>
      </c>
      <c r="L80" s="160" t="n">
        <v>12131.81</v>
      </c>
      <c r="M80" s="160" t="n">
        <v>610.79</v>
      </c>
      <c r="N80" s="160" t="n">
        <v>891.29</v>
      </c>
      <c r="O80" s="160" t="n">
        <v>2548.89</v>
      </c>
      <c r="P80" s="160" t="n">
        <v>1274.87</v>
      </c>
    </row>
    <row r="81" customFormat="false" ht="12.8" hidden="false" customHeight="false" outlineLevel="0" collapsed="false">
      <c r="A81" s="1" t="s">
        <v>51</v>
      </c>
      <c r="B81" s="1" t="n">
        <v>4450.38</v>
      </c>
      <c r="C81" s="1" t="n">
        <v>34407.6</v>
      </c>
      <c r="D81" s="1" t="n">
        <v>1888.73</v>
      </c>
      <c r="E81" s="1" t="n">
        <v>7531.53</v>
      </c>
      <c r="F81" s="1" t="n">
        <v>16147.9</v>
      </c>
      <c r="G81" s="1" t="n">
        <v>7400.06</v>
      </c>
      <c r="H81" s="1" t="n">
        <v>4399.09</v>
      </c>
      <c r="I81" s="1" t="n">
        <v>33189.04</v>
      </c>
      <c r="J81" s="1" t="n">
        <v>2797.37</v>
      </c>
      <c r="K81" s="1" t="n">
        <v>3842.45</v>
      </c>
      <c r="L81" s="1" t="n">
        <v>12721.72</v>
      </c>
      <c r="M81" s="1" t="n">
        <v>669.9</v>
      </c>
      <c r="N81" s="1" t="n">
        <v>869.4</v>
      </c>
      <c r="O81" s="1" t="n">
        <v>3098.66</v>
      </c>
      <c r="P81" s="1" t="n">
        <v>1371.59</v>
      </c>
    </row>
    <row r="82" customFormat="false" ht="12.8" hidden="false" customHeight="false" outlineLevel="0" collapsed="false">
      <c r="A82" s="1" t="s">
        <v>33</v>
      </c>
      <c r="B82" s="1" t="n">
        <v>4288.05</v>
      </c>
      <c r="C82" s="1" t="n">
        <v>33507.5</v>
      </c>
      <c r="D82" s="1" t="n">
        <v>1785.1</v>
      </c>
      <c r="E82" s="1" t="n">
        <v>7608.08</v>
      </c>
      <c r="F82" s="1" t="n">
        <v>15386.58</v>
      </c>
      <c r="G82" s="1" t="n">
        <v>7135.06</v>
      </c>
      <c r="H82" s="1" t="n">
        <v>4174.66</v>
      </c>
      <c r="I82" s="1" t="n">
        <v>31857.62</v>
      </c>
      <c r="J82" s="1" t="n">
        <v>3133.26</v>
      </c>
      <c r="K82" s="1" t="n">
        <v>3689.52</v>
      </c>
      <c r="L82" s="1" t="n">
        <v>12059.05</v>
      </c>
      <c r="M82" s="1" t="n">
        <v>755.73</v>
      </c>
      <c r="N82" s="1" t="n">
        <v>886.89</v>
      </c>
      <c r="O82" s="1" t="n">
        <v>2933.29</v>
      </c>
      <c r="P82" s="1" t="n">
        <v>1476.48</v>
      </c>
    </row>
    <row r="83" customFormat="false" ht="12.8" hidden="false" customHeight="false" outlineLevel="0" collapsed="false">
      <c r="A83" s="22" t="s">
        <v>35</v>
      </c>
      <c r="B83" s="22" t="n">
        <v>4783.35</v>
      </c>
      <c r="C83" s="22" t="n">
        <v>37710.1</v>
      </c>
      <c r="D83" s="22" t="n">
        <v>2058.34</v>
      </c>
      <c r="E83" s="22" t="n">
        <v>7722.74</v>
      </c>
      <c r="F83" s="22" t="n">
        <v>16701.55</v>
      </c>
      <c r="G83" s="22" t="n">
        <v>7535.16</v>
      </c>
      <c r="H83" s="22" t="n">
        <v>4514.38</v>
      </c>
      <c r="I83" s="22" t="n">
        <v>33539.62</v>
      </c>
      <c r="J83" s="22" t="n">
        <v>3101.99</v>
      </c>
      <c r="K83" s="22" t="n">
        <v>3414.54</v>
      </c>
      <c r="L83" s="22" t="n">
        <v>13370.94</v>
      </c>
      <c r="M83" s="22" t="n">
        <v>742.09</v>
      </c>
      <c r="N83" s="22" t="n">
        <v>875.66</v>
      </c>
      <c r="O83" s="22" t="n">
        <v>3101.87</v>
      </c>
      <c r="P83" s="22" t="n">
        <v>1527.52</v>
      </c>
    </row>
    <row r="84" customFormat="false" ht="12.8" hidden="false" customHeight="false" outlineLevel="0" collapsed="false">
      <c r="A84" s="160" t="s">
        <v>37</v>
      </c>
      <c r="B84" s="160" t="n">
        <v>5243.77</v>
      </c>
      <c r="C84" s="160" t="n">
        <v>39566.85</v>
      </c>
      <c r="D84" s="160" t="n">
        <v>2102.84</v>
      </c>
      <c r="E84" s="160" t="n">
        <v>7935.09</v>
      </c>
      <c r="F84" s="160" t="n">
        <v>18492.49</v>
      </c>
      <c r="G84" s="160" t="n">
        <v>8130.05</v>
      </c>
      <c r="H84" s="160" t="n">
        <v>5042</v>
      </c>
      <c r="I84" s="160" t="n">
        <v>40369.44</v>
      </c>
      <c r="J84" s="160" t="n">
        <v>3332.53</v>
      </c>
      <c r="K84" s="160" t="n">
        <v>3537.48</v>
      </c>
      <c r="L84" s="160" t="n">
        <v>15935.62</v>
      </c>
      <c r="M84" s="160" t="n">
        <v>807.47</v>
      </c>
      <c r="N84" s="160" t="n">
        <v>989.95</v>
      </c>
      <c r="O84" s="160" t="n">
        <v>3420.41</v>
      </c>
      <c r="P84" s="160" t="n">
        <v>1713.17</v>
      </c>
    </row>
    <row r="85" customFormat="false" ht="12.8" hidden="false" customHeight="false" outlineLevel="0" collapsed="false">
      <c r="A85" s="1" t="s">
        <v>40</v>
      </c>
      <c r="B85" s="1" t="n">
        <v>5460.48</v>
      </c>
      <c r="C85" s="1" t="n">
        <v>39118.86</v>
      </c>
      <c r="D85" s="1" t="n">
        <v>2047.69</v>
      </c>
      <c r="E85" s="1" t="n">
        <v>8164.12</v>
      </c>
      <c r="F85" s="1" t="n">
        <v>18235.45</v>
      </c>
      <c r="G85" s="1" t="n">
        <v>7479.4</v>
      </c>
      <c r="H85" s="1" t="n">
        <v>4894.02</v>
      </c>
      <c r="I85" s="1" t="n">
        <v>39583.08</v>
      </c>
      <c r="J85" s="1" t="n">
        <v>3150.66</v>
      </c>
      <c r="K85" s="1" t="n">
        <v>3461.66</v>
      </c>
      <c r="L85" s="1" t="n">
        <v>18634.37</v>
      </c>
      <c r="M85" s="1" t="n">
        <v>847.68</v>
      </c>
      <c r="N85" s="1" t="n">
        <v>985.72</v>
      </c>
      <c r="O85" s="1" t="n">
        <v>3401.83</v>
      </c>
      <c r="P85" s="1" t="n">
        <v>1696.44</v>
      </c>
    </row>
    <row r="87" customFormat="false" ht="12.8" hidden="false" customHeight="false" outlineLevel="0" collapsed="false">
      <c r="A87" s="18" t="s">
        <v>78</v>
      </c>
      <c r="B87" s="18" t="n">
        <v>1009.53421052523</v>
      </c>
      <c r="C87" s="18" t="n">
        <v>2</v>
      </c>
      <c r="AS87" s="18"/>
    </row>
    <row r="88" customFormat="false" ht="12.8" hidden="false" customHeight="false" outlineLevel="0" collapsed="false">
      <c r="A88" s="1" t="s">
        <v>77</v>
      </c>
      <c r="B88" s="1" t="n">
        <v>1024.21623283919</v>
      </c>
      <c r="C88" s="1" t="n">
        <v>3</v>
      </c>
    </row>
    <row r="89" customFormat="false" ht="12.8" hidden="false" customHeight="false" outlineLevel="0" collapsed="false">
      <c r="A89" s="1" t="s">
        <v>76</v>
      </c>
      <c r="B89" s="1" t="n">
        <v>1030.59024208396</v>
      </c>
      <c r="C89" s="1" t="n">
        <v>4</v>
      </c>
    </row>
    <row r="90" customFormat="false" ht="12.8" hidden="false" customHeight="false" outlineLevel="0" collapsed="false">
      <c r="A90" s="1" t="s">
        <v>75</v>
      </c>
      <c r="B90" s="1" t="n">
        <v>999.647773779699</v>
      </c>
      <c r="C90" s="1" t="n">
        <v>5</v>
      </c>
    </row>
    <row r="91" customFormat="false" ht="12.8" hidden="false" customHeight="false" outlineLevel="0" collapsed="false">
      <c r="A91" s="1" t="s">
        <v>73</v>
      </c>
      <c r="B91" s="1" t="n">
        <v>1088.23164608957</v>
      </c>
      <c r="C91" s="1" t="n">
        <v>7</v>
      </c>
    </row>
    <row r="92" customFormat="false" ht="12.8" hidden="false" customHeight="false" outlineLevel="0" collapsed="false">
      <c r="A92" s="1" t="s">
        <v>72</v>
      </c>
      <c r="B92" s="1" t="n">
        <v>1125.35223713314</v>
      </c>
      <c r="C92" s="1" t="n">
        <v>8</v>
      </c>
    </row>
    <row r="93" customFormat="false" ht="12.8" hidden="false" customHeight="false" outlineLevel="0" collapsed="false">
      <c r="A93" s="1" t="s">
        <v>70</v>
      </c>
      <c r="B93" s="1" t="n">
        <v>932.761442173415</v>
      </c>
      <c r="C93" s="1" t="n">
        <v>10</v>
      </c>
    </row>
    <row r="94" customFormat="false" ht="12.8" hidden="false" customHeight="false" outlineLevel="0" collapsed="false">
      <c r="A94" s="1" t="s">
        <v>69</v>
      </c>
      <c r="B94" s="1" t="n">
        <v>1080.96058493448</v>
      </c>
      <c r="C94" s="1" t="n">
        <v>11</v>
      </c>
    </row>
    <row r="95" customFormat="false" ht="12.8" hidden="false" customHeight="false" outlineLevel="0" collapsed="false">
      <c r="A95" s="1" t="s">
        <v>67</v>
      </c>
      <c r="B95" s="1" t="n">
        <v>1132.56355189635</v>
      </c>
      <c r="C95" s="1" t="n">
        <v>13</v>
      </c>
    </row>
    <row r="96" customFormat="false" ht="12.8" hidden="false" customHeight="false" outlineLevel="0" collapsed="false">
      <c r="A96" s="1" t="s">
        <v>66</v>
      </c>
      <c r="B96" s="1" t="n">
        <v>1141.3176727959</v>
      </c>
      <c r="C96" s="1" t="n">
        <v>14</v>
      </c>
    </row>
    <row r="97" customFormat="false" ht="12.8" hidden="false" customHeight="false" outlineLevel="0" collapsed="false">
      <c r="A97" s="1" t="s">
        <v>65</v>
      </c>
      <c r="B97" s="1" t="n">
        <v>1201.518748361</v>
      </c>
      <c r="C97" s="1" t="n">
        <v>15</v>
      </c>
    </row>
    <row r="98" customFormat="false" ht="12.8" hidden="false" customHeight="false" outlineLevel="0" collapsed="false">
      <c r="A98" s="1" t="s">
        <v>64</v>
      </c>
      <c r="B98" s="1" t="n">
        <v>1282.0268233471</v>
      </c>
      <c r="C98" s="1" t="n">
        <v>16</v>
      </c>
    </row>
    <row r="99" customFormat="false" ht="12.8" hidden="false" customHeight="false" outlineLevel="0" collapsed="false">
      <c r="A99" s="1" t="s">
        <v>62</v>
      </c>
      <c r="B99" s="1" t="n">
        <v>1363.34540926402</v>
      </c>
      <c r="C99" s="1" t="n">
        <v>18</v>
      </c>
    </row>
    <row r="100" customFormat="false" ht="12.8" hidden="false" customHeight="false" outlineLevel="0" collapsed="false">
      <c r="A100" s="1" t="s">
        <v>61</v>
      </c>
      <c r="B100" s="1" t="n">
        <v>1465.62780445024</v>
      </c>
      <c r="C100" s="1" t="n">
        <v>19</v>
      </c>
    </row>
    <row r="101" customFormat="false" ht="12.8" hidden="false" customHeight="false" outlineLevel="0" collapsed="false">
      <c r="A101" s="1" t="s">
        <v>57</v>
      </c>
      <c r="B101" s="1" t="n">
        <v>1523.59519925498</v>
      </c>
      <c r="C101" s="1" t="n">
        <v>23</v>
      </c>
    </row>
    <row r="102" customFormat="false" ht="12.8" hidden="false" customHeight="false" outlineLevel="0" collapsed="false">
      <c r="A102" s="1" t="s">
        <v>56</v>
      </c>
      <c r="B102" s="1" t="n">
        <v>1457.22441107701</v>
      </c>
      <c r="C102" s="1" t="n">
        <v>24</v>
      </c>
    </row>
    <row r="103" customFormat="false" ht="12.8" hidden="false" customHeight="false" outlineLevel="0" collapsed="false">
      <c r="A103" s="1" t="s">
        <v>54</v>
      </c>
      <c r="B103" s="1" t="n">
        <v>1380.45750697927</v>
      </c>
      <c r="C103" s="1" t="n">
        <v>26</v>
      </c>
    </row>
    <row r="104" customFormat="false" ht="12.8" hidden="false" customHeight="false" outlineLevel="0" collapsed="false">
      <c r="A104" s="1" t="s">
        <v>53</v>
      </c>
      <c r="B104" s="1" t="n">
        <v>1446.98670559127</v>
      </c>
      <c r="C104" s="1" t="n">
        <v>27</v>
      </c>
    </row>
    <row r="105" customFormat="false" ht="12.8" hidden="false" customHeight="false" outlineLevel="0" collapsed="false">
      <c r="A105" s="1" t="s">
        <v>52</v>
      </c>
      <c r="B105" s="1" t="n">
        <v>1511.7682319447</v>
      </c>
      <c r="C105" s="1" t="n">
        <v>28</v>
      </c>
    </row>
    <row r="106" customFormat="false" ht="12.8" hidden="false" customHeight="false" outlineLevel="0" collapsed="false">
      <c r="A106" s="1" t="s">
        <v>51</v>
      </c>
      <c r="B106" s="1" t="n">
        <v>1512.66186009343</v>
      </c>
      <c r="C106" s="1" t="n">
        <v>29</v>
      </c>
    </row>
    <row r="107" customFormat="false" ht="12.8" hidden="false" customHeight="false" outlineLevel="0" collapsed="false">
      <c r="A107" s="1" t="s">
        <v>33</v>
      </c>
      <c r="B107" s="1" t="n">
        <v>1548.88334963042</v>
      </c>
      <c r="C107" s="1" t="n">
        <v>32</v>
      </c>
    </row>
    <row r="108" customFormat="false" ht="12.8" hidden="false" customHeight="false" outlineLevel="0" collapsed="false">
      <c r="A108" s="1" t="s">
        <v>35</v>
      </c>
      <c r="B108" s="1" t="n">
        <v>1584.1713452613</v>
      </c>
      <c r="C108" s="1" t="n">
        <v>34</v>
      </c>
    </row>
    <row r="109" customFormat="false" ht="12.8" hidden="false" customHeight="false" outlineLevel="0" collapsed="false">
      <c r="A109" s="1" t="s">
        <v>37</v>
      </c>
      <c r="B109" s="1" t="n">
        <v>1891.95422409844</v>
      </c>
      <c r="C109" s="1" t="n">
        <v>36</v>
      </c>
    </row>
    <row r="110" customFormat="false" ht="12.8" hidden="false" customHeight="false" outlineLevel="0" collapsed="false">
      <c r="A110" s="1" t="s">
        <v>40</v>
      </c>
      <c r="B110" s="1" t="n">
        <v>2026.11739337336</v>
      </c>
      <c r="C110" s="1" t="n">
        <v>38</v>
      </c>
    </row>
  </sheetData>
  <autoFilter ref="A87:C11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00"/>
    <pageSetUpPr fitToPage="false"/>
  </sheetPr>
  <dimension ref="A1:AQ183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B8" activePane="bottomRight" state="frozen"/>
      <selection pane="topLeft" activeCell="A1" activeCellId="0" sqref="A1"/>
      <selection pane="topRight" activeCell="B1" activeCellId="0" sqref="B1"/>
      <selection pane="bottomLeft" activeCell="A8" activeCellId="0" sqref="A8"/>
      <selection pane="bottomRight" activeCell="B32" activeCellId="0" sqref="B3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3.69"/>
    <col collapsed="false" customWidth="true" hidden="false" outlineLevel="0" max="2" min="2" style="21" width="15.78"/>
    <col collapsed="false" customWidth="true" hidden="false" outlineLevel="0" max="3" min="3" style="39" width="15.78"/>
    <col collapsed="false" customWidth="true" hidden="false" outlineLevel="0" max="4" min="4" style="1" width="15.78"/>
    <col collapsed="false" customWidth="true" hidden="false" outlineLevel="0" max="5" min="5" style="40" width="15.78"/>
    <col collapsed="false" customWidth="true" hidden="false" outlineLevel="0" max="6" min="6" style="1" width="15.78"/>
    <col collapsed="false" customWidth="true" hidden="false" outlineLevel="0" max="7" min="7" style="40" width="15.78"/>
    <col collapsed="false" customWidth="true" hidden="false" outlineLevel="0" max="8" min="8" style="1" width="15.78"/>
    <col collapsed="false" customWidth="true" hidden="false" outlineLevel="0" max="9" min="9" style="41" width="15.78"/>
    <col collapsed="false" customWidth="true" hidden="false" outlineLevel="0" max="10" min="10" style="21" width="15.78"/>
    <col collapsed="false" customWidth="true" hidden="false" outlineLevel="0" max="11" min="11" style="39" width="15.78"/>
    <col collapsed="false" customWidth="true" hidden="false" outlineLevel="0" max="12" min="12" style="1" width="15.78"/>
    <col collapsed="false" customWidth="true" hidden="false" outlineLevel="0" max="14" min="13" style="40" width="15.78"/>
    <col collapsed="false" customWidth="true" hidden="false" outlineLevel="0" max="15" min="15" style="1" width="15.78"/>
    <col collapsed="false" customWidth="true" hidden="false" outlineLevel="0" max="16" min="16" style="42" width="15.78"/>
    <col collapsed="false" customWidth="true" hidden="false" outlineLevel="0" max="17" min="17" style="21" width="15.78"/>
    <col collapsed="false" customWidth="true" hidden="false" outlineLevel="0" max="18" min="18" style="1" width="15.78"/>
    <col collapsed="false" customWidth="true" hidden="false" outlineLevel="0" max="19" min="19" style="40" width="15.78"/>
    <col collapsed="false" customWidth="true" hidden="false" outlineLevel="0" max="21" min="20" style="1" width="15.78"/>
    <col collapsed="false" customWidth="true" hidden="false" outlineLevel="0" max="23" min="22" style="40" width="15.78"/>
    <col collapsed="false" customWidth="true" hidden="false" outlineLevel="0" max="24" min="24" style="41" width="15.78"/>
    <col collapsed="false" customWidth="true" hidden="false" outlineLevel="0" max="25" min="25" style="21" width="15.78"/>
    <col collapsed="false" customWidth="true" hidden="false" outlineLevel="0" max="26" min="26" style="1" width="15.78"/>
    <col collapsed="false" customWidth="true" hidden="false" outlineLevel="0" max="27" min="27" style="40" width="15.78"/>
    <col collapsed="false" customWidth="true" hidden="false" outlineLevel="0" max="28" min="28" style="1" width="15.78"/>
    <col collapsed="false" customWidth="true" hidden="false" outlineLevel="0" max="29" min="29" style="42" width="15.78"/>
    <col collapsed="false" customWidth="true" hidden="false" outlineLevel="0" max="30" min="30" style="21" width="15.78"/>
    <col collapsed="false" customWidth="true" hidden="false" outlineLevel="0" max="31" min="31" style="1" width="15.78"/>
    <col collapsed="false" customWidth="true" hidden="false" outlineLevel="0" max="32" min="32" style="40" width="15.78"/>
    <col collapsed="false" customWidth="true" hidden="false" outlineLevel="0" max="34" min="33" style="1" width="15.78"/>
    <col collapsed="false" customWidth="true" hidden="false" outlineLevel="0" max="35" min="35" style="41" width="15.78"/>
    <col collapsed="false" customWidth="true" hidden="false" outlineLevel="0" max="36" min="36" style="21" width="15.78"/>
    <col collapsed="false" customWidth="true" hidden="false" outlineLevel="0" max="39" min="37" style="1" width="15.78"/>
    <col collapsed="false" customWidth="true" hidden="false" outlineLevel="0" max="40" min="40" style="42" width="15.78"/>
    <col collapsed="false" customWidth="true" hidden="false" outlineLevel="0" max="41" min="41" style="21" width="15.78"/>
    <col collapsed="false" customWidth="true" hidden="false" outlineLevel="0" max="42" min="42" style="1" width="15.78"/>
    <col collapsed="false" customWidth="true" hidden="false" outlineLevel="0" max="43" min="43" style="1" width="14.52"/>
  </cols>
  <sheetData>
    <row r="1" customFormat="false" ht="12.8" hidden="false" customHeight="false" outlineLevel="0" collapsed="false">
      <c r="B1" s="19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19" t="s">
        <v>79</v>
      </c>
    </row>
    <row r="2" customFormat="false" ht="12.8" hidden="false" customHeight="false" outlineLevel="0" collapsed="false">
      <c r="A2" s="139" t="s">
        <v>24</v>
      </c>
      <c r="B2" s="20" t="n">
        <v>889062183.8</v>
      </c>
      <c r="C2" s="25" t="n">
        <v>869378456.52</v>
      </c>
      <c r="D2" s="32" t="n">
        <v>899672259.78</v>
      </c>
      <c r="E2" s="20" t="n">
        <v>869685667.34</v>
      </c>
      <c r="F2" s="32" t="n">
        <v>804146000.28</v>
      </c>
      <c r="G2" s="20" t="n">
        <v>667246707.26</v>
      </c>
      <c r="H2" s="32" t="n">
        <v>665115131.1</v>
      </c>
      <c r="I2" s="26" t="n">
        <v>619203604.32</v>
      </c>
      <c r="J2" s="33" t="n">
        <v>527217866.14</v>
      </c>
      <c r="K2" s="25" t="n">
        <v>481133649.08</v>
      </c>
      <c r="L2" s="32" t="n">
        <v>462882584.08</v>
      </c>
      <c r="M2" s="20" t="n">
        <v>461004114.06</v>
      </c>
      <c r="N2" s="20" t="n">
        <v>456267360.5</v>
      </c>
      <c r="O2" s="32" t="n">
        <v>433578600</v>
      </c>
      <c r="P2" s="167" t="n">
        <v>459315010.42</v>
      </c>
      <c r="Q2" s="33" t="n">
        <v>432772959.08</v>
      </c>
      <c r="R2" s="32" t="n">
        <v>410855375.56</v>
      </c>
      <c r="S2" s="20" t="n">
        <v>422381525.3</v>
      </c>
      <c r="T2" s="32" t="n">
        <v>431806486.44</v>
      </c>
      <c r="U2" s="32" t="n">
        <v>467236899.08</v>
      </c>
      <c r="V2" s="20" t="n">
        <v>450212083.3</v>
      </c>
      <c r="W2" s="20" t="n">
        <v>414399232.1</v>
      </c>
      <c r="X2" s="26" t="n">
        <v>460399698.08</v>
      </c>
      <c r="Y2" s="33" t="n">
        <v>434539513.94</v>
      </c>
      <c r="Z2" s="32" t="n">
        <v>379379792.68</v>
      </c>
      <c r="AA2" s="20" t="n">
        <v>394664364.78</v>
      </c>
      <c r="AB2" s="32" t="n">
        <v>326064077.5</v>
      </c>
      <c r="AC2" s="167" t="n">
        <v>295535697.1</v>
      </c>
      <c r="AD2" s="33" t="n">
        <v>270510429.7</v>
      </c>
      <c r="AE2" s="32" t="n">
        <v>256123031.78</v>
      </c>
      <c r="AF2" s="20" t="n">
        <v>262117533.86</v>
      </c>
      <c r="AG2" s="32" t="n">
        <v>214980128.44</v>
      </c>
      <c r="AH2" s="32" t="n">
        <v>223353383.54</v>
      </c>
      <c r="AI2" s="26" t="n">
        <v>293175102.5</v>
      </c>
      <c r="AJ2" s="33" t="n">
        <v>246361584</v>
      </c>
      <c r="AK2" s="32" t="n">
        <v>209372882.46</v>
      </c>
      <c r="AL2" s="32" t="n">
        <v>204101381.96</v>
      </c>
      <c r="AM2" s="32" t="n">
        <v>197031827.3</v>
      </c>
      <c r="AN2" s="167" t="n">
        <v>209362506.22</v>
      </c>
      <c r="AO2" s="33" t="n">
        <v>187157723.2</v>
      </c>
      <c r="AP2" s="32" t="n">
        <v>194797600.48</v>
      </c>
      <c r="AQ2" s="32" t="n">
        <v>191033990</v>
      </c>
    </row>
    <row r="3" customFormat="false" ht="12.8" hidden="false" customHeight="false" outlineLevel="0" collapsed="false">
      <c r="A3" s="139" t="s">
        <v>180</v>
      </c>
      <c r="B3" s="20" t="n">
        <v>636821421.902439</v>
      </c>
      <c r="C3" s="25" t="n">
        <v>640997811.014634</v>
      </c>
      <c r="D3" s="32" t="n">
        <v>649833679.02439</v>
      </c>
      <c r="E3" s="20" t="n">
        <v>653121806.273171</v>
      </c>
      <c r="F3" s="32" t="n">
        <v>654773661.668293</v>
      </c>
      <c r="G3" s="20" t="n">
        <v>654508741.463415</v>
      </c>
      <c r="H3" s="32" t="n">
        <v>654508741.463415</v>
      </c>
      <c r="I3" s="26" t="n">
        <v>654508741.463415</v>
      </c>
      <c r="J3" s="33" t="n">
        <v>598096321.365854</v>
      </c>
      <c r="K3" s="25" t="n">
        <v>640483554.146341</v>
      </c>
      <c r="L3" s="32" t="n">
        <v>623341658.536585</v>
      </c>
      <c r="M3" s="20" t="n">
        <v>623341658.536585</v>
      </c>
      <c r="N3" s="20" t="n">
        <v>621783304.390244</v>
      </c>
      <c r="O3" s="32" t="n">
        <v>626364865.580488</v>
      </c>
      <c r="P3" s="167" t="n">
        <v>599966346.341463</v>
      </c>
      <c r="Q3" s="33" t="n">
        <v>568799263.414634</v>
      </c>
      <c r="R3" s="32" t="n">
        <v>545423951.219512</v>
      </c>
      <c r="S3" s="20" t="n">
        <v>574097667.512195</v>
      </c>
      <c r="T3" s="32" t="n">
        <v>579318153.902439</v>
      </c>
      <c r="U3" s="32" t="n">
        <v>561007492.682927</v>
      </c>
      <c r="V3" s="20" t="n">
        <v>559449138.536585</v>
      </c>
      <c r="W3" s="20" t="n">
        <v>545688871.42439</v>
      </c>
      <c r="X3" s="26" t="n">
        <v>568799263.414634</v>
      </c>
      <c r="Y3" s="33" t="n">
        <v>537632180.487805</v>
      </c>
      <c r="Z3" s="32" t="n">
        <v>522858983.180488</v>
      </c>
      <c r="AA3" s="20" t="n">
        <v>552233958.839024</v>
      </c>
      <c r="AB3" s="32" t="n">
        <v>536073826.341463</v>
      </c>
      <c r="AC3" s="167" t="n">
        <v>508397456.702439</v>
      </c>
      <c r="AD3" s="33" t="n">
        <v>489323201.95122</v>
      </c>
      <c r="AE3" s="32" t="n">
        <v>495556618.536585</v>
      </c>
      <c r="AF3" s="20" t="n">
        <v>497348725.804878</v>
      </c>
      <c r="AG3" s="32" t="n">
        <v>487593428.84878</v>
      </c>
      <c r="AH3" s="32" t="n">
        <v>418932345.160976</v>
      </c>
      <c r="AI3" s="26" t="n">
        <v>498673326.829268</v>
      </c>
      <c r="AJ3" s="33" t="n">
        <v>498673326.829268</v>
      </c>
      <c r="AK3" s="32" t="n">
        <v>481531431.219512</v>
      </c>
      <c r="AL3" s="32" t="n">
        <v>467506243.902439</v>
      </c>
      <c r="AM3" s="32" t="n">
        <v>458156119.02439</v>
      </c>
      <c r="AN3" s="167" t="n">
        <v>456410762.380488</v>
      </c>
      <c r="AO3" s="33" t="n">
        <v>453029133.882927</v>
      </c>
      <c r="AP3" s="32" t="n">
        <v>449709839.551219</v>
      </c>
      <c r="AQ3" s="32" t="n">
        <v>446811300.839024</v>
      </c>
    </row>
    <row r="4" customFormat="false" ht="12.8" hidden="false" customHeight="false" outlineLevel="0" collapsed="false">
      <c r="A4" s="139" t="s">
        <v>181</v>
      </c>
      <c r="B4" s="20" t="n">
        <v>626662189.932683</v>
      </c>
      <c r="C4" s="25" t="n">
        <v>599396396.661463</v>
      </c>
      <c r="D4" s="32" t="n">
        <v>614694781.682927</v>
      </c>
      <c r="E4" s="20" t="n">
        <v>573912882.881951</v>
      </c>
      <c r="F4" s="32" t="n">
        <v>540210941.463415</v>
      </c>
      <c r="G4" s="20" t="n">
        <v>528828321.973171</v>
      </c>
      <c r="H4" s="32" t="n">
        <v>552015036.585366</v>
      </c>
      <c r="I4" s="26" t="n">
        <v>465341037.897561</v>
      </c>
      <c r="J4" s="33" t="n">
        <v>410217580.138537</v>
      </c>
      <c r="K4" s="25" t="n">
        <v>399083957.619512</v>
      </c>
      <c r="L4" s="32" t="n">
        <v>391733894.766342</v>
      </c>
      <c r="M4" s="20" t="n">
        <v>393006931.707317</v>
      </c>
      <c r="N4" s="20" t="n">
        <v>388381948.366829</v>
      </c>
      <c r="O4" s="32" t="n">
        <v>362732899.512195</v>
      </c>
      <c r="P4" s="167" t="n">
        <v>369181823.856585</v>
      </c>
      <c r="Q4" s="33" t="n">
        <v>329125946.341463</v>
      </c>
      <c r="R4" s="32" t="n">
        <v>315363760.146341</v>
      </c>
      <c r="S4" s="20" t="n">
        <v>347500617.423415</v>
      </c>
      <c r="T4" s="32" t="n">
        <v>344401834.146341</v>
      </c>
      <c r="U4" s="32" t="n">
        <v>391618214.634146</v>
      </c>
      <c r="V4" s="20" t="n">
        <v>386025434.365366</v>
      </c>
      <c r="W4" s="20" t="n">
        <v>366418415.752683</v>
      </c>
      <c r="X4" s="26" t="n">
        <v>395784365.853659</v>
      </c>
      <c r="Y4" s="33" t="n">
        <v>405434283.051707</v>
      </c>
      <c r="Z4" s="32" t="n">
        <v>361080326.195122</v>
      </c>
      <c r="AA4" s="20" t="n">
        <v>374802100.723415</v>
      </c>
      <c r="AB4" s="32" t="n">
        <v>306780238.78878</v>
      </c>
      <c r="AC4" s="167" t="n">
        <v>257553412.594146</v>
      </c>
      <c r="AD4" s="33" t="n">
        <v>255662813.170732</v>
      </c>
      <c r="AE4" s="32" t="n">
        <v>244171179.390244</v>
      </c>
      <c r="AF4" s="20" t="n">
        <v>241328058.926341</v>
      </c>
      <c r="AG4" s="32" t="n">
        <v>222194731.707317</v>
      </c>
      <c r="AH4" s="32" t="n">
        <v>192726155.414634</v>
      </c>
      <c r="AI4" s="26" t="n">
        <v>258670635.479512</v>
      </c>
      <c r="AJ4" s="33" t="n">
        <v>238917246.087317</v>
      </c>
      <c r="AK4" s="32" t="n">
        <v>233998826.829268</v>
      </c>
      <c r="AL4" s="32" t="n">
        <v>235877205.542439</v>
      </c>
      <c r="AM4" s="32" t="n">
        <v>217804580.423902</v>
      </c>
      <c r="AN4" s="167" t="n">
        <v>212473712.195122</v>
      </c>
      <c r="AO4" s="33" t="n">
        <v>195809107.317073</v>
      </c>
      <c r="AP4" s="32" t="n">
        <v>198258804.234146</v>
      </c>
      <c r="AQ4" s="32" t="n">
        <v>194420390.243902</v>
      </c>
    </row>
    <row r="5" customFormat="false" ht="12.8" hidden="false" customHeight="false" outlineLevel="0" collapsed="false">
      <c r="A5" s="139" t="s">
        <v>30</v>
      </c>
      <c r="B5" s="20" t="n">
        <v>518290128.416098</v>
      </c>
      <c r="C5" s="25" t="n">
        <v>512282402.401626</v>
      </c>
      <c r="D5" s="32" t="n">
        <v>518986487.469106</v>
      </c>
      <c r="E5" s="20" t="n">
        <v>515020592.327642</v>
      </c>
      <c r="F5" s="32" t="n">
        <v>479189055.560976</v>
      </c>
      <c r="G5" s="20" t="n">
        <v>467290904.655935</v>
      </c>
      <c r="H5" s="32" t="n">
        <v>474678780.798862</v>
      </c>
      <c r="I5" s="26" t="n">
        <v>471234223.985854</v>
      </c>
      <c r="J5" s="33" t="n">
        <v>422529587.09187</v>
      </c>
      <c r="K5" s="25" t="n">
        <v>411979933.631057</v>
      </c>
      <c r="L5" s="32" t="n">
        <v>409332046.95122</v>
      </c>
      <c r="M5" s="20" t="n">
        <v>407624431.185203</v>
      </c>
      <c r="N5" s="20" t="n">
        <v>407168492.88813</v>
      </c>
      <c r="O5" s="32" t="n">
        <v>415406103.958374</v>
      </c>
      <c r="P5" s="167" t="n">
        <v>416945913.949919</v>
      </c>
      <c r="Q5" s="33" t="n">
        <v>399319092.680325</v>
      </c>
      <c r="R5" s="32" t="n">
        <v>374020219.330732</v>
      </c>
      <c r="S5" s="20" t="n">
        <v>392622920.783902</v>
      </c>
      <c r="T5" s="32" t="n">
        <v>389896135.133821</v>
      </c>
      <c r="U5" s="32" t="n">
        <v>418932585.365854</v>
      </c>
      <c r="V5" s="20" t="n">
        <v>408122030.000488</v>
      </c>
      <c r="W5" s="20" t="n">
        <v>383416178.999512</v>
      </c>
      <c r="X5" s="26" t="n">
        <v>423701434.629268</v>
      </c>
      <c r="Y5" s="33" t="n">
        <v>429177116.260325</v>
      </c>
      <c r="Z5" s="32" t="n">
        <v>398316214.619024</v>
      </c>
      <c r="AA5" s="20" t="n">
        <v>417615740.605854</v>
      </c>
      <c r="AB5" s="32" t="n">
        <v>360747504.065041</v>
      </c>
      <c r="AC5" s="167" t="n">
        <v>332681813.729431</v>
      </c>
      <c r="AD5" s="33" t="n">
        <v>307379682.015285</v>
      </c>
      <c r="AE5" s="32" t="n">
        <v>290926570.205691</v>
      </c>
      <c r="AF5" s="20" t="n">
        <v>298712199.56439</v>
      </c>
      <c r="AG5" s="32" t="n">
        <v>277078520.856098</v>
      </c>
      <c r="AH5" s="32" t="n">
        <v>225862848.593496</v>
      </c>
      <c r="AI5" s="26" t="n">
        <v>303340473.671382</v>
      </c>
      <c r="AJ5" s="33" t="n">
        <v>276964012.616098</v>
      </c>
      <c r="AK5" s="32" t="n">
        <v>260700118.690894</v>
      </c>
      <c r="AL5" s="32" t="n">
        <v>232671899.547642</v>
      </c>
      <c r="AM5" s="32" t="n">
        <v>210536432.698211</v>
      </c>
      <c r="AN5" s="167" t="n">
        <v>197829276.422764</v>
      </c>
      <c r="AO5" s="33" t="n">
        <v>190861962.04748</v>
      </c>
      <c r="AP5" s="32" t="n">
        <v>194392632.780813</v>
      </c>
      <c r="AQ5" s="32" t="n">
        <v>187301500.55252</v>
      </c>
    </row>
    <row r="6" customFormat="false" ht="12.8" hidden="false" customHeight="false" outlineLevel="0" collapsed="false">
      <c r="A6" s="139" t="s">
        <v>182</v>
      </c>
      <c r="B6" s="20" t="n">
        <v>562794123.892683</v>
      </c>
      <c r="C6" s="25" t="n">
        <v>511029658.536585</v>
      </c>
      <c r="D6" s="32" t="n">
        <v>511029658.536585</v>
      </c>
      <c r="E6" s="20" t="n">
        <v>445473070.507317</v>
      </c>
      <c r="F6" s="32" t="n">
        <v>442892370.731707</v>
      </c>
      <c r="G6" s="20" t="n">
        <v>452045479.726829</v>
      </c>
      <c r="H6" s="32" t="n">
        <v>429361440.995122</v>
      </c>
      <c r="I6" s="26" t="n">
        <v>400306565.853659</v>
      </c>
      <c r="J6" s="33" t="n">
        <v>374124813.014634</v>
      </c>
      <c r="K6" s="25" t="n">
        <v>380220261.219512</v>
      </c>
      <c r="L6" s="32" t="n">
        <v>368168478.439024</v>
      </c>
      <c r="M6" s="20" t="n">
        <v>368793070.243902</v>
      </c>
      <c r="N6" s="20" t="n">
        <v>365059714.682927</v>
      </c>
      <c r="O6" s="32" t="n">
        <v>350907032.195122</v>
      </c>
      <c r="P6" s="167" t="n">
        <v>373610944.302439</v>
      </c>
      <c r="Q6" s="33" t="n">
        <v>382136622.439024</v>
      </c>
      <c r="R6" s="32" t="n">
        <v>383272243.902439</v>
      </c>
      <c r="S6" s="20" t="n">
        <v>399031830.760976</v>
      </c>
      <c r="T6" s="32" t="n">
        <v>388822593.804878</v>
      </c>
      <c r="U6" s="32" t="n">
        <v>425858048.780488</v>
      </c>
      <c r="V6" s="20" t="n">
        <v>398035322.926829</v>
      </c>
      <c r="W6" s="20" t="n">
        <v>384217648.770732</v>
      </c>
      <c r="X6" s="26" t="n">
        <v>425858048.780488</v>
      </c>
      <c r="Y6" s="33" t="n">
        <v>389878721.765854</v>
      </c>
      <c r="Z6" s="32" t="n">
        <v>371916029.268293</v>
      </c>
      <c r="AA6" s="20" t="n">
        <v>381952083.95122</v>
      </c>
      <c r="AB6" s="32" t="n">
        <v>340686439.02439</v>
      </c>
      <c r="AC6" s="167" t="n">
        <v>338415196.097561</v>
      </c>
      <c r="AD6" s="33" t="n">
        <v>325065965.795122</v>
      </c>
      <c r="AE6" s="32" t="n">
        <v>323300074.419512</v>
      </c>
      <c r="AF6" s="20" t="n">
        <v>335666992.156098</v>
      </c>
      <c r="AG6" s="32" t="n">
        <v>298100634.146341</v>
      </c>
      <c r="AH6" s="32" t="n">
        <v>251525958.878049</v>
      </c>
      <c r="AI6" s="26" t="n">
        <v>354881707.317073</v>
      </c>
      <c r="AJ6" s="33" t="n">
        <v>341140687.609756</v>
      </c>
      <c r="AK6" s="32" t="n">
        <v>340686439.02439</v>
      </c>
      <c r="AL6" s="32" t="n">
        <v>340686439.02439</v>
      </c>
      <c r="AM6" s="32" t="n">
        <v>293805145.960976</v>
      </c>
      <c r="AN6" s="167" t="n">
        <v>334554083.121951</v>
      </c>
      <c r="AO6" s="33" t="n">
        <v>340686439.02439</v>
      </c>
      <c r="AP6" s="32" t="n">
        <v>328106592.263415</v>
      </c>
      <c r="AQ6" s="32" t="n">
        <v>322082120.4</v>
      </c>
    </row>
    <row r="7" customFormat="false" ht="12.8" hidden="false" customHeight="false" outlineLevel="0" collapsed="false">
      <c r="A7" s="139" t="s">
        <v>183</v>
      </c>
      <c r="B7" s="20" t="n">
        <v>332770068.292683</v>
      </c>
      <c r="C7" s="25" t="n">
        <v>340562204.878049</v>
      </c>
      <c r="D7" s="32" t="n">
        <v>340562204.878049</v>
      </c>
      <c r="E7" s="20" t="n">
        <v>341020565.853659</v>
      </c>
      <c r="F7" s="32" t="n">
        <v>341020565.853659</v>
      </c>
      <c r="G7" s="20" t="n">
        <v>286475609.756098</v>
      </c>
      <c r="H7" s="32" t="n">
        <v>286475609.756098</v>
      </c>
      <c r="I7" s="26" t="n">
        <v>279600195.121951</v>
      </c>
      <c r="J7" s="33" t="n">
        <v>278545964.878049</v>
      </c>
      <c r="K7" s="25" t="n">
        <v>264923476.682927</v>
      </c>
      <c r="L7" s="32" t="n">
        <v>264923476.682927</v>
      </c>
      <c r="M7" s="20" t="n">
        <v>264923476.682927</v>
      </c>
      <c r="N7" s="20" t="n">
        <v>264923476.682927</v>
      </c>
      <c r="O7" s="32" t="n">
        <v>267682809.756098</v>
      </c>
      <c r="P7" s="167" t="n">
        <v>273641502.439024</v>
      </c>
      <c r="Q7" s="33" t="n">
        <v>265849365.853659</v>
      </c>
      <c r="R7" s="32" t="n">
        <v>261274923.317073</v>
      </c>
      <c r="S7" s="20" t="n">
        <v>258698934.634146</v>
      </c>
      <c r="T7" s="32" t="n">
        <v>320852682.926829</v>
      </c>
      <c r="U7" s="32" t="n">
        <v>375856000</v>
      </c>
      <c r="V7" s="20" t="n">
        <v>365772058.536585</v>
      </c>
      <c r="W7" s="20" t="n">
        <v>365772058.536585</v>
      </c>
      <c r="X7" s="26" t="n">
        <v>365772058.536585</v>
      </c>
      <c r="Y7" s="33" t="n">
        <v>321833575.414634</v>
      </c>
      <c r="Z7" s="32" t="n">
        <v>321778572.097561</v>
      </c>
      <c r="AA7" s="20" t="n">
        <v>307431873.560976</v>
      </c>
      <c r="AB7" s="32" t="n">
        <v>265858533.073171</v>
      </c>
      <c r="AC7" s="167" t="n">
        <v>265849365.853659</v>
      </c>
      <c r="AD7" s="33" t="n">
        <v>238356874.536585</v>
      </c>
      <c r="AE7" s="32" t="n">
        <v>229189655.02439</v>
      </c>
      <c r="AF7" s="20" t="n">
        <v>229180487.804878</v>
      </c>
      <c r="AG7" s="32" t="n">
        <v>224596878.048781</v>
      </c>
      <c r="AH7" s="32" t="n">
        <v>212221131.707317</v>
      </c>
      <c r="AI7" s="26" t="n">
        <v>221846712.195122</v>
      </c>
      <c r="AJ7" s="33" t="n">
        <v>230097209.756098</v>
      </c>
      <c r="AK7" s="32" t="n">
        <v>211313576.97561</v>
      </c>
      <c r="AL7" s="32" t="n">
        <v>211304409.756098</v>
      </c>
      <c r="AM7" s="32" t="n">
        <v>210855216</v>
      </c>
      <c r="AN7" s="167" t="n">
        <v>215429658.536585</v>
      </c>
      <c r="AO7" s="33" t="n">
        <v>210846048.780488</v>
      </c>
      <c r="AP7" s="32" t="n">
        <v>218179824.390244</v>
      </c>
      <c r="AQ7" s="32" t="n">
        <v>218179824.390244</v>
      </c>
    </row>
    <row r="8" customFormat="false" ht="12.8" hidden="false" customHeight="false" outlineLevel="0" collapsed="false">
      <c r="A8" s="139" t="s">
        <v>27</v>
      </c>
      <c r="B8" s="20" t="n">
        <v>159310018.722602</v>
      </c>
      <c r="C8" s="25" t="n">
        <v>155096643.94439</v>
      </c>
      <c r="D8" s="32" t="n">
        <v>155324715.447154</v>
      </c>
      <c r="E8" s="20" t="n">
        <v>148928279.203577</v>
      </c>
      <c r="F8" s="32" t="n">
        <v>144269067.671545</v>
      </c>
      <c r="G8" s="20" t="n">
        <v>129700833.686829</v>
      </c>
      <c r="H8" s="32" t="n">
        <v>124259735.810732</v>
      </c>
      <c r="I8" s="26" t="n">
        <v>119691434.920976</v>
      </c>
      <c r="J8" s="33" t="n">
        <v>117636543.756098</v>
      </c>
      <c r="K8" s="25" t="n">
        <v>126998969.398374</v>
      </c>
      <c r="L8" s="32" t="n">
        <v>119234560.97561</v>
      </c>
      <c r="M8" s="20" t="n">
        <v>119325928.455285</v>
      </c>
      <c r="N8" s="20" t="n">
        <v>119326385.292683</v>
      </c>
      <c r="O8" s="32" t="n">
        <v>120480996.133333</v>
      </c>
      <c r="P8" s="167" t="n">
        <v>121650847.069593</v>
      </c>
      <c r="Q8" s="33" t="n">
        <v>123152508.145041</v>
      </c>
      <c r="R8" s="32" t="n">
        <v>120605164.538211</v>
      </c>
      <c r="S8" s="20" t="n">
        <v>127608244.299837</v>
      </c>
      <c r="T8" s="32" t="n">
        <v>129741821.138211</v>
      </c>
      <c r="U8" s="32" t="n">
        <v>134316280.196098</v>
      </c>
      <c r="V8" s="20" t="n">
        <v>126074860.435447</v>
      </c>
      <c r="W8" s="20" t="n">
        <v>124990712.195122</v>
      </c>
      <c r="X8" s="26" t="n">
        <v>138878569.105691</v>
      </c>
      <c r="Y8" s="33" t="n">
        <v>143044926.178862</v>
      </c>
      <c r="Z8" s="32" t="n">
        <v>138029162.194146</v>
      </c>
      <c r="AA8" s="20" t="n">
        <v>141135656.503089</v>
      </c>
      <c r="AB8" s="32" t="n">
        <v>139238410.787642</v>
      </c>
      <c r="AC8" s="167" t="n">
        <v>131569243.825691</v>
      </c>
      <c r="AD8" s="33" t="n">
        <v>134541025.922602</v>
      </c>
      <c r="AE8" s="32" t="n">
        <v>127841030.364553</v>
      </c>
      <c r="AF8" s="20" t="n">
        <v>122864463.028618</v>
      </c>
      <c r="AG8" s="32" t="n">
        <v>118777723.577236</v>
      </c>
      <c r="AH8" s="32" t="n">
        <v>92274594.2865041</v>
      </c>
      <c r="AI8" s="26" t="n">
        <v>140863728.610081</v>
      </c>
      <c r="AJ8" s="33" t="n">
        <v>142259513.050081</v>
      </c>
      <c r="AK8" s="32" t="n">
        <v>133396447.23122</v>
      </c>
      <c r="AL8" s="32" t="n">
        <v>121168043.033496</v>
      </c>
      <c r="AM8" s="32" t="n">
        <v>113260918.60748</v>
      </c>
      <c r="AN8" s="167" t="n">
        <v>94108504.0650407</v>
      </c>
      <c r="AO8" s="33" t="n">
        <v>86790517.1479675</v>
      </c>
      <c r="AP8" s="32" t="n">
        <v>88339762.4068293</v>
      </c>
      <c r="AQ8" s="32" t="n">
        <v>85068605.6260163</v>
      </c>
    </row>
    <row r="9" customFormat="false" ht="12.8" hidden="false" customHeight="false" outlineLevel="0" collapsed="false">
      <c r="A9" s="139" t="s">
        <v>31</v>
      </c>
      <c r="B9" s="20" t="n">
        <v>81456989.2682927</v>
      </c>
      <c r="C9" s="25" t="n">
        <v>81456989.2682927</v>
      </c>
      <c r="D9" s="32" t="n">
        <v>81456989.2682927</v>
      </c>
      <c r="E9" s="20" t="n">
        <v>73607860.3902439</v>
      </c>
      <c r="F9" s="32" t="n">
        <v>67433560.9756098</v>
      </c>
      <c r="G9" s="20" t="n">
        <v>70819000.9756098</v>
      </c>
      <c r="H9" s="32" t="n">
        <v>70819000.9756098</v>
      </c>
      <c r="I9" s="26" t="n">
        <v>67433560.9756098</v>
      </c>
      <c r="J9" s="33" t="n">
        <v>68672136.5853659</v>
      </c>
      <c r="K9" s="25" t="n">
        <v>83539172.4878049</v>
      </c>
      <c r="L9" s="32" t="n">
        <v>83539172.4878049</v>
      </c>
      <c r="M9" s="20" t="n">
        <v>83918176.6243903</v>
      </c>
      <c r="N9" s="20" t="n">
        <v>76547000.3121951</v>
      </c>
      <c r="O9" s="32" t="n">
        <v>45414439.0243902</v>
      </c>
      <c r="P9" s="167" t="n">
        <v>46102536.5853659</v>
      </c>
      <c r="Q9" s="33" t="n">
        <v>48166829.2682927</v>
      </c>
      <c r="R9" s="32" t="n">
        <v>45455724.8780488</v>
      </c>
      <c r="S9" s="20" t="n">
        <v>49955882.9268293</v>
      </c>
      <c r="T9" s="32" t="n">
        <v>44905246.8292683</v>
      </c>
      <c r="U9" s="32" t="n">
        <v>50065978.5365854</v>
      </c>
      <c r="V9" s="20" t="n">
        <v>50244883.902439</v>
      </c>
      <c r="W9" s="20" t="n">
        <v>50244883.902439</v>
      </c>
      <c r="X9" s="26" t="n">
        <v>50244883.902439</v>
      </c>
      <c r="Y9" s="33" t="n">
        <v>49446690.7317073</v>
      </c>
      <c r="Z9" s="32" t="n">
        <v>49538207.7073171</v>
      </c>
      <c r="AA9" s="20" t="n">
        <v>51543324</v>
      </c>
      <c r="AB9" s="32" t="n">
        <v>46790634.1463415</v>
      </c>
      <c r="AC9" s="167" t="n">
        <v>46790634.1463415</v>
      </c>
      <c r="AD9" s="33" t="n">
        <v>46780725.5414634</v>
      </c>
      <c r="AE9" s="32" t="n">
        <v>49439259.2780488</v>
      </c>
      <c r="AF9" s="20" t="n">
        <v>43361568.7609756</v>
      </c>
      <c r="AG9" s="32" t="n">
        <v>45414439.0243902</v>
      </c>
      <c r="AH9" s="32" t="n">
        <v>41285853.6585366</v>
      </c>
      <c r="AI9" s="26" t="n">
        <v>62148971.7073171</v>
      </c>
      <c r="AJ9" s="33" t="n">
        <v>66057365.8536585</v>
      </c>
      <c r="AK9" s="32" t="n">
        <v>65860707.5707317</v>
      </c>
      <c r="AL9" s="32" t="n">
        <v>62052638.0487805</v>
      </c>
      <c r="AM9" s="32" t="n">
        <v>60552585.3658537</v>
      </c>
      <c r="AN9" s="167" t="n">
        <v>58089196.097561</v>
      </c>
      <c r="AO9" s="33" t="n">
        <v>55171662.4390244</v>
      </c>
      <c r="AP9" s="32" t="n">
        <v>68075831.2390244</v>
      </c>
      <c r="AQ9" s="32" t="n">
        <v>60552585.3658537</v>
      </c>
    </row>
    <row r="10" customFormat="false" ht="12.8" hidden="false" customHeight="false" outlineLevel="0" collapsed="false">
      <c r="A10" s="139" t="s">
        <v>184</v>
      </c>
      <c r="B10" s="20" t="n">
        <v>81419457.5100813</v>
      </c>
      <c r="C10" s="25" t="n">
        <v>71933147.5726829</v>
      </c>
      <c r="D10" s="32" t="n">
        <v>71915168.7804878</v>
      </c>
      <c r="E10" s="20" t="n">
        <v>71915168.7804878</v>
      </c>
      <c r="F10" s="32" t="n">
        <v>66921059.8373984</v>
      </c>
      <c r="G10" s="20" t="n">
        <v>68918703.4146342</v>
      </c>
      <c r="H10" s="32" t="n">
        <v>61427540</v>
      </c>
      <c r="I10" s="26" t="n">
        <v>58573906.1499187</v>
      </c>
      <c r="J10" s="33" t="n">
        <v>58893029.7113821</v>
      </c>
      <c r="K10" s="25" t="n">
        <v>55934020.1626016</v>
      </c>
      <c r="L10" s="32" t="n">
        <v>55714279.3691057</v>
      </c>
      <c r="M10" s="20" t="n">
        <v>55434609.2682927</v>
      </c>
      <c r="N10" s="20" t="n">
        <v>55434609.2682927</v>
      </c>
      <c r="O10" s="32" t="n">
        <v>57400789.959187</v>
      </c>
      <c r="P10" s="167" t="n">
        <v>59979248.4065041</v>
      </c>
      <c r="Q10" s="33" t="n">
        <v>63678884.3115447</v>
      </c>
      <c r="R10" s="32" t="n">
        <v>74891657.7105691</v>
      </c>
      <c r="S10" s="20" t="n">
        <v>69336710.3331707</v>
      </c>
      <c r="T10" s="32" t="n">
        <v>65922238.0487805</v>
      </c>
      <c r="U10" s="32" t="n">
        <v>64920919.2056911</v>
      </c>
      <c r="V10" s="20" t="n">
        <v>59138240.4604878</v>
      </c>
      <c r="W10" s="20" t="n">
        <v>59138240.4604878</v>
      </c>
      <c r="X10" s="26" t="n">
        <v>65690511.3938211</v>
      </c>
      <c r="Y10" s="33" t="n">
        <v>69556950.537561</v>
      </c>
      <c r="Z10" s="32" t="n">
        <v>65173121.7073171</v>
      </c>
      <c r="AA10" s="20" t="n">
        <v>64973357.3495935</v>
      </c>
      <c r="AB10" s="32" t="n">
        <v>59929307.3170732</v>
      </c>
      <c r="AC10" s="167" t="n">
        <v>52594958.923252</v>
      </c>
      <c r="AD10" s="33" t="n">
        <v>55881582.0186992</v>
      </c>
      <c r="AE10" s="32" t="n">
        <v>51439322.1138211</v>
      </c>
      <c r="AF10" s="20" t="n">
        <v>51426337.4305691</v>
      </c>
      <c r="AG10" s="32" t="n">
        <v>46500148.3691057</v>
      </c>
      <c r="AH10" s="32" t="n">
        <v>39496409.9873171</v>
      </c>
      <c r="AI10" s="26" t="n">
        <v>59899342.6634146</v>
      </c>
      <c r="AJ10" s="33" t="n">
        <v>56248149.615122</v>
      </c>
      <c r="AK10" s="32" t="n">
        <v>51127190.3048781</v>
      </c>
      <c r="AL10" s="32" t="n">
        <v>46815776.0543089</v>
      </c>
      <c r="AM10" s="32" t="n">
        <v>43515169.4538211</v>
      </c>
      <c r="AN10" s="167" t="n">
        <v>40951693.3333333</v>
      </c>
      <c r="AO10" s="33" t="n">
        <v>39976843.2676423</v>
      </c>
      <c r="AP10" s="32" t="n">
        <v>43178566.5110569</v>
      </c>
      <c r="AQ10" s="32" t="n">
        <v>40672522.6434146</v>
      </c>
    </row>
    <row r="11" customFormat="false" ht="12.8" hidden="false" customHeight="false" outlineLevel="0" collapsed="false">
      <c r="A11" s="139" t="s">
        <v>185</v>
      </c>
      <c r="B11" s="20" t="n">
        <v>62220057.0713821</v>
      </c>
      <c r="C11" s="25" t="n">
        <v>62144861.7886179</v>
      </c>
      <c r="D11" s="32" t="n">
        <v>63831650.8943089</v>
      </c>
      <c r="E11" s="20" t="n">
        <v>61700969.9186992</v>
      </c>
      <c r="F11" s="32" t="n">
        <v>59925402.4390244</v>
      </c>
      <c r="G11" s="20" t="n">
        <v>63338930.9186992</v>
      </c>
      <c r="H11" s="32" t="n">
        <v>61541168.8455285</v>
      </c>
      <c r="I11" s="26" t="n">
        <v>62855088.7804878</v>
      </c>
      <c r="J11" s="33" t="n">
        <v>50294280.5373984</v>
      </c>
      <c r="K11" s="25" t="n">
        <v>44407475.3369106</v>
      </c>
      <c r="L11" s="32" t="n">
        <v>44389186.9918699</v>
      </c>
      <c r="M11" s="20" t="n">
        <v>44389186.9918699</v>
      </c>
      <c r="N11" s="20" t="n">
        <v>44398064.8292683</v>
      </c>
      <c r="O11" s="32" t="n">
        <v>45720862.601626</v>
      </c>
      <c r="P11" s="167" t="n">
        <v>43501403.2520325</v>
      </c>
      <c r="Q11" s="33" t="n">
        <v>35561065.4829268</v>
      </c>
      <c r="R11" s="32" t="n">
        <v>28142744.5528455</v>
      </c>
      <c r="S11" s="20" t="n">
        <v>25301836.5853659</v>
      </c>
      <c r="T11" s="32" t="n">
        <v>27521295.9349594</v>
      </c>
      <c r="U11" s="32" t="n">
        <v>24414052.8455285</v>
      </c>
      <c r="V11" s="20" t="n">
        <v>25854126.8499187</v>
      </c>
      <c r="W11" s="20" t="n">
        <v>25766857.7082927</v>
      </c>
      <c r="X11" s="26" t="n">
        <v>25766857.7082927</v>
      </c>
      <c r="Y11" s="33" t="n">
        <v>23979038.8130081</v>
      </c>
      <c r="Z11" s="32" t="n">
        <v>25648072.2439024</v>
      </c>
      <c r="AA11" s="20" t="n">
        <v>25710217.1056911</v>
      </c>
      <c r="AB11" s="32" t="n">
        <v>25914407.3658537</v>
      </c>
      <c r="AC11" s="167" t="n">
        <v>22886443.3643902</v>
      </c>
      <c r="AD11" s="33" t="n">
        <v>21306809.7560976</v>
      </c>
      <c r="AE11" s="32" t="n">
        <v>21306809.7560976</v>
      </c>
      <c r="AF11" s="20" t="n">
        <v>21306809.7560976</v>
      </c>
      <c r="AG11" s="32" t="n">
        <v>18288345.0406504</v>
      </c>
      <c r="AH11" s="32" t="n">
        <v>16734723.495935</v>
      </c>
      <c r="AI11" s="26" t="n">
        <v>19979573.0650407</v>
      </c>
      <c r="AJ11" s="33" t="n">
        <v>21741557.4534959</v>
      </c>
      <c r="AK11" s="32" t="n">
        <v>19486853.0894309</v>
      </c>
      <c r="AL11" s="32" t="n">
        <v>19531242.2764228</v>
      </c>
      <c r="AM11" s="32" t="n">
        <v>19531242.2764228</v>
      </c>
      <c r="AN11" s="167" t="n">
        <v>20862917.8861789</v>
      </c>
      <c r="AO11" s="33" t="n">
        <v>18643458.5365854</v>
      </c>
      <c r="AP11" s="32" t="n">
        <v>20989693.4042276</v>
      </c>
      <c r="AQ11" s="32" t="n">
        <v>21297931.9186992</v>
      </c>
    </row>
    <row r="12" customFormat="false" ht="12.8" hidden="false" customHeight="false" outlineLevel="0" collapsed="false">
      <c r="A12" s="139" t="s">
        <v>29</v>
      </c>
      <c r="B12" s="20" t="n">
        <v>63105211.3170732</v>
      </c>
      <c r="C12" s="25" t="n">
        <v>60212370.7317073</v>
      </c>
      <c r="D12" s="32" t="n">
        <v>60212370.7317073</v>
      </c>
      <c r="E12" s="20" t="n">
        <v>62639789.2682927</v>
      </c>
      <c r="F12" s="32" t="n">
        <v>48889756.097561</v>
      </c>
      <c r="G12" s="20" t="n">
        <v>45939512.195122</v>
      </c>
      <c r="H12" s="32" t="n">
        <v>43655652.5268293</v>
      </c>
      <c r="I12" s="26" t="n">
        <v>41552461.5804878</v>
      </c>
      <c r="J12" s="33" t="n">
        <v>39196097.5609756</v>
      </c>
      <c r="K12" s="25" t="n">
        <v>36667317.0731707</v>
      </c>
      <c r="L12" s="32" t="n">
        <v>35824390.2439024</v>
      </c>
      <c r="M12" s="20" t="n">
        <v>35824390.2439024</v>
      </c>
      <c r="N12" s="20" t="n">
        <v>33717073.1707317</v>
      </c>
      <c r="O12" s="32" t="n">
        <v>33704488.2731707</v>
      </c>
      <c r="P12" s="167" t="n">
        <v>34560000</v>
      </c>
      <c r="Q12" s="33" t="n">
        <v>36899121.9512195</v>
      </c>
      <c r="R12" s="32" t="n">
        <v>38353170.7317073</v>
      </c>
      <c r="S12" s="20" t="n">
        <v>38353170.7317073</v>
      </c>
      <c r="T12" s="32" t="n">
        <v>36250068.2926829</v>
      </c>
      <c r="U12" s="32" t="n">
        <v>34983570.7317073</v>
      </c>
      <c r="V12" s="20" t="n">
        <v>38775055.6097561</v>
      </c>
      <c r="W12" s="20" t="n">
        <v>38775055.6097561</v>
      </c>
      <c r="X12" s="26" t="n">
        <v>38775055.6097561</v>
      </c>
      <c r="Y12" s="33" t="n">
        <v>42926048.7804878</v>
      </c>
      <c r="Z12" s="32" t="n">
        <v>44675121.9512195</v>
      </c>
      <c r="AA12" s="20" t="n">
        <v>43972681.5219512</v>
      </c>
      <c r="AB12" s="32" t="n">
        <v>45518048.7804878</v>
      </c>
      <c r="AC12" s="167" t="n">
        <v>42104195.1219512</v>
      </c>
      <c r="AD12" s="33" t="n">
        <v>43832195.1219512</v>
      </c>
      <c r="AE12" s="32" t="n">
        <v>37510243.902439</v>
      </c>
      <c r="AF12" s="20" t="n">
        <v>35730732.6439024</v>
      </c>
      <c r="AG12" s="32" t="n">
        <v>34559894.6341463</v>
      </c>
      <c r="AH12" s="32" t="n">
        <v>35192195.1219512</v>
      </c>
      <c r="AI12" s="26" t="n">
        <v>34981463.4146341</v>
      </c>
      <c r="AJ12" s="33" t="n">
        <v>32337737.2097561</v>
      </c>
      <c r="AK12" s="32" t="n">
        <v>32667629.2682927</v>
      </c>
      <c r="AL12" s="32" t="n">
        <v>32600195.1219512</v>
      </c>
      <c r="AM12" s="32" t="n">
        <v>31188292.6829268</v>
      </c>
      <c r="AN12" s="167" t="n">
        <v>32031219.5121951</v>
      </c>
      <c r="AO12" s="33" t="n">
        <v>29519297.5609756</v>
      </c>
      <c r="AP12" s="32" t="n">
        <v>28238048.7804878</v>
      </c>
      <c r="AQ12" s="32" t="n">
        <v>27605853.6585366</v>
      </c>
    </row>
    <row r="13" customFormat="false" ht="12.8" hidden="false" customHeight="false" outlineLevel="0" collapsed="false">
      <c r="A13" s="139" t="s">
        <v>186</v>
      </c>
      <c r="B13" s="20" t="n">
        <v>58997055.1039024</v>
      </c>
      <c r="C13" s="25" t="n">
        <v>55666825.8536585</v>
      </c>
      <c r="D13" s="32" t="n">
        <v>54049031.7073171</v>
      </c>
      <c r="E13" s="20" t="n">
        <v>58828878.0487805</v>
      </c>
      <c r="F13" s="32" t="n">
        <v>47813170.6341463</v>
      </c>
      <c r="G13" s="20" t="n">
        <v>42077355.0243902</v>
      </c>
      <c r="H13" s="32" t="n">
        <v>37871090.2439024</v>
      </c>
      <c r="I13" s="26" t="n">
        <v>36768048.7804878</v>
      </c>
      <c r="J13" s="33" t="n">
        <v>35107015.4087805</v>
      </c>
      <c r="K13" s="25" t="n">
        <v>32355882.9268293</v>
      </c>
      <c r="L13" s="32" t="n">
        <v>32355882.9268293</v>
      </c>
      <c r="M13" s="20" t="n">
        <v>32355882.9268293</v>
      </c>
      <c r="N13" s="20" t="n">
        <v>31988202.4390244</v>
      </c>
      <c r="O13" s="32" t="n">
        <v>32576491.2195122</v>
      </c>
      <c r="P13" s="167" t="n">
        <v>33458924.3902439</v>
      </c>
      <c r="Q13" s="33" t="n">
        <v>32355882.9268293</v>
      </c>
      <c r="R13" s="32" t="n">
        <v>32355882.9268293</v>
      </c>
      <c r="S13" s="20" t="n">
        <v>32297568.8014634</v>
      </c>
      <c r="T13" s="32" t="n">
        <v>33525106.8780488</v>
      </c>
      <c r="U13" s="32" t="n">
        <v>33826604.8780488</v>
      </c>
      <c r="V13" s="20" t="n">
        <v>34561965.8536585</v>
      </c>
      <c r="W13" s="20" t="n">
        <v>34561965.8536585</v>
      </c>
      <c r="X13" s="26" t="n">
        <v>34561965.8536585</v>
      </c>
      <c r="Y13" s="33" t="n">
        <v>35665007.3170732</v>
      </c>
      <c r="Z13" s="32" t="n">
        <v>34561965.8536585</v>
      </c>
      <c r="AA13" s="20" t="n">
        <v>36760695.1707317</v>
      </c>
      <c r="AB13" s="32" t="n">
        <v>33091243.902439</v>
      </c>
      <c r="AC13" s="167" t="n">
        <v>30598370.195122</v>
      </c>
      <c r="AD13" s="33" t="n">
        <v>30641682.9565854</v>
      </c>
      <c r="AE13" s="32" t="n">
        <v>29414439.0243902</v>
      </c>
      <c r="AF13" s="20" t="n">
        <v>29414439.0243902</v>
      </c>
      <c r="AG13" s="32" t="n">
        <v>32944171.7073171</v>
      </c>
      <c r="AH13" s="32" t="n">
        <v>32355882.9268293</v>
      </c>
      <c r="AI13" s="26" t="n">
        <v>41915575.6097561</v>
      </c>
      <c r="AJ13" s="33" t="n">
        <v>41402440.7209756</v>
      </c>
      <c r="AK13" s="32" t="n">
        <v>39055021.4146341</v>
      </c>
      <c r="AL13" s="32" t="n">
        <v>39047667.8048781</v>
      </c>
      <c r="AM13" s="32" t="n">
        <v>39231508.0487805</v>
      </c>
      <c r="AN13" s="167" t="n">
        <v>37144921.2804878</v>
      </c>
      <c r="AO13" s="33" t="n">
        <v>36768048.7804878</v>
      </c>
      <c r="AP13" s="32" t="n">
        <v>35853774.4795122</v>
      </c>
      <c r="AQ13" s="32" t="n">
        <v>34924866.495122</v>
      </c>
    </row>
    <row r="14" customFormat="false" ht="12.8" hidden="false" customHeight="false" outlineLevel="0" collapsed="false">
      <c r="A14" s="139" t="s">
        <v>187</v>
      </c>
      <c r="B14" s="20" t="n">
        <v>32807702.0347967</v>
      </c>
      <c r="C14" s="25" t="n">
        <v>33288000.3252033</v>
      </c>
      <c r="D14" s="32" t="n">
        <v>33288000.3252033</v>
      </c>
      <c r="E14" s="20" t="n">
        <v>32486710.6030894</v>
      </c>
      <c r="F14" s="32" t="n">
        <v>33050228.8943089</v>
      </c>
      <c r="G14" s="20" t="n">
        <v>31385828.8780488</v>
      </c>
      <c r="H14" s="32" t="n">
        <v>31623600.3089431</v>
      </c>
      <c r="I14" s="26" t="n">
        <v>34476857.4796748</v>
      </c>
      <c r="J14" s="33" t="n">
        <v>30196971.7235772</v>
      </c>
      <c r="K14" s="25" t="n">
        <v>30860354.0157724</v>
      </c>
      <c r="L14" s="32" t="n">
        <v>29959200.2926829</v>
      </c>
      <c r="M14" s="20" t="n">
        <v>29959200.2926829</v>
      </c>
      <c r="N14" s="20" t="n">
        <v>29721428.8617886</v>
      </c>
      <c r="O14" s="32" t="n">
        <v>30910286.0162602</v>
      </c>
      <c r="P14" s="167" t="n">
        <v>31861371.7398374</v>
      </c>
      <c r="Q14" s="33" t="n">
        <v>31385828.8780488</v>
      </c>
      <c r="R14" s="32" t="n">
        <v>28057028.8455285</v>
      </c>
      <c r="S14" s="20" t="n">
        <v>28882095.7107317</v>
      </c>
      <c r="T14" s="32" t="n">
        <v>28741810.5665041</v>
      </c>
      <c r="U14" s="32" t="n">
        <v>26154857.398374</v>
      </c>
      <c r="V14" s="20" t="n">
        <v>22826057.3658537</v>
      </c>
      <c r="W14" s="20" t="n">
        <v>20900108.7756098</v>
      </c>
      <c r="X14" s="26" t="n">
        <v>21637200.2113821</v>
      </c>
      <c r="Y14" s="33" t="n">
        <v>23539371.6585366</v>
      </c>
      <c r="Z14" s="32" t="n">
        <v>21473137.924065</v>
      </c>
      <c r="AA14" s="20" t="n">
        <v>23301600.2276423</v>
      </c>
      <c r="AB14" s="32" t="n">
        <v>22112743.0731707</v>
      </c>
      <c r="AC14" s="167" t="n">
        <v>14741828.7154472</v>
      </c>
      <c r="AD14" s="33" t="n">
        <v>15317235.5782114</v>
      </c>
      <c r="AE14" s="32" t="n">
        <v>17119543.0243902</v>
      </c>
      <c r="AF14" s="20" t="n">
        <v>18058740.1764228</v>
      </c>
      <c r="AG14" s="32" t="n">
        <v>18308400.1788618</v>
      </c>
      <c r="AH14" s="32" t="n">
        <v>17595085.8861789</v>
      </c>
      <c r="AI14" s="26" t="n">
        <v>21874971.6422764</v>
      </c>
      <c r="AJ14" s="33" t="n">
        <v>22086588.2157724</v>
      </c>
      <c r="AK14" s="32" t="n">
        <v>25679314.5365854</v>
      </c>
      <c r="AL14" s="32" t="n">
        <v>23774765.375122</v>
      </c>
      <c r="AM14" s="32" t="n">
        <v>24966000.2439024</v>
      </c>
      <c r="AN14" s="167" t="n">
        <v>26154857.398374</v>
      </c>
      <c r="AO14" s="33" t="n">
        <v>27105943.1219512</v>
      </c>
      <c r="AP14" s="32" t="n">
        <v>34182020.9053659</v>
      </c>
      <c r="AQ14" s="32" t="n">
        <v>32099143.1707317</v>
      </c>
    </row>
    <row r="15" customFormat="false" ht="12.8" hidden="false" customHeight="false" outlineLevel="0" collapsed="false">
      <c r="A15" s="139" t="s">
        <v>188</v>
      </c>
      <c r="B15" s="20" t="n">
        <v>29463658.5365854</v>
      </c>
      <c r="C15" s="25" t="n">
        <v>29463658.5365854</v>
      </c>
      <c r="D15" s="32" t="n">
        <v>29463658.5365854</v>
      </c>
      <c r="E15" s="20" t="n">
        <v>29463658.5365854</v>
      </c>
      <c r="F15" s="32" t="n">
        <v>29463658.5365854</v>
      </c>
      <c r="G15" s="20" t="n">
        <v>28584146.3414634</v>
      </c>
      <c r="H15" s="32" t="n">
        <v>28584146.3414634</v>
      </c>
      <c r="I15" s="26" t="n">
        <v>26825121.9512195</v>
      </c>
      <c r="J15" s="33" t="n">
        <v>26829519.5121951</v>
      </c>
      <c r="K15" s="25" t="n">
        <v>25334348.7804878</v>
      </c>
      <c r="L15" s="32" t="n">
        <v>25334348.7804878</v>
      </c>
      <c r="M15" s="20" t="n">
        <v>25334348.7804878</v>
      </c>
      <c r="N15" s="20" t="n">
        <v>25066097.5609756</v>
      </c>
      <c r="O15" s="32" t="n">
        <v>25074892.6829268</v>
      </c>
      <c r="P15" s="167" t="n">
        <v>25167241.4634146</v>
      </c>
      <c r="Q15" s="33" t="n">
        <v>24195380.4878049</v>
      </c>
      <c r="R15" s="32" t="n">
        <v>22823341.4634146</v>
      </c>
      <c r="S15" s="20" t="n">
        <v>22823341.4634146</v>
      </c>
      <c r="T15" s="32" t="n">
        <v>22031780.4878049</v>
      </c>
      <c r="U15" s="32" t="n">
        <v>24186585.3658537</v>
      </c>
      <c r="V15" s="20" t="n">
        <v>24186585.3658537</v>
      </c>
      <c r="W15" s="20" t="n">
        <v>24186585.3658537</v>
      </c>
      <c r="X15" s="26" t="n">
        <v>24186585.3658537</v>
      </c>
      <c r="Y15" s="33" t="n">
        <v>24186585.3658537</v>
      </c>
      <c r="Z15" s="32" t="n">
        <v>23883153.6585366</v>
      </c>
      <c r="AA15" s="20" t="n">
        <v>23597312.195122</v>
      </c>
      <c r="AB15" s="32" t="n">
        <v>22867317.0731707</v>
      </c>
      <c r="AC15" s="167" t="n">
        <v>21987804.8780488</v>
      </c>
      <c r="AD15" s="33" t="n">
        <v>19793421.9512195</v>
      </c>
      <c r="AE15" s="32" t="n">
        <v>19797819.5121951</v>
      </c>
      <c r="AF15" s="20" t="n">
        <v>19797819.5121951</v>
      </c>
      <c r="AG15" s="32" t="n">
        <v>20818053.6585366</v>
      </c>
      <c r="AH15" s="32" t="n">
        <v>21811902.4390244</v>
      </c>
      <c r="AI15" s="26" t="n">
        <v>24136629.0731707</v>
      </c>
      <c r="AJ15" s="33" t="n">
        <v>25154048.7804878</v>
      </c>
      <c r="AK15" s="32" t="n">
        <v>24186585.3658537</v>
      </c>
      <c r="AL15" s="32" t="n">
        <v>22647439.0243902</v>
      </c>
      <c r="AM15" s="32" t="n">
        <v>24186585.3658537</v>
      </c>
      <c r="AN15" s="167" t="n">
        <v>24186585.3658537</v>
      </c>
      <c r="AO15" s="33" t="n">
        <v>21143473.1707317</v>
      </c>
      <c r="AP15" s="32" t="n">
        <v>21143473.1707317</v>
      </c>
      <c r="AQ15" s="32" t="n">
        <v>21548048.7804878</v>
      </c>
    </row>
    <row r="16" customFormat="false" ht="12.8" hidden="false" customHeight="false" outlineLevel="0" collapsed="false">
      <c r="A16" s="139" t="s">
        <v>189</v>
      </c>
      <c r="B16" s="20" t="n">
        <v>25761875.5902439</v>
      </c>
      <c r="C16" s="25" t="n">
        <v>26572331.7073171</v>
      </c>
      <c r="D16" s="32" t="n">
        <v>27059491.1219512</v>
      </c>
      <c r="E16" s="20" t="n">
        <v>22881730.0813008</v>
      </c>
      <c r="F16" s="32" t="n">
        <v>21590019.5121951</v>
      </c>
      <c r="G16" s="20" t="n">
        <v>21405489.4308943</v>
      </c>
      <c r="H16" s="32" t="n">
        <v>21479301.4634146</v>
      </c>
      <c r="I16" s="26" t="n">
        <v>21390727.0243902</v>
      </c>
      <c r="J16" s="33" t="n">
        <v>21405489.4308943</v>
      </c>
      <c r="K16" s="25" t="n">
        <v>18453451.0022764</v>
      </c>
      <c r="L16" s="32" t="n">
        <v>18455222.4910569</v>
      </c>
      <c r="M16" s="20" t="n">
        <v>18453008.1300813</v>
      </c>
      <c r="N16" s="20" t="n">
        <v>18452270.0097561</v>
      </c>
      <c r="O16" s="32" t="n">
        <v>18438245.7235772</v>
      </c>
      <c r="P16" s="167" t="n">
        <v>19944011.1869919</v>
      </c>
      <c r="Q16" s="33" t="n">
        <v>20003060.8130081</v>
      </c>
      <c r="R16" s="32" t="n">
        <v>20372120.9756098</v>
      </c>
      <c r="S16" s="20" t="n">
        <v>20076872.8455285</v>
      </c>
      <c r="T16" s="32" t="n">
        <v>20973393.7925203</v>
      </c>
      <c r="U16" s="32" t="n">
        <v>20519745.0406504</v>
      </c>
      <c r="V16" s="20" t="n">
        <v>20572151.5837398</v>
      </c>
      <c r="W16" s="20" t="n">
        <v>19338752.5203252</v>
      </c>
      <c r="X16" s="26" t="n">
        <v>19338752.5203252</v>
      </c>
      <c r="Y16" s="33" t="n">
        <v>21110241.300813</v>
      </c>
      <c r="Z16" s="32" t="n">
        <v>20814993.1707317</v>
      </c>
      <c r="AA16" s="20" t="n">
        <v>21376555.1141463</v>
      </c>
      <c r="AB16" s="32" t="n">
        <v>21555770.7291057</v>
      </c>
      <c r="AC16" s="167" t="n">
        <v>20667369.1056911</v>
      </c>
      <c r="AD16" s="33" t="n">
        <v>19984607.8048781</v>
      </c>
      <c r="AE16" s="32" t="n">
        <v>19191128.4552846</v>
      </c>
      <c r="AF16" s="20" t="n">
        <v>19707369.8107317</v>
      </c>
      <c r="AG16" s="32" t="n">
        <v>17272015.6097561</v>
      </c>
      <c r="AH16" s="32" t="n">
        <v>17212965.9837398</v>
      </c>
      <c r="AI16" s="26" t="n">
        <v>24697506.0813008</v>
      </c>
      <c r="AJ16" s="33" t="n">
        <v>23002781.8146341</v>
      </c>
      <c r="AK16" s="32" t="n">
        <v>21110241.300813</v>
      </c>
      <c r="AL16" s="32" t="n">
        <v>21848361.6260163</v>
      </c>
      <c r="AM16" s="32" t="n">
        <v>19043504.3902439</v>
      </c>
      <c r="AN16" s="167" t="n">
        <v>20372120.9756098</v>
      </c>
      <c r="AO16" s="33" t="n">
        <v>18808929.7508943</v>
      </c>
      <c r="AP16" s="32" t="n">
        <v>17700863.5186992</v>
      </c>
      <c r="AQ16" s="32" t="n">
        <v>16415796.0325203</v>
      </c>
    </row>
    <row r="17" customFormat="false" ht="12.8" hidden="false" customHeight="false" outlineLevel="0" collapsed="false">
      <c r="A17" s="139" t="s">
        <v>190</v>
      </c>
      <c r="B17" s="20" t="n">
        <v>22386533.6585366</v>
      </c>
      <c r="C17" s="25" t="n">
        <v>22393024.3902439</v>
      </c>
      <c r="D17" s="32" t="n">
        <v>22393024.3902439</v>
      </c>
      <c r="E17" s="20" t="n">
        <v>22393024.3902439</v>
      </c>
      <c r="F17" s="32" t="n">
        <v>22393024.3902439</v>
      </c>
      <c r="G17" s="20" t="n">
        <v>22263209.7560976</v>
      </c>
      <c r="H17" s="32" t="n">
        <v>21614785.6585366</v>
      </c>
      <c r="I17" s="26" t="n">
        <v>21614785.6585366</v>
      </c>
      <c r="J17" s="33" t="n">
        <v>19537751.5121951</v>
      </c>
      <c r="K17" s="25" t="n">
        <v>19537751.5121951</v>
      </c>
      <c r="L17" s="32" t="n">
        <v>19537751.5121951</v>
      </c>
      <c r="M17" s="20" t="n">
        <v>19537751.5121951</v>
      </c>
      <c r="N17" s="20" t="n">
        <v>19537751.5121951</v>
      </c>
      <c r="O17" s="32" t="n">
        <v>19472195.1219512</v>
      </c>
      <c r="P17" s="167" t="n">
        <v>20770341.4634146</v>
      </c>
      <c r="Q17" s="33" t="n">
        <v>20770341.4634146</v>
      </c>
      <c r="R17" s="32" t="n">
        <v>21418116.4878049</v>
      </c>
      <c r="S17" s="20" t="n">
        <v>21419414.6341463</v>
      </c>
      <c r="T17" s="32" t="n">
        <v>21419414.6341463</v>
      </c>
      <c r="U17" s="32" t="n">
        <v>21419414.6341463</v>
      </c>
      <c r="V17" s="20" t="n">
        <v>24015707.3170732</v>
      </c>
      <c r="W17" s="20" t="n">
        <v>24015707.3170732</v>
      </c>
      <c r="X17" s="26" t="n">
        <v>24015707.3170732</v>
      </c>
      <c r="Y17" s="33" t="n">
        <v>24009216.5853659</v>
      </c>
      <c r="Z17" s="32" t="n">
        <v>24598575.0243902</v>
      </c>
      <c r="AA17" s="20" t="n">
        <v>22393673.4634146</v>
      </c>
      <c r="AB17" s="32" t="n">
        <v>22393024.3902439</v>
      </c>
      <c r="AC17" s="167" t="n">
        <v>22393024.3902439</v>
      </c>
      <c r="AD17" s="33" t="n">
        <v>21419414.6341463</v>
      </c>
      <c r="AE17" s="32" t="n">
        <v>21059179.0243902</v>
      </c>
      <c r="AF17" s="20" t="n">
        <v>21059179.0243902</v>
      </c>
      <c r="AG17" s="32" t="n">
        <v>20445804.8780488</v>
      </c>
      <c r="AH17" s="32" t="n">
        <v>24554438.0487805</v>
      </c>
      <c r="AI17" s="26" t="n">
        <v>24554438.0487805</v>
      </c>
      <c r="AJ17" s="33" t="n">
        <v>26612000</v>
      </c>
      <c r="AK17" s="32" t="n">
        <v>25638390.2439024</v>
      </c>
      <c r="AL17" s="32" t="n">
        <v>25638390.2439024</v>
      </c>
      <c r="AM17" s="32" t="n">
        <v>26678205.4634146</v>
      </c>
      <c r="AN17" s="167" t="n">
        <v>28883756.097561</v>
      </c>
      <c r="AO17" s="33" t="n">
        <v>29870347.3170732</v>
      </c>
      <c r="AP17" s="32" t="n">
        <v>30181902.4390244</v>
      </c>
      <c r="AQ17" s="32" t="n">
        <v>28883756.097561</v>
      </c>
    </row>
    <row r="18" customFormat="false" ht="12.8" hidden="false" customHeight="false" outlineLevel="0" collapsed="false">
      <c r="A18" s="139" t="s">
        <v>26</v>
      </c>
      <c r="B18" s="20" t="n">
        <v>20312616.5666667</v>
      </c>
      <c r="C18" s="25" t="n">
        <v>21264438.2113821</v>
      </c>
      <c r="D18" s="32" t="n">
        <v>19553317.4326829</v>
      </c>
      <c r="E18" s="20" t="n">
        <v>19677539.8373984</v>
      </c>
      <c r="F18" s="32" t="n">
        <v>19042780.4878049</v>
      </c>
      <c r="G18" s="20" t="n">
        <v>18408021.1382114</v>
      </c>
      <c r="H18" s="32" t="n">
        <v>16802079.9837398</v>
      </c>
      <c r="I18" s="26" t="n">
        <v>16186363.4146341</v>
      </c>
      <c r="J18" s="33" t="n">
        <v>15234224.3902439</v>
      </c>
      <c r="K18" s="25" t="n">
        <v>17659005.1056911</v>
      </c>
      <c r="L18" s="32" t="n">
        <v>17144850.0325203</v>
      </c>
      <c r="M18" s="20" t="n">
        <v>15234224.3902439</v>
      </c>
      <c r="N18" s="20" t="n">
        <v>15234224.3902439</v>
      </c>
      <c r="O18" s="32" t="n">
        <v>15170748.4552846</v>
      </c>
      <c r="P18" s="167" t="n">
        <v>16503743.0894309</v>
      </c>
      <c r="Q18" s="33" t="n">
        <v>15424652.195122</v>
      </c>
      <c r="R18" s="32" t="n">
        <v>17132154.8455285</v>
      </c>
      <c r="S18" s="20" t="n">
        <v>17132154.8455285</v>
      </c>
      <c r="T18" s="32" t="n">
        <v>19038527.6001626</v>
      </c>
      <c r="U18" s="32" t="n">
        <v>19360160.1626016</v>
      </c>
      <c r="V18" s="20" t="n">
        <v>19085499.7920325</v>
      </c>
      <c r="W18" s="20" t="n">
        <v>19085499.7920325</v>
      </c>
      <c r="X18" s="26" t="n">
        <v>20947058.5365854</v>
      </c>
      <c r="Y18" s="33" t="n">
        <v>19677539.8373984</v>
      </c>
      <c r="Z18" s="32" t="n">
        <v>19042780.4878049</v>
      </c>
      <c r="AA18" s="20" t="n">
        <v>19042780.4878049</v>
      </c>
      <c r="AB18" s="32" t="n">
        <v>19994919.5121951</v>
      </c>
      <c r="AC18" s="167" t="n">
        <v>18953914.1788618</v>
      </c>
      <c r="AD18" s="33" t="n">
        <v>18344545.203252</v>
      </c>
      <c r="AE18" s="32" t="n">
        <v>18547668.195122</v>
      </c>
      <c r="AF18" s="20" t="n">
        <v>17484509.7604878</v>
      </c>
      <c r="AG18" s="32" t="n">
        <v>16507678.5973984</v>
      </c>
      <c r="AH18" s="32" t="n">
        <v>14599465.0406504</v>
      </c>
      <c r="AI18" s="26" t="n">
        <v>20419636.9930081</v>
      </c>
      <c r="AJ18" s="33" t="n">
        <v>19677539.8373984</v>
      </c>
      <c r="AK18" s="32" t="n">
        <v>16837563.0313821</v>
      </c>
      <c r="AL18" s="32" t="n">
        <v>16090832.1325203</v>
      </c>
      <c r="AM18" s="32" t="n">
        <v>15111208.0282927</v>
      </c>
      <c r="AN18" s="167" t="n">
        <v>16810966.6146342</v>
      </c>
      <c r="AO18" s="33" t="n">
        <v>13583850.0813008</v>
      </c>
      <c r="AP18" s="32" t="n">
        <v>15494475.7235772</v>
      </c>
      <c r="AQ18" s="32" t="n">
        <v>14599465.0406504</v>
      </c>
    </row>
    <row r="19" customFormat="false" ht="12.8" hidden="false" customHeight="false" outlineLevel="0" collapsed="false">
      <c r="A19" s="139" t="s">
        <v>191</v>
      </c>
      <c r="B19" s="20" t="n">
        <v>18856565.8536585</v>
      </c>
      <c r="C19" s="25" t="n">
        <v>20558168.8873171</v>
      </c>
      <c r="D19" s="32" t="n">
        <v>20558168.8873171</v>
      </c>
      <c r="E19" s="20" t="n">
        <v>20001428.7804878</v>
      </c>
      <c r="F19" s="32" t="n">
        <v>20203463.4146341</v>
      </c>
      <c r="G19" s="20" t="n">
        <v>19402059.3658537</v>
      </c>
      <c r="H19" s="32" t="n">
        <v>18856565.8536585</v>
      </c>
      <c r="I19" s="26" t="n">
        <v>18856565.8536585</v>
      </c>
      <c r="J19" s="33" t="n">
        <v>20129384.0487805</v>
      </c>
      <c r="K19" s="25" t="n">
        <v>20876912.195122</v>
      </c>
      <c r="L19" s="32" t="n">
        <v>20876912.195122</v>
      </c>
      <c r="M19" s="20" t="n">
        <v>20876912.195122</v>
      </c>
      <c r="N19" s="20" t="n">
        <v>20809567.3170732</v>
      </c>
      <c r="O19" s="32" t="n">
        <v>20876912.195122</v>
      </c>
      <c r="P19" s="167" t="n">
        <v>17464749.2590244</v>
      </c>
      <c r="Q19" s="33" t="n">
        <v>16836219.5121951</v>
      </c>
      <c r="R19" s="32" t="n">
        <v>15267083.8536585</v>
      </c>
      <c r="S19" s="20" t="n">
        <v>15354632.195122</v>
      </c>
      <c r="T19" s="32" t="n">
        <v>15222232.1648781</v>
      </c>
      <c r="U19" s="32" t="n">
        <v>15826046.3414634</v>
      </c>
      <c r="V19" s="20" t="n">
        <v>15522994.3902439</v>
      </c>
      <c r="W19" s="20" t="n">
        <v>15522994.3902439</v>
      </c>
      <c r="X19" s="26" t="n">
        <v>15522994.3902439</v>
      </c>
      <c r="Y19" s="33" t="n">
        <v>15826046.3414634</v>
      </c>
      <c r="Z19" s="32" t="n">
        <v>14977500.8780488</v>
      </c>
      <c r="AA19" s="20" t="n">
        <v>15112190.6341463</v>
      </c>
      <c r="AB19" s="32" t="n">
        <v>13738355.1219512</v>
      </c>
      <c r="AC19" s="167" t="n">
        <v>12795526.8292683</v>
      </c>
      <c r="AD19" s="33" t="n">
        <v>13132251.2195122</v>
      </c>
      <c r="AE19" s="32" t="n">
        <v>13495913.5609756</v>
      </c>
      <c r="AF19" s="20" t="n">
        <v>12707978.4878049</v>
      </c>
      <c r="AG19" s="32" t="n">
        <v>9592671.77414634</v>
      </c>
      <c r="AH19" s="32" t="n">
        <v>13435303.1707317</v>
      </c>
      <c r="AI19" s="26" t="n">
        <v>15151048.6287805</v>
      </c>
      <c r="AJ19" s="33" t="n">
        <v>15489321.9512195</v>
      </c>
      <c r="AK19" s="32" t="n">
        <v>16162770.7317073</v>
      </c>
      <c r="AL19" s="32" t="n">
        <v>15832780.8292683</v>
      </c>
      <c r="AM19" s="32" t="n">
        <v>16059194.3092683</v>
      </c>
      <c r="AN19" s="167" t="n">
        <v>15024642.2926829</v>
      </c>
      <c r="AO19" s="33" t="n">
        <v>15455447.477561</v>
      </c>
      <c r="AP19" s="32" t="n">
        <v>15489321.9512195</v>
      </c>
      <c r="AQ19" s="32" t="n">
        <v>15152597.5609756</v>
      </c>
    </row>
    <row r="20" customFormat="false" ht="12.8" hidden="false" customHeight="false" outlineLevel="0" collapsed="false">
      <c r="A20" s="139" t="s">
        <v>192</v>
      </c>
      <c r="B20" s="20" t="n">
        <v>15774803.1382114</v>
      </c>
      <c r="C20" s="25" t="n">
        <v>15774508.6178862</v>
      </c>
      <c r="D20" s="32" t="n">
        <v>15774508.6178862</v>
      </c>
      <c r="E20" s="20" t="n">
        <v>15774508.6178862</v>
      </c>
      <c r="F20" s="32" t="n">
        <v>15774508.6178862</v>
      </c>
      <c r="G20" s="20" t="n">
        <v>15315645.9512195</v>
      </c>
      <c r="H20" s="32" t="n">
        <v>14873276.4227642</v>
      </c>
      <c r="I20" s="26" t="n">
        <v>15138344.7154472</v>
      </c>
      <c r="J20" s="33" t="n">
        <v>15138344.7154472</v>
      </c>
      <c r="K20" s="25" t="n">
        <v>15142173.4796748</v>
      </c>
      <c r="L20" s="32" t="n">
        <v>15141289.9186992</v>
      </c>
      <c r="M20" s="20" t="n">
        <v>15141289.9186992</v>
      </c>
      <c r="N20" s="20" t="n">
        <v>15141289.9186992</v>
      </c>
      <c r="O20" s="32" t="n">
        <v>15141289.9186992</v>
      </c>
      <c r="P20" s="167" t="n">
        <v>15624303.2520325</v>
      </c>
      <c r="Q20" s="33" t="n">
        <v>15609577.2357724</v>
      </c>
      <c r="R20" s="32" t="n">
        <v>15904097.5609756</v>
      </c>
      <c r="S20" s="20" t="n">
        <v>15904097.5609756</v>
      </c>
      <c r="T20" s="32" t="n">
        <v>16345878.0487805</v>
      </c>
      <c r="U20" s="32" t="n">
        <v>16787658.5365854</v>
      </c>
      <c r="V20" s="20" t="n">
        <v>17523959.3495935</v>
      </c>
      <c r="W20" s="20" t="n">
        <v>17523959.3495935</v>
      </c>
      <c r="X20" s="26" t="n">
        <v>17523959.3495935</v>
      </c>
      <c r="Y20" s="33" t="n">
        <v>17627041.4634146</v>
      </c>
      <c r="Z20" s="32" t="n">
        <v>18283821.7886179</v>
      </c>
      <c r="AA20" s="20" t="n">
        <v>18283821.7886179</v>
      </c>
      <c r="AB20" s="32" t="n">
        <v>19438341.4634146</v>
      </c>
      <c r="AC20" s="167" t="n">
        <v>20027676.6341463</v>
      </c>
      <c r="AD20" s="33" t="n">
        <v>17965739.8373984</v>
      </c>
      <c r="AE20" s="32" t="n">
        <v>17965739.8373984</v>
      </c>
      <c r="AF20" s="20" t="n">
        <v>18260260.1626016</v>
      </c>
      <c r="AG20" s="32" t="n">
        <v>17523959.3495935</v>
      </c>
      <c r="AH20" s="32" t="n">
        <v>15745056.5853659</v>
      </c>
      <c r="AI20" s="26" t="n">
        <v>21794504.0650407</v>
      </c>
      <c r="AJ20" s="33" t="n">
        <v>21794504.0650407</v>
      </c>
      <c r="AK20" s="32" t="n">
        <v>22236284.5528455</v>
      </c>
      <c r="AL20" s="32" t="n">
        <v>22236284.5528455</v>
      </c>
      <c r="AM20" s="32" t="n">
        <v>22707517.0731707</v>
      </c>
      <c r="AN20" s="167" t="n">
        <v>22383544.7154472</v>
      </c>
      <c r="AO20" s="33" t="n">
        <v>19997930.0813008</v>
      </c>
      <c r="AP20" s="32" t="n">
        <v>18504785.6626016</v>
      </c>
      <c r="AQ20" s="32" t="n">
        <v>17995191.8699187</v>
      </c>
    </row>
    <row r="21" customFormat="false" ht="12.8" hidden="false" customHeight="false" outlineLevel="0" collapsed="false">
      <c r="A21" s="139" t="s">
        <v>193</v>
      </c>
      <c r="B21" s="20" t="n">
        <v>13999258.5365854</v>
      </c>
      <c r="C21" s="25" t="n">
        <v>13999258.5365854</v>
      </c>
      <c r="D21" s="32" t="n">
        <v>13999258.5365854</v>
      </c>
      <c r="E21" s="20" t="n">
        <v>13999258.5365854</v>
      </c>
      <c r="F21" s="32" t="n">
        <v>13999258.5365854</v>
      </c>
      <c r="G21" s="20" t="n">
        <v>14430902.3414634</v>
      </c>
      <c r="H21" s="32" t="n">
        <v>14430902.3414634</v>
      </c>
      <c r="I21" s="26" t="n">
        <v>14430902.3414634</v>
      </c>
      <c r="J21" s="33" t="n">
        <v>14430902.3414634</v>
      </c>
      <c r="K21" s="25" t="n">
        <v>14430902.3414634</v>
      </c>
      <c r="L21" s="32" t="n">
        <v>14430902.3414634</v>
      </c>
      <c r="M21" s="20" t="n">
        <v>14430902.3414634</v>
      </c>
      <c r="N21" s="20" t="n">
        <v>14430902.3414634</v>
      </c>
      <c r="O21" s="32" t="n">
        <v>14430902.3414634</v>
      </c>
      <c r="P21" s="167" t="n">
        <v>14419236.2926829</v>
      </c>
      <c r="Q21" s="33" t="n">
        <v>13999258.5365854</v>
      </c>
      <c r="R21" s="32" t="n">
        <v>13999258.5365854</v>
      </c>
      <c r="S21" s="20" t="n">
        <v>13999258.5365854</v>
      </c>
      <c r="T21" s="32" t="n">
        <v>13999258.5365854</v>
      </c>
      <c r="U21" s="32" t="n">
        <v>13194301.1707317</v>
      </c>
      <c r="V21" s="20" t="n">
        <v>13194301.1707317</v>
      </c>
      <c r="W21" s="20" t="n">
        <v>13194301.1707317</v>
      </c>
      <c r="X21" s="26" t="n">
        <v>13194301.1707317</v>
      </c>
      <c r="Y21" s="33" t="n">
        <v>13194301.1707317</v>
      </c>
      <c r="Z21" s="32" t="n">
        <v>14710887.5121951</v>
      </c>
      <c r="AA21" s="20" t="n">
        <v>14710887.5121951</v>
      </c>
      <c r="AB21" s="32" t="n">
        <v>14710887.5121951</v>
      </c>
      <c r="AC21" s="167" t="n">
        <v>14710887.5121951</v>
      </c>
      <c r="AD21" s="33" t="n">
        <v>14710887.5121951</v>
      </c>
      <c r="AE21" s="32" t="n">
        <v>19260646.5365854</v>
      </c>
      <c r="AF21" s="20" t="n">
        <v>19260646.5365854</v>
      </c>
      <c r="AG21" s="32" t="n">
        <v>19260646.5365854</v>
      </c>
      <c r="AH21" s="32" t="n">
        <v>19260646.5365854</v>
      </c>
      <c r="AI21" s="26" t="n">
        <v>19260646.5365854</v>
      </c>
      <c r="AJ21" s="33" t="n">
        <v>18094041.6585366</v>
      </c>
      <c r="AK21" s="32" t="n">
        <v>18094041.6585366</v>
      </c>
      <c r="AL21" s="32" t="n">
        <v>18094041.6585366</v>
      </c>
      <c r="AM21" s="32" t="n">
        <v>17499073.1707317</v>
      </c>
      <c r="AN21" s="167" t="n">
        <v>17499073.1707317</v>
      </c>
      <c r="AO21" s="33" t="n">
        <v>18082375.6097561</v>
      </c>
      <c r="AP21" s="32" t="n">
        <v>18082375.6097561</v>
      </c>
      <c r="AQ21" s="32" t="n">
        <v>18094041.6585366</v>
      </c>
    </row>
    <row r="22" customFormat="false" ht="12.8" hidden="false" customHeight="false" outlineLevel="0" collapsed="false">
      <c r="A22" s="139" t="s">
        <v>194</v>
      </c>
      <c r="B22" s="20" t="n">
        <v>13165641.3658537</v>
      </c>
      <c r="C22" s="25" t="n">
        <v>13165641.3658537</v>
      </c>
      <c r="D22" s="32" t="n">
        <v>13165641.3658537</v>
      </c>
      <c r="E22" s="20" t="n">
        <v>13165641.3658537</v>
      </c>
      <c r="F22" s="32" t="n">
        <v>13165641.3658537</v>
      </c>
      <c r="G22" s="20" t="n">
        <v>13165641.3658537</v>
      </c>
      <c r="H22" s="32" t="n">
        <v>13165641.3658537</v>
      </c>
      <c r="I22" s="26" t="n">
        <v>12413437.7398374</v>
      </c>
      <c r="J22" s="33" t="n">
        <v>12413437.7398374</v>
      </c>
      <c r="K22" s="25" t="n">
        <v>12051881.300813</v>
      </c>
      <c r="L22" s="32" t="n">
        <v>12051881.300813</v>
      </c>
      <c r="M22" s="20" t="n">
        <v>12051881.300813</v>
      </c>
      <c r="N22" s="20" t="n">
        <v>12051881.300813</v>
      </c>
      <c r="O22" s="32" t="n">
        <v>12051881.300813</v>
      </c>
      <c r="P22" s="167" t="n">
        <v>12051881.300813</v>
      </c>
      <c r="Q22" s="33" t="n">
        <v>12051881.300813</v>
      </c>
      <c r="R22" s="32" t="n">
        <v>12051881.300813</v>
      </c>
      <c r="S22" s="20" t="n">
        <v>12051881.300813</v>
      </c>
      <c r="T22" s="32" t="n">
        <v>12051881.300813</v>
      </c>
      <c r="U22" s="32" t="n">
        <v>12051881.300813</v>
      </c>
      <c r="V22" s="20" t="n">
        <v>12051881.300813</v>
      </c>
      <c r="W22" s="20" t="n">
        <v>12051881.300813</v>
      </c>
      <c r="X22" s="26" t="n">
        <v>12051881.300813</v>
      </c>
      <c r="Y22" s="33" t="n">
        <v>12051881.300813</v>
      </c>
      <c r="Z22" s="32" t="n">
        <v>12051881.300813</v>
      </c>
      <c r="AA22" s="20" t="n">
        <v>12051881.300813</v>
      </c>
      <c r="AB22" s="32" t="n">
        <v>13718365.5772358</v>
      </c>
      <c r="AC22" s="167" t="n">
        <v>13718365.5772358</v>
      </c>
      <c r="AD22" s="33" t="n">
        <v>13718365.5772358</v>
      </c>
      <c r="AE22" s="32" t="n">
        <v>12509021.6260163</v>
      </c>
      <c r="AF22" s="20" t="n">
        <v>12509021.6260163</v>
      </c>
      <c r="AG22" s="32" t="n">
        <v>12509021.6260163</v>
      </c>
      <c r="AH22" s="32" t="n">
        <v>12509021.6260163</v>
      </c>
      <c r="AI22" s="26" t="n">
        <v>12509021.6260163</v>
      </c>
      <c r="AJ22" s="33" t="n">
        <v>12509021.6260163</v>
      </c>
      <c r="AK22" s="32" t="n">
        <v>12509021.6260163</v>
      </c>
      <c r="AL22" s="32" t="n">
        <v>12509021.6260163</v>
      </c>
      <c r="AM22" s="32" t="n">
        <v>12509021.6260163</v>
      </c>
      <c r="AN22" s="167" t="n">
        <v>12509021.6260163</v>
      </c>
      <c r="AO22" s="33" t="n">
        <v>13614470.0487805</v>
      </c>
      <c r="AP22" s="32" t="n">
        <v>13614470.0487805</v>
      </c>
      <c r="AQ22" s="32" t="n">
        <v>13614470.0487805</v>
      </c>
    </row>
    <row r="23" customFormat="false" ht="12.8" hidden="false" customHeight="false" outlineLevel="0" collapsed="false">
      <c r="A23" s="139" t="s">
        <v>195</v>
      </c>
      <c r="B23" s="20" t="n">
        <v>12619504.3902439</v>
      </c>
      <c r="C23" s="25" t="n">
        <v>12488519.0243902</v>
      </c>
      <c r="D23" s="32" t="n">
        <v>12488519.0243902</v>
      </c>
      <c r="E23" s="20" t="n">
        <v>12474796.7479675</v>
      </c>
      <c r="F23" s="32" t="n">
        <v>13721028.9430894</v>
      </c>
      <c r="G23" s="20" t="n">
        <v>12487271.5447154</v>
      </c>
      <c r="H23" s="32" t="n">
        <v>12474796.7479675</v>
      </c>
      <c r="I23" s="26" t="n">
        <v>12477291.7073171</v>
      </c>
      <c r="J23" s="33" t="n">
        <v>13348032.5203252</v>
      </c>
      <c r="K23" s="25" t="n">
        <v>13535154.4715447</v>
      </c>
      <c r="L23" s="32" t="n">
        <v>13535154.4715447</v>
      </c>
      <c r="M23" s="20" t="n">
        <v>13535154.4715447</v>
      </c>
      <c r="N23" s="20" t="n">
        <v>13535154.4715447</v>
      </c>
      <c r="O23" s="32" t="n">
        <v>13722276.4227642</v>
      </c>
      <c r="P23" s="167" t="n">
        <v>13722276.4227642</v>
      </c>
      <c r="Q23" s="33" t="n">
        <v>15219252.0325203</v>
      </c>
      <c r="R23" s="32" t="n">
        <v>15219252.0325203</v>
      </c>
      <c r="S23" s="20" t="n">
        <v>15219252.0325203</v>
      </c>
      <c r="T23" s="32" t="n">
        <v>15219252.0325203</v>
      </c>
      <c r="U23" s="32" t="n">
        <v>15156878.0487805</v>
      </c>
      <c r="V23" s="20" t="n">
        <v>15156878.0487805</v>
      </c>
      <c r="W23" s="20" t="n">
        <v>15156878.0487805</v>
      </c>
      <c r="X23" s="26" t="n">
        <v>15156878.0487805</v>
      </c>
      <c r="Y23" s="33" t="n">
        <v>15156878.0487805</v>
      </c>
      <c r="Z23" s="32" t="n">
        <v>16843470.5691057</v>
      </c>
      <c r="AA23" s="20" t="n">
        <v>16843470.5691057</v>
      </c>
      <c r="AB23" s="32" t="n">
        <v>16840975.6097561</v>
      </c>
      <c r="AC23" s="167" t="n">
        <v>16385645.5284553</v>
      </c>
      <c r="AD23" s="33" t="n">
        <v>16385645.5284553</v>
      </c>
      <c r="AE23" s="32" t="n">
        <v>17564513.8211382</v>
      </c>
      <c r="AF23" s="20" t="n">
        <v>17564513.8211382</v>
      </c>
      <c r="AG23" s="32" t="n">
        <v>17564513.8211382</v>
      </c>
      <c r="AH23" s="32" t="n">
        <v>17564513.8211382</v>
      </c>
      <c r="AI23" s="26" t="n">
        <v>17567008.7804878</v>
      </c>
      <c r="AJ23" s="33" t="n">
        <v>16299569.4308943</v>
      </c>
      <c r="AK23" s="32" t="n">
        <v>14894907.3170732</v>
      </c>
      <c r="AL23" s="32" t="n">
        <v>13819579.8373984</v>
      </c>
      <c r="AM23" s="32" t="n">
        <v>13410406.504065</v>
      </c>
      <c r="AN23" s="167" t="n">
        <v>13444088.4552846</v>
      </c>
      <c r="AO23" s="33" t="n">
        <v>11764980.8130081</v>
      </c>
      <c r="AP23" s="32" t="n">
        <v>11463090.7317073</v>
      </c>
      <c r="AQ23" s="32" t="n">
        <v>10936654.3089431</v>
      </c>
    </row>
    <row r="24" customFormat="false" ht="12.8" hidden="false" customHeight="false" outlineLevel="0" collapsed="false">
      <c r="A24" s="139" t="s">
        <v>196</v>
      </c>
      <c r="B24" s="20" t="n">
        <v>11876546.3414634</v>
      </c>
      <c r="C24" s="25" t="n">
        <v>11929330.9918699</v>
      </c>
      <c r="D24" s="32" t="n">
        <v>11929330.9918699</v>
      </c>
      <c r="E24" s="20" t="n">
        <v>11929330.9918699</v>
      </c>
      <c r="F24" s="32" t="n">
        <v>11929330.9918699</v>
      </c>
      <c r="G24" s="20" t="n">
        <v>11929330.9918699</v>
      </c>
      <c r="H24" s="32" t="n">
        <v>11889742.504065</v>
      </c>
      <c r="I24" s="26" t="n">
        <v>11876546.3414634</v>
      </c>
      <c r="J24" s="33" t="n">
        <v>11876546.3414634</v>
      </c>
      <c r="K24" s="25" t="n">
        <v>11876546.3414634</v>
      </c>
      <c r="L24" s="32" t="n">
        <v>11876546.3414634</v>
      </c>
      <c r="M24" s="20" t="n">
        <v>11876546.3414634</v>
      </c>
      <c r="N24" s="20" t="n">
        <v>11876546.3414634</v>
      </c>
      <c r="O24" s="32" t="n">
        <v>11876546.3414634</v>
      </c>
      <c r="P24" s="167" t="n">
        <v>11912835.7886179</v>
      </c>
      <c r="Q24" s="33" t="n">
        <v>11289317.1056911</v>
      </c>
      <c r="R24" s="32" t="n">
        <v>11546642.2764228</v>
      </c>
      <c r="S24" s="20" t="n">
        <v>11546642.2764228</v>
      </c>
      <c r="T24" s="32" t="n">
        <v>11876546.3414634</v>
      </c>
      <c r="U24" s="32" t="n">
        <v>11873247.300813</v>
      </c>
      <c r="V24" s="20" t="n">
        <v>11873247.300813</v>
      </c>
      <c r="W24" s="20" t="n">
        <v>11873247.300813</v>
      </c>
      <c r="X24" s="26" t="n">
        <v>11873247.300813</v>
      </c>
      <c r="Y24" s="33" t="n">
        <v>11873247.300813</v>
      </c>
      <c r="Z24" s="32" t="n">
        <v>11879845.3821138</v>
      </c>
      <c r="AA24" s="20" t="n">
        <v>11879845.3821138</v>
      </c>
      <c r="AB24" s="32" t="n">
        <v>12074488.7804878</v>
      </c>
      <c r="AC24" s="167" t="n">
        <v>13341320.3902439</v>
      </c>
      <c r="AD24" s="33" t="n">
        <v>9897913.72097561</v>
      </c>
      <c r="AE24" s="32" t="n">
        <v>8740742.22243902</v>
      </c>
      <c r="AF24" s="20" t="n">
        <v>8247601.62601626</v>
      </c>
      <c r="AG24" s="32" t="n">
        <v>8247601.62601626</v>
      </c>
      <c r="AH24" s="32" t="n">
        <v>9567217.88617886</v>
      </c>
      <c r="AI24" s="26" t="n">
        <v>9567217.88617886</v>
      </c>
      <c r="AJ24" s="33" t="n">
        <v>4849589.75609756</v>
      </c>
      <c r="AK24" s="32" t="n">
        <v>5426921.8699187</v>
      </c>
      <c r="AL24" s="32" t="n">
        <v>6106524.24390244</v>
      </c>
      <c r="AM24" s="32" t="n">
        <v>7752745.52845528</v>
      </c>
      <c r="AN24" s="167" t="n">
        <v>7752745.52845528</v>
      </c>
      <c r="AO24" s="33" t="n">
        <v>7752745.52845528</v>
      </c>
      <c r="AP24" s="32" t="n">
        <v>9412162.97560976</v>
      </c>
      <c r="AQ24" s="32" t="n">
        <v>9412162.97560976</v>
      </c>
    </row>
    <row r="25" customFormat="false" ht="12.8" hidden="false" customHeight="false" outlineLevel="0" collapsed="false">
      <c r="A25" s="139" t="s">
        <v>197</v>
      </c>
      <c r="B25" s="20" t="n">
        <v>10341697.5609756</v>
      </c>
      <c r="C25" s="25" t="n">
        <v>9424390.24390244</v>
      </c>
      <c r="D25" s="32" t="n">
        <v>9424390.24390244</v>
      </c>
      <c r="E25" s="20" t="n">
        <v>9424390.24390244</v>
      </c>
      <c r="F25" s="32" t="n">
        <v>10052682.9268293</v>
      </c>
      <c r="G25" s="20" t="n">
        <v>7539512.19512195</v>
      </c>
      <c r="H25" s="32" t="n">
        <v>7539512.19512195</v>
      </c>
      <c r="I25" s="26" t="n">
        <v>7539512.19512195</v>
      </c>
      <c r="J25" s="33" t="n">
        <v>6282926.82926829</v>
      </c>
      <c r="K25" s="25" t="n">
        <v>6282926.82926829</v>
      </c>
      <c r="L25" s="32" t="n">
        <v>5434731.70731707</v>
      </c>
      <c r="M25" s="20" t="n">
        <v>5434731.70731707</v>
      </c>
      <c r="N25" s="20" t="n">
        <v>5434731.70731707</v>
      </c>
      <c r="O25" s="32" t="n">
        <v>4536273.17073171</v>
      </c>
      <c r="P25" s="167" t="n">
        <v>4536273.17073171</v>
      </c>
      <c r="Q25" s="33" t="n">
        <v>5277658.53658537</v>
      </c>
      <c r="R25" s="32" t="n">
        <v>5120585.36585366</v>
      </c>
      <c r="S25" s="20" t="n">
        <v>5120585.36585366</v>
      </c>
      <c r="T25" s="32" t="n">
        <v>5057756.09756098</v>
      </c>
      <c r="U25" s="32" t="n">
        <v>4775024.3902439</v>
      </c>
      <c r="V25" s="20" t="n">
        <v>4712195.12195122</v>
      </c>
      <c r="W25" s="20" t="n">
        <v>4712195.12195122</v>
      </c>
      <c r="X25" s="26" t="n">
        <v>4599102.43902439</v>
      </c>
      <c r="Y25" s="33" t="n">
        <v>4398048.78048781</v>
      </c>
      <c r="Z25" s="32" t="n">
        <v>4398048.78048781</v>
      </c>
      <c r="AA25" s="20" t="n">
        <v>4096468.29268293</v>
      </c>
      <c r="AB25" s="32" t="n">
        <v>4153014.63414634</v>
      </c>
      <c r="AC25" s="167" t="n">
        <v>4712195.12195122</v>
      </c>
      <c r="AD25" s="33" t="n">
        <v>4266107.31707317</v>
      </c>
      <c r="AE25" s="32" t="n">
        <v>3882848.7804878</v>
      </c>
      <c r="AF25" s="20" t="n">
        <v>3882848.7804878</v>
      </c>
      <c r="AG25" s="32" t="n">
        <v>3882848.7804878</v>
      </c>
      <c r="AH25" s="32" t="n">
        <v>4146731.70731707</v>
      </c>
      <c r="AI25" s="26" t="n">
        <v>4146731.70731707</v>
      </c>
      <c r="AJ25" s="33" t="n">
        <v>4146731.70731707</v>
      </c>
      <c r="AK25" s="32" t="n">
        <v>4146731.70731707</v>
      </c>
      <c r="AL25" s="32" t="n">
        <v>4266107.31707317</v>
      </c>
      <c r="AM25" s="32" t="n">
        <v>4266107.31707317</v>
      </c>
      <c r="AN25" s="167" t="n">
        <v>4341502.43902439</v>
      </c>
      <c r="AO25" s="33" t="n">
        <v>4146731.70731707</v>
      </c>
      <c r="AP25" s="32" t="n">
        <v>3518439.02439024</v>
      </c>
      <c r="AQ25" s="32" t="n">
        <v>3606400</v>
      </c>
    </row>
    <row r="26" customFormat="false" ht="12.8" hidden="false" customHeight="false" outlineLevel="0" collapsed="false">
      <c r="A26" s="139" t="s">
        <v>198</v>
      </c>
      <c r="B26" s="20" t="n">
        <v>6706666.66666667</v>
      </c>
      <c r="C26" s="25" t="n">
        <v>6706666.66666667</v>
      </c>
      <c r="D26" s="32" t="n">
        <v>6706666.66666667</v>
      </c>
      <c r="E26" s="20" t="n">
        <v>6706666.66666667</v>
      </c>
      <c r="F26" s="32" t="n">
        <v>6706666.66666667</v>
      </c>
      <c r="G26" s="20" t="n">
        <v>6706666.66666667</v>
      </c>
      <c r="H26" s="32" t="n">
        <v>6706666.66666667</v>
      </c>
      <c r="I26" s="26" t="n">
        <v>6706666.66666667</v>
      </c>
      <c r="J26" s="33" t="n">
        <v>4694666.66666667</v>
      </c>
      <c r="K26" s="25" t="n">
        <v>6706666.66666667</v>
      </c>
      <c r="L26" s="32" t="n">
        <v>6706666.66666667</v>
      </c>
      <c r="M26" s="20" t="n">
        <v>6706666.66666667</v>
      </c>
      <c r="N26" s="20" t="n">
        <v>6706666.66666667</v>
      </c>
      <c r="O26" s="32" t="n">
        <v>6706666.66666667</v>
      </c>
      <c r="P26" s="167" t="n">
        <v>7042000</v>
      </c>
      <c r="Q26" s="33" t="n">
        <v>7042000</v>
      </c>
      <c r="R26" s="32" t="n">
        <v>7042000</v>
      </c>
      <c r="S26" s="20" t="n">
        <v>7042000</v>
      </c>
      <c r="T26" s="32" t="n">
        <v>7209666.66666667</v>
      </c>
      <c r="U26" s="32" t="n">
        <v>7209666.66666667</v>
      </c>
      <c r="V26" s="20" t="n">
        <v>7209666.66666667</v>
      </c>
      <c r="W26" s="20" t="n">
        <v>7209666.66666667</v>
      </c>
      <c r="X26" s="26" t="n">
        <v>7209666.66666667</v>
      </c>
      <c r="Y26" s="33" t="n">
        <v>6706666.66666667</v>
      </c>
      <c r="Z26" s="32" t="n">
        <v>6706666.66666667</v>
      </c>
      <c r="AA26" s="20" t="n">
        <v>6710020</v>
      </c>
      <c r="AB26" s="32" t="n">
        <v>6710020</v>
      </c>
      <c r="AC26" s="167" t="n">
        <v>6710020</v>
      </c>
      <c r="AD26" s="33" t="n">
        <v>6371333.33333333</v>
      </c>
      <c r="AE26" s="32" t="n">
        <v>6039353.33333333</v>
      </c>
      <c r="AF26" s="20" t="n">
        <v>6039353.33333333</v>
      </c>
      <c r="AG26" s="32" t="n">
        <v>6039353.33333333</v>
      </c>
      <c r="AH26" s="32" t="n">
        <v>6039353.33333333</v>
      </c>
      <c r="AI26" s="26" t="n">
        <v>6039353.33333333</v>
      </c>
      <c r="AJ26" s="33" t="n">
        <v>6039353.33333333</v>
      </c>
      <c r="AK26" s="32" t="n">
        <v>6039353.33333333</v>
      </c>
      <c r="AL26" s="32" t="n">
        <v>6039353.33333333</v>
      </c>
      <c r="AM26" s="32" t="n">
        <v>6039353.33333333</v>
      </c>
      <c r="AN26" s="167" t="n">
        <v>6039353.33333333</v>
      </c>
      <c r="AO26" s="33" t="n">
        <v>6039353.33333333</v>
      </c>
      <c r="AP26" s="32" t="n">
        <v>5700666.66666667</v>
      </c>
      <c r="AQ26" s="32" t="n">
        <v>5700666.66666667</v>
      </c>
    </row>
    <row r="27" customFormat="false" ht="12.8" hidden="false" customHeight="false" outlineLevel="0" collapsed="false">
      <c r="A27" s="139" t="s">
        <v>28</v>
      </c>
      <c r="B27" s="20" t="n">
        <v>5301219.51219512</v>
      </c>
      <c r="C27" s="25" t="n">
        <v>5301219.51219512</v>
      </c>
      <c r="D27" s="32" t="n">
        <v>5301219.51219512</v>
      </c>
      <c r="E27" s="20" t="n">
        <v>5301219.51219512</v>
      </c>
      <c r="F27" s="32" t="n">
        <v>5301219.51219512</v>
      </c>
      <c r="G27" s="20" t="n">
        <v>5301219.51219512</v>
      </c>
      <c r="H27" s="32" t="n">
        <v>5200243.90243902</v>
      </c>
      <c r="I27" s="26" t="n">
        <v>5048780.48780488</v>
      </c>
      <c r="J27" s="33" t="n">
        <v>5048780.48780488</v>
      </c>
      <c r="K27" s="25" t="n">
        <v>5048780.48780488</v>
      </c>
      <c r="L27" s="32" t="n">
        <v>5048780.48780488</v>
      </c>
      <c r="M27" s="20" t="n">
        <v>5048780.48780488</v>
      </c>
      <c r="N27" s="20" t="n">
        <v>3281707.31707317</v>
      </c>
      <c r="O27" s="32" t="n">
        <v>3281707.31707317</v>
      </c>
      <c r="P27" s="167" t="n">
        <v>5183414.63414634</v>
      </c>
      <c r="Q27" s="33" t="n">
        <v>5183414.63414634</v>
      </c>
      <c r="R27" s="32" t="n">
        <v>5183414.63414634</v>
      </c>
      <c r="S27" s="20" t="n">
        <v>5183414.63414634</v>
      </c>
      <c r="T27" s="32" t="n">
        <v>5183414.63414634</v>
      </c>
      <c r="U27" s="32" t="n">
        <v>5183414.63414634</v>
      </c>
      <c r="V27" s="20" t="n">
        <v>5183414.63414634</v>
      </c>
      <c r="W27" s="20" t="n">
        <v>5183414.63414634</v>
      </c>
      <c r="X27" s="26" t="n">
        <v>5183414.63414634</v>
      </c>
      <c r="Y27" s="33" t="n">
        <v>5183414.63414634</v>
      </c>
      <c r="Z27" s="32" t="n">
        <v>4207317.07317073</v>
      </c>
      <c r="AA27" s="20" t="n">
        <v>4207317.07317073</v>
      </c>
      <c r="AB27" s="32" t="n">
        <v>4207317.07317073</v>
      </c>
      <c r="AC27" s="167" t="n">
        <v>4207317.07317073</v>
      </c>
      <c r="AD27" s="33" t="n">
        <v>4207317.07317073</v>
      </c>
      <c r="AE27" s="32" t="n">
        <v>4897317.07317073</v>
      </c>
      <c r="AF27" s="20" t="n">
        <v>5048780.48780488</v>
      </c>
      <c r="AG27" s="32" t="n">
        <v>5385365.85365854</v>
      </c>
      <c r="AH27" s="32" t="n">
        <v>5402195.12195122</v>
      </c>
      <c r="AI27" s="26" t="n">
        <v>5402195.12195122</v>
      </c>
      <c r="AJ27" s="33" t="n">
        <v>4796341.46341464</v>
      </c>
      <c r="AK27" s="32" t="n">
        <v>4964634.14634146</v>
      </c>
      <c r="AL27" s="32" t="n">
        <v>4981463.41463415</v>
      </c>
      <c r="AM27" s="32" t="n">
        <v>6344634.14634146</v>
      </c>
      <c r="AN27" s="167" t="n">
        <v>6546585.36585366</v>
      </c>
      <c r="AO27" s="33" t="n">
        <v>6058536.58536585</v>
      </c>
      <c r="AP27" s="32" t="n">
        <v>5890243.90243902</v>
      </c>
      <c r="AQ27" s="32" t="n">
        <v>5132926.82926829</v>
      </c>
    </row>
    <row r="28" customFormat="false" ht="12.8" hidden="false" customHeight="false" outlineLevel="0" collapsed="false">
      <c r="A28" s="139" t="s">
        <v>199</v>
      </c>
      <c r="B28" s="20" t="n">
        <v>2972360.24390244</v>
      </c>
      <c r="C28" s="25" t="n">
        <v>2972360.24390244</v>
      </c>
      <c r="D28" s="32" t="n">
        <v>2972360.24390244</v>
      </c>
      <c r="E28" s="20" t="n">
        <v>2567646.34146341</v>
      </c>
      <c r="F28" s="32" t="n">
        <v>2567646.34146341</v>
      </c>
      <c r="G28" s="20" t="n">
        <v>2567646.34146341</v>
      </c>
      <c r="H28" s="32" t="n">
        <v>2567646.34146341</v>
      </c>
      <c r="I28" s="26" t="n">
        <v>2567646.34146341</v>
      </c>
      <c r="J28" s="33" t="n">
        <v>2567646.34146341</v>
      </c>
      <c r="K28" s="25" t="n">
        <v>2567646.34146341</v>
      </c>
      <c r="L28" s="32" t="n">
        <v>2567646.34146341</v>
      </c>
      <c r="M28" s="20" t="n">
        <v>2567646.34146341</v>
      </c>
      <c r="N28" s="20" t="n">
        <v>2567646.34146341</v>
      </c>
      <c r="O28" s="32" t="n">
        <v>2567646.34146341</v>
      </c>
      <c r="P28" s="167" t="n">
        <v>2567646.34146341</v>
      </c>
      <c r="Q28" s="33" t="n">
        <v>2567646.34146341</v>
      </c>
      <c r="R28" s="32" t="n">
        <v>2567646.34146341</v>
      </c>
      <c r="S28" s="20" t="n">
        <v>2567646.34146341</v>
      </c>
      <c r="T28" s="32" t="n">
        <v>2567646.34146341</v>
      </c>
      <c r="U28" s="32" t="n">
        <v>2567646.34146341</v>
      </c>
      <c r="V28" s="20" t="n">
        <v>2567646.34146341</v>
      </c>
      <c r="W28" s="20" t="n">
        <v>2567646.34146341</v>
      </c>
      <c r="X28" s="26" t="n">
        <v>2567646.34146341</v>
      </c>
      <c r="Y28" s="33" t="n">
        <v>2567646.34146341</v>
      </c>
      <c r="Z28" s="32" t="n">
        <v>2031000</v>
      </c>
      <c r="AA28" s="20" t="n">
        <v>2031000</v>
      </c>
      <c r="AB28" s="32" t="n">
        <v>2031000</v>
      </c>
      <c r="AC28" s="167" t="n">
        <v>2031000</v>
      </c>
      <c r="AD28" s="33" t="n">
        <v>2031000</v>
      </c>
      <c r="AE28" s="32" t="n">
        <v>1667731.70731707</v>
      </c>
      <c r="AF28" s="20" t="n">
        <v>1667731.70731707</v>
      </c>
      <c r="AG28" s="32" t="n">
        <v>1667731.70731707</v>
      </c>
      <c r="AH28" s="32" t="n">
        <v>1667731.70731707</v>
      </c>
      <c r="AI28" s="26" t="n">
        <v>1667731.70731707</v>
      </c>
      <c r="AJ28" s="33" t="n">
        <v>1667731.70731707</v>
      </c>
      <c r="AK28" s="32" t="n">
        <v>1667731.70731707</v>
      </c>
      <c r="AL28" s="32" t="n">
        <v>1667731.70731707</v>
      </c>
      <c r="AM28" s="32" t="n">
        <v>1667731.70731707</v>
      </c>
      <c r="AN28" s="167" t="n">
        <v>1667731.70731707</v>
      </c>
      <c r="AO28" s="33" t="n">
        <v>1667731.70731707</v>
      </c>
      <c r="AP28" s="32" t="n">
        <v>1667731.70731707</v>
      </c>
      <c r="AQ28" s="32" t="n">
        <v>1667731.70731707</v>
      </c>
    </row>
    <row r="29" customFormat="false" ht="12.8" hidden="false" customHeight="false" outlineLevel="0" collapsed="false">
      <c r="A29" s="139" t="s">
        <v>200</v>
      </c>
      <c r="B29" s="20" t="n">
        <v>2961397.46341463</v>
      </c>
      <c r="C29" s="25" t="n">
        <v>2961397.46341463</v>
      </c>
      <c r="D29" s="32" t="n">
        <v>2961397.46341463</v>
      </c>
      <c r="E29" s="20" t="n">
        <v>2961397.46341463</v>
      </c>
      <c r="F29" s="32" t="n">
        <v>2961397.46341463</v>
      </c>
      <c r="G29" s="20" t="n">
        <v>2961397.46341463</v>
      </c>
      <c r="H29" s="32" t="n">
        <v>2961397.46341463</v>
      </c>
      <c r="I29" s="26" t="n">
        <v>2807558.63414634</v>
      </c>
      <c r="J29" s="33" t="n">
        <v>2820378.53658537</v>
      </c>
      <c r="K29" s="25" t="n">
        <v>2640899.90243902</v>
      </c>
      <c r="L29" s="32" t="n">
        <v>2640899.90243902</v>
      </c>
      <c r="M29" s="20" t="n">
        <v>2640899.90243902</v>
      </c>
      <c r="N29" s="20" t="n">
        <v>2640899.90243902</v>
      </c>
      <c r="O29" s="32" t="n">
        <v>2448601.36585366</v>
      </c>
      <c r="P29" s="167" t="n">
        <v>2499880.97560976</v>
      </c>
      <c r="Q29" s="33" t="n">
        <v>2563980.48780488</v>
      </c>
      <c r="R29" s="32" t="n">
        <v>2563980.48780488</v>
      </c>
      <c r="S29" s="20" t="n">
        <v>2615260.09756098</v>
      </c>
      <c r="T29" s="32" t="n">
        <v>2435781.46341463</v>
      </c>
      <c r="U29" s="32" t="n">
        <v>2371681.95121951</v>
      </c>
      <c r="V29" s="20" t="n">
        <v>2371681.95121951</v>
      </c>
      <c r="W29" s="20" t="n">
        <v>2371681.95121951</v>
      </c>
      <c r="X29" s="26" t="n">
        <v>2679359.6097561</v>
      </c>
      <c r="Y29" s="33" t="n">
        <v>2089644.09756098</v>
      </c>
      <c r="Z29" s="32" t="n">
        <v>2448601.36585366</v>
      </c>
      <c r="AA29" s="20" t="n">
        <v>3204975.6097561</v>
      </c>
      <c r="AB29" s="32" t="n">
        <v>3204975.6097561</v>
      </c>
      <c r="AC29" s="167" t="n">
        <v>3204975.6097561</v>
      </c>
      <c r="AD29" s="33" t="n">
        <v>2448601.36585366</v>
      </c>
      <c r="AE29" s="32" t="n">
        <v>2448601.36585366</v>
      </c>
      <c r="AF29" s="20" t="n">
        <v>2448601.36585366</v>
      </c>
      <c r="AG29" s="32" t="n">
        <v>2563980.48780488</v>
      </c>
      <c r="AH29" s="32" t="n">
        <v>2563980.48780488</v>
      </c>
      <c r="AI29" s="26" t="n">
        <v>2563980.48780488</v>
      </c>
      <c r="AJ29" s="33" t="n">
        <v>3012677.07317073</v>
      </c>
      <c r="AK29" s="32" t="n">
        <v>2563980.48780488</v>
      </c>
      <c r="AL29" s="32" t="n">
        <v>2563980.48780488</v>
      </c>
      <c r="AM29" s="32" t="n">
        <v>2628080</v>
      </c>
      <c r="AN29" s="167" t="n">
        <v>2704999.41463415</v>
      </c>
      <c r="AO29" s="33" t="n">
        <v>2064004.29268293</v>
      </c>
      <c r="AP29" s="32" t="n">
        <v>3051136.7804878</v>
      </c>
      <c r="AQ29" s="32" t="n">
        <v>2948577.56097561</v>
      </c>
    </row>
    <row r="31" customFormat="false" ht="12.8" hidden="false" customHeight="false" outlineLevel="0" collapsed="false">
      <c r="A31" s="23" t="s">
        <v>201</v>
      </c>
      <c r="B31" s="25" t="n">
        <f aca="false">SUM(B2:B29)</f>
        <v>4318216952.68992</v>
      </c>
      <c r="C31" s="25" t="n">
        <f aca="false">SUM(C2:C29)</f>
        <v>4208420683.89642</v>
      </c>
      <c r="D31" s="168" t="n">
        <f aca="false">SUM(D2:D29)</f>
        <v>4268607951.56098</v>
      </c>
      <c r="E31" s="25" t="n">
        <f aca="false">SUM(E2:E29)</f>
        <v>4117064479.51073</v>
      </c>
      <c r="F31" s="168" t="n">
        <f aca="false">SUM(F2:F29)</f>
        <v>3939407169.81496</v>
      </c>
      <c r="G31" s="25" t="n">
        <f aca="false">SUM(G2:G29)</f>
        <v>3711044090.33529</v>
      </c>
      <c r="H31" s="168" t="n">
        <f aca="false">SUM(H2:H29)</f>
        <v>3692499234.66244</v>
      </c>
      <c r="I31" s="26" t="n">
        <f aca="false">SUM(I2:I29)</f>
        <v>3507425978.38325</v>
      </c>
      <c r="J31" s="33" t="n">
        <f aca="false">SUM(J2:J29)</f>
        <v>3202486239.32716</v>
      </c>
      <c r="K31" s="25" t="n">
        <f aca="false">SUM(K2:K29)</f>
        <v>3180733070.53919</v>
      </c>
      <c r="L31" s="168" t="n">
        <f aca="false">SUM(L2:L29)</f>
        <v>3112182397.23496</v>
      </c>
      <c r="M31" s="25" t="n">
        <f aca="false">SUM(M2:M29)</f>
        <v>3108771801.70699</v>
      </c>
      <c r="N31" s="25" t="n">
        <f aca="false">SUM(N2:N29)</f>
        <v>3081484398.78423</v>
      </c>
      <c r="O31" s="168" t="n">
        <f aca="false">SUM(O2:O29)</f>
        <v>3008677449.59561</v>
      </c>
      <c r="P31" s="167" t="n">
        <f aca="false">SUM(P2:P29)</f>
        <v>3053185707.39415</v>
      </c>
      <c r="Q31" s="33" t="n">
        <f aca="false">SUM(Q2:Q29)</f>
        <v>2937237011.45593</v>
      </c>
      <c r="R31" s="168" t="n">
        <f aca="false">SUM(R2:R29)</f>
        <v>2846283423.82244</v>
      </c>
      <c r="S31" s="25" t="n">
        <f aca="false">SUM(S2:S29)</f>
        <v>2954125459.93382</v>
      </c>
      <c r="T31" s="168" t="n">
        <f aca="false">SUM(T2:T29)</f>
        <v>3012337904.18569</v>
      </c>
      <c r="U31" s="168" t="n">
        <f aca="false">SUM(U2:U29)</f>
        <v>3201674856.22163</v>
      </c>
      <c r="V31" s="25" t="n">
        <f aca="false">SUM(V2:V29)</f>
        <v>3120319068.47854</v>
      </c>
      <c r="W31" s="25" t="n">
        <f aca="false">SUM(W2:W29)</f>
        <v>3008284641.36098</v>
      </c>
      <c r="X31" s="26" t="n">
        <f aca="false">SUM(X2:X29)</f>
        <v>3211920468.07154</v>
      </c>
      <c r="Y31" s="33" t="n">
        <f aca="false">SUM(Y2:Y29)</f>
        <v>3102311824.17333</v>
      </c>
      <c r="Z31" s="168" t="n">
        <f aca="false">SUM(Z2:Z29)</f>
        <v>2931307251.28065</v>
      </c>
      <c r="AA31" s="25" t="n">
        <f aca="false">SUM(AA2:AA29)</f>
        <v>3011639853.76228</v>
      </c>
      <c r="AB31" s="168" t="n">
        <f aca="false">SUM(AB2:AB29)</f>
        <v>2706444187.25268</v>
      </c>
      <c r="AC31" s="167" t="n">
        <f aca="false">SUM(AC2:AC29)</f>
        <v>2535565659.1987</v>
      </c>
      <c r="AD31" s="33" t="n">
        <f aca="false">SUM(AD2:AD29)</f>
        <v>2419277376.14325</v>
      </c>
      <c r="AE31" s="168" t="n">
        <f aca="false">SUM(AE2:AE29)</f>
        <v>2360406001.87187</v>
      </c>
      <c r="AF31" s="25" t="n">
        <f aca="false">SUM(AF2:AF29)</f>
        <v>2372203304.98032</v>
      </c>
      <c r="AG31" s="168" t="n">
        <f aca="false">SUM(AG2:AG29)</f>
        <v>2218618692.21886</v>
      </c>
      <c r="AH31" s="168" t="n">
        <f aca="false">SUM(AH2:AH29)</f>
        <v>1985637092.15366</v>
      </c>
      <c r="AI31" s="26" t="n">
        <f aca="false">SUM(AI2:AI29)</f>
        <v>2521729234.78195</v>
      </c>
      <c r="AJ31" s="33" t="n">
        <f aca="false">SUM(AJ2:AJ29)</f>
        <v>2417432673.22228</v>
      </c>
      <c r="AK31" s="168" t="n">
        <f aca="false">SUM(AK2:AK29)</f>
        <v>2301355597.69561</v>
      </c>
      <c r="AL31" s="168" t="n">
        <f aca="false">SUM(AL2:AL29)</f>
        <v>2231479799.48293</v>
      </c>
      <c r="AM31" s="168" t="n">
        <f aca="false">SUM(AM2:AM29)</f>
        <v>2116338406.05024</v>
      </c>
      <c r="AN31" s="167" t="n">
        <f aca="false">SUM(AN2:AN29)</f>
        <v>2135570025.55252</v>
      </c>
      <c r="AO31" s="33" t="n">
        <f aca="false">SUM(AO2:AO29)</f>
        <v>2062417092.61187</v>
      </c>
      <c r="AP31" s="168" t="n">
        <f aca="false">SUM(AP2:AP29)</f>
        <v>2093218131.33935</v>
      </c>
      <c r="AQ31" s="168" t="n">
        <f aca="false">SUM(AQ2:AQ29)</f>
        <v>2047759122.44228</v>
      </c>
    </row>
    <row r="32" customFormat="false" ht="12.8" hidden="false" customHeight="false" outlineLevel="0" collapsed="false">
      <c r="A32" s="23" t="s">
        <v>202</v>
      </c>
      <c r="B32" s="25" t="n">
        <f aca="false">SUMPRODUCT(B2:B29,B36:B63)</f>
        <v>541831847.907646</v>
      </c>
      <c r="C32" s="25" t="n">
        <f aca="false">SUMPRODUCT(C2:C29,C36:C63)</f>
        <v>526834678.956121</v>
      </c>
      <c r="D32" s="168" t="n">
        <f aca="false">SUMPRODUCT(D2:D29,D36:D63)</f>
        <v>540615665.444596</v>
      </c>
      <c r="E32" s="25" t="n">
        <f aca="false">SUMPRODUCT(E2:E29,E36:E63)</f>
        <v>520048720.108146</v>
      </c>
      <c r="F32" s="168" t="n">
        <f aca="false">SUMPRODUCT(F2:F29,F36:F63)</f>
        <v>495531391.30689</v>
      </c>
      <c r="G32" s="25" t="n">
        <f aca="false">SUMPRODUCT(G2:G29,G36:G63)</f>
        <v>457214139.860288</v>
      </c>
      <c r="H32" s="168" t="n">
        <f aca="false">SUMPRODUCT(H2:H29,H36:H63)</f>
        <v>461119681.816949</v>
      </c>
      <c r="I32" s="26" t="n">
        <f aca="false">SUMPRODUCT(I2:I29,I36:I63)</f>
        <v>433987970.170908</v>
      </c>
      <c r="J32" s="33" t="n">
        <f aca="false">SUMPRODUCT(J2:J29,J36:J63)</f>
        <v>384502443.407282</v>
      </c>
      <c r="K32" s="25" t="n">
        <f aca="false">SUMPRODUCT(K2:K29,K36:K63)</f>
        <v>383587822.422063</v>
      </c>
      <c r="L32" s="168" t="n">
        <f aca="false">SUMPRODUCT(L2:L29,L36:L63)</f>
        <v>373401932.503328</v>
      </c>
      <c r="M32" s="25" t="n">
        <f aca="false">SUMPRODUCT(M2:M29,M36:M63)</f>
        <v>373271501.121905</v>
      </c>
      <c r="N32" s="25" t="n">
        <f aca="false">SUMPRODUCT(N2:N29,N36:N63)</f>
        <v>371888115.525023</v>
      </c>
      <c r="O32" s="168" t="n">
        <f aca="false">SUMPRODUCT(O2:O29,O36:O63)</f>
        <v>368014569.932211</v>
      </c>
      <c r="P32" s="167" t="n">
        <f aca="false">SUMPRODUCT(P2:P29,P36:P63)</f>
        <v>368229973.625398</v>
      </c>
      <c r="Q32" s="33" t="n">
        <f aca="false">SUMPRODUCT(Q2:Q29,Q36:Q63)</f>
        <v>348799435.024</v>
      </c>
      <c r="R32" s="168" t="n">
        <f aca="false">SUMPRODUCT(R2:R29,R36:R63)</f>
        <v>333770937.815778</v>
      </c>
      <c r="S32" s="25" t="n">
        <f aca="false">SUMPRODUCT(S2:S29,S36:S63)</f>
        <v>351863084.640711</v>
      </c>
      <c r="T32" s="168" t="n">
        <f aca="false">SUMPRODUCT(T2:T29,T36:T63)</f>
        <v>357544292.836963</v>
      </c>
      <c r="U32" s="168" t="n">
        <f aca="false">SUMPRODUCT(U2:U29,U36:U63)</f>
        <v>379803219.380246</v>
      </c>
      <c r="V32" s="25" t="n">
        <f aca="false">SUMPRODUCT(V2:V29,V36:V63)</f>
        <v>369325269.645048</v>
      </c>
      <c r="W32" s="25" t="n">
        <f aca="false">SUMPRODUCT(W2:W29,W36:W63)</f>
        <v>352596743.478118</v>
      </c>
      <c r="X32" s="26" t="n">
        <f aca="false">SUMPRODUCT(X2:X29,X36:X63)</f>
        <v>379812417.232635</v>
      </c>
      <c r="Y32" s="33" t="n">
        <f aca="false">SUMPRODUCT(Y2:Y29,Y36:Y63)</f>
        <v>360054896.913173</v>
      </c>
      <c r="Z32" s="168" t="n">
        <f aca="false">SUMPRODUCT(Z2:Z29,Z36:Z63)</f>
        <v>334771418.369615</v>
      </c>
      <c r="AA32" s="25" t="n">
        <f aca="false">SUMPRODUCT(AA2:AA29,AA36:AA63)</f>
        <v>348739400.592787</v>
      </c>
      <c r="AB32" s="168" t="n">
        <f aca="false">SUMPRODUCT(AB2:AB29,AB36:AB63)</f>
        <v>309331697.130474</v>
      </c>
      <c r="AC32" s="167" t="n">
        <f aca="false">SUMPRODUCT(AC2:AC29,AC36:AC63)</f>
        <v>290528631.230051</v>
      </c>
      <c r="AD32" s="33" t="n">
        <f aca="false">SUMPRODUCT(AD2:AD29,AD36:AD63)</f>
        <v>274600156.642154</v>
      </c>
      <c r="AE32" s="168" t="n">
        <f aca="false">SUMPRODUCT(AE2:AE29,AE36:AE63)</f>
        <v>271022733.030639</v>
      </c>
      <c r="AF32" s="25" t="n">
        <f aca="false">SUMPRODUCT(AF2:AF29,AF36:AF63)</f>
        <v>275724414.510758</v>
      </c>
      <c r="AG32" s="168" t="n">
        <f aca="false">SUMPRODUCT(AG2:AG29,AG36:AG63)</f>
        <v>258380267.731758</v>
      </c>
      <c r="AH32" s="168" t="n">
        <f aca="false">SUMPRODUCT(AH2:AH29,AH36:AH63)</f>
        <v>221189071.446226</v>
      </c>
      <c r="AI32" s="26" t="n">
        <f aca="false">SUMPRODUCT(AI2:AI29,AI36:AI63)</f>
        <v>279004062.700751</v>
      </c>
      <c r="AJ32" s="33" t="n">
        <f aca="false">SUMPRODUCT(AJ2:AJ29,AJ36:AJ63)</f>
        <v>267924079.705733</v>
      </c>
      <c r="AK32" s="168" t="n">
        <f aca="false">SUMPRODUCT(AK2:AK29,AK36:AK63)</f>
        <v>256763597.176679</v>
      </c>
      <c r="AL32" s="168" t="n">
        <f aca="false">SUMPRODUCT(AL2:AL29,AL36:AL63)</f>
        <v>250170534.032918</v>
      </c>
      <c r="AM32" s="168" t="n">
        <f aca="false">SUMPRODUCT(AM2:AM29,AM36:AM63)</f>
        <v>234608892.865701</v>
      </c>
      <c r="AN32" s="167" t="n">
        <f aca="false">SUMPRODUCT(AN2:AN29,AN36:AN63)</f>
        <v>241492877.868823</v>
      </c>
      <c r="AO32" s="33" t="n">
        <f aca="false">SUMPRODUCT(AO2:AO29,AO36:AO63)</f>
        <v>239642506.423114</v>
      </c>
      <c r="AP32" s="168" t="n">
        <f aca="false">SUMPRODUCT(AP2:AP29,AP36:AP63)</f>
        <v>235902851.39474</v>
      </c>
      <c r="AQ32" s="168" t="n">
        <f aca="false">SUMPRODUCT(AQ2:AQ29,AQ36:AQ63)</f>
        <v>234147285.627347</v>
      </c>
    </row>
    <row r="33" customFormat="false" ht="12.8" hidden="false" customHeight="false" outlineLevel="0" collapsed="false">
      <c r="A33" s="23" t="s">
        <v>203</v>
      </c>
      <c r="B33" s="48" t="n">
        <f aca="false">B32/$AQ32*1000</f>
        <v>2314.06418594999</v>
      </c>
      <c r="C33" s="48" t="n">
        <f aca="false">C32/$AQ32*1000</f>
        <v>2250.01403515989</v>
      </c>
      <c r="D33" s="55" t="n">
        <f aca="false">D32/$AQ32*1000</f>
        <v>2308.87009429186</v>
      </c>
      <c r="E33" s="56" t="n">
        <f aca="false">E32/$AQ32*1000</f>
        <v>2221.0324527777</v>
      </c>
      <c r="F33" s="55" t="n">
        <f aca="false">F32/$AQ32*1000</f>
        <v>2116.32344991411</v>
      </c>
      <c r="G33" s="56" t="n">
        <f aca="false">G32/$AQ32*1000</f>
        <v>1952.67751507467</v>
      </c>
      <c r="H33" s="55" t="n">
        <f aca="false">H32/$AQ32*1000</f>
        <v>1969.35736658864</v>
      </c>
      <c r="I33" s="50" t="n">
        <f aca="false">I32/$AQ32*1000</f>
        <v>1853.48281534903</v>
      </c>
      <c r="J33" s="51" t="n">
        <f aca="false">J32/$AQ32*1000</f>
        <v>1642.13923034423</v>
      </c>
      <c r="K33" s="56" t="n">
        <f aca="false">K32/$AQ32*1000</f>
        <v>1638.23305230433</v>
      </c>
      <c r="L33" s="55" t="n">
        <f aca="false">L32/$AQ32*1000</f>
        <v>1594.73098952601</v>
      </c>
      <c r="M33" s="56" t="n">
        <f aca="false">M32/$AQ32*1000</f>
        <v>1594.17394108074</v>
      </c>
      <c r="N33" s="56" t="n">
        <f aca="false">N32/$AQ32*1000</f>
        <v>1588.26575558469</v>
      </c>
      <c r="O33" s="55" t="n">
        <f aca="false">O32/$AQ32*1000</f>
        <v>1571.72255465698</v>
      </c>
      <c r="P33" s="52" t="n">
        <f aca="false">P32/$AQ32*1000</f>
        <v>1572.64250422039</v>
      </c>
      <c r="Q33" s="51" t="n">
        <f aca="false">Q32/$AQ32*1000</f>
        <v>1489.65824689989</v>
      </c>
      <c r="R33" s="55" t="n">
        <f aca="false">R32/$AQ32*1000</f>
        <v>1425.47429888632</v>
      </c>
      <c r="S33" s="56" t="n">
        <f aca="false">S32/$AQ32*1000</f>
        <v>1502.74253104396</v>
      </c>
      <c r="T33" s="55" t="n">
        <f aca="false">T32/$AQ32*1000</f>
        <v>1527.00592654321</v>
      </c>
      <c r="U33" s="55" t="n">
        <f aca="false">U32/$AQ32*1000</f>
        <v>1622.06970865644</v>
      </c>
      <c r="V33" s="56" t="n">
        <f aca="false">V32/$AQ32*1000</f>
        <v>1577.32031210834</v>
      </c>
      <c r="W33" s="56" t="n">
        <f aca="false">W32/$AQ32*1000</f>
        <v>1505.87585302734</v>
      </c>
      <c r="X33" s="50" t="n">
        <f aca="false">X32/$AQ32*1000</f>
        <v>1622.10899099262</v>
      </c>
      <c r="Y33" s="51" t="n">
        <f aca="false">Y32/$AQ32*1000</f>
        <v>1537.72825488233</v>
      </c>
      <c r="Z33" s="55" t="n">
        <f aca="false">Z32/$AQ32*1000</f>
        <v>1429.74716735523</v>
      </c>
      <c r="AA33" s="56" t="n">
        <f aca="false">AA32/$AQ32*1000</f>
        <v>1489.40185088379</v>
      </c>
      <c r="AB33" s="55" t="n">
        <f aca="false">AB32/$AQ32*1000</f>
        <v>1321.09879600648</v>
      </c>
      <c r="AC33" s="52" t="n">
        <f aca="false">AC32/$AQ32*1000</f>
        <v>1240.79435920704</v>
      </c>
      <c r="AD33" s="51" t="n">
        <f aca="false">AD32/$AQ32*1000</f>
        <v>1172.76677330007</v>
      </c>
      <c r="AE33" s="55" t="n">
        <f aca="false">AE32/$AQ32*1000</f>
        <v>1157.48825490115</v>
      </c>
      <c r="AF33" s="56" t="n">
        <f aca="false">AF32/$AQ32*1000</f>
        <v>1177.56827191917</v>
      </c>
      <c r="AG33" s="55" t="n">
        <f aca="false">AG32/$AQ32*1000</f>
        <v>1103.49461040936</v>
      </c>
      <c r="AH33" s="55" t="n">
        <f aca="false">AH32/$AQ32*1000</f>
        <v>944.657850094643</v>
      </c>
      <c r="AI33" s="50" t="n">
        <f aca="false">AI32/$AQ32*1000</f>
        <v>1191.57504625014</v>
      </c>
      <c r="AJ33" s="51" t="n">
        <f aca="false">AJ32/$AQ32*1000</f>
        <v>1144.25447635615</v>
      </c>
      <c r="AK33" s="55" t="n">
        <f aca="false">AK32/$AQ32*1000</f>
        <v>1096.5901077552</v>
      </c>
      <c r="AL33" s="55" t="n">
        <f aca="false">AL32/$AQ32*1000</f>
        <v>1068.43234745447</v>
      </c>
      <c r="AM33" s="55" t="n">
        <f aca="false">AM32/$AQ32*1000</f>
        <v>1001.9714396309</v>
      </c>
      <c r="AN33" s="52" t="n">
        <f aca="false">AN32/$AQ32*1000</f>
        <v>1031.37167369587</v>
      </c>
      <c r="AO33" s="51" t="n">
        <f aca="false">AO32/$AQ32*1000</f>
        <v>1023.46907751266</v>
      </c>
      <c r="AP33" s="49" t="n">
        <f aca="false">AP32/$AQ32*1000</f>
        <v>1007.49769856477</v>
      </c>
      <c r="AQ33" s="169" t="n">
        <v>1000</v>
      </c>
    </row>
    <row r="34" customFormat="false" ht="12.8" hidden="false" customHeight="false" outlineLevel="0" collapsed="false">
      <c r="A34" s="23" t="s">
        <v>204</v>
      </c>
      <c r="B34" s="170" t="n">
        <f aca="false">B33/C33-1</f>
        <v>0.0284665561144146</v>
      </c>
      <c r="C34" s="170" t="n">
        <f aca="false">C33/D33-1</f>
        <v>-0.0254912821979377</v>
      </c>
      <c r="D34" s="171" t="n">
        <f aca="false">D33/E33-1</f>
        <v>0.0395481125925528</v>
      </c>
      <c r="E34" s="170" t="n">
        <f aca="false">E33/F33-1</f>
        <v>0.0494768429031196</v>
      </c>
      <c r="F34" s="171" t="n">
        <f aca="false">F33/G33-1</f>
        <v>0.083805919603255</v>
      </c>
      <c r="G34" s="170" t="n">
        <f aca="false">G33/H33-1</f>
        <v>-0.00846969259970087</v>
      </c>
      <c r="H34" s="171" t="n">
        <f aca="false">H33/I33-1</f>
        <v>0.0625171975051675</v>
      </c>
      <c r="I34" s="172" t="n">
        <f aca="false">I33/J33-1</f>
        <v>0.128700162020058</v>
      </c>
      <c r="J34" s="173" t="n">
        <f aca="false">J33/K33-1</f>
        <v>0.00238438483120795</v>
      </c>
      <c r="K34" s="170" t="n">
        <f aca="false">K33/L33-1</f>
        <v>0.0272786213248752</v>
      </c>
      <c r="L34" s="171" t="n">
        <f aca="false">L33/M33-1</f>
        <v>0.000349427644571465</v>
      </c>
      <c r="M34" s="170" t="n">
        <f aca="false">M33/N33-1</f>
        <v>0.00371989730010402</v>
      </c>
      <c r="N34" s="170" t="n">
        <f aca="false">N33/O33-1</f>
        <v>0.0105255223822409</v>
      </c>
      <c r="O34" s="171" t="n">
        <f aca="false">O33/P33-1</f>
        <v>-0.000584970558117126</v>
      </c>
      <c r="P34" s="174" t="n">
        <f aca="false">P33/Q33-1</f>
        <v>0.0557069096171583</v>
      </c>
      <c r="Q34" s="173" t="n">
        <f aca="false">Q33/R33-1</f>
        <v>0.0450263803870095</v>
      </c>
      <c r="R34" s="171" t="n">
        <f aca="false">R33/S33-1</f>
        <v>-0.0514181442006264</v>
      </c>
      <c r="S34" s="170" t="n">
        <f aca="false">S33/T33-1</f>
        <v>-0.0158895228089762</v>
      </c>
      <c r="T34" s="171" t="n">
        <f aca="false">T33/U33-1</f>
        <v>-0.0586064714764781</v>
      </c>
      <c r="U34" s="171" t="n">
        <f aca="false">U33/V33-1</f>
        <v>0.0283705194211827</v>
      </c>
      <c r="V34" s="170" t="n">
        <f aca="false">V33/W33-1</f>
        <v>0.0474437908924377</v>
      </c>
      <c r="W34" s="170" t="n">
        <f aca="false">W33/X33-1</f>
        <v>-0.0716555660628859</v>
      </c>
      <c r="X34" s="172" t="n">
        <f aca="false">X33/Y33-1</f>
        <v>0.0548736331288569</v>
      </c>
      <c r="Y34" s="175" t="n">
        <f aca="false">Y33/Z33-1</f>
        <v>0.0755246032253683</v>
      </c>
      <c r="Z34" s="170" t="n">
        <f aca="false">Z33/AA33-1</f>
        <v>-0.0400527792369585</v>
      </c>
      <c r="AA34" s="170" t="n">
        <f aca="false">AA33/AB33-1</f>
        <v>0.127396266945416</v>
      </c>
      <c r="AB34" s="170" t="n">
        <f aca="false">AB33/AC33-1</f>
        <v>0.0647201820378727</v>
      </c>
      <c r="AC34" s="172" t="n">
        <f aca="false">AC33/AD33-1</f>
        <v>0.0580060651919241</v>
      </c>
      <c r="AD34" s="175" t="n">
        <f aca="false">AD33/AE33-1</f>
        <v>0.0131997178668779</v>
      </c>
      <c r="AE34" s="170" t="n">
        <f aca="false">AE33/AF33-1</f>
        <v>-0.0170521043211264</v>
      </c>
      <c r="AF34" s="170" t="n">
        <f aca="false">AF33/AG33-1</f>
        <v>0.0671264370582916</v>
      </c>
      <c r="AG34" s="170" t="n">
        <f aca="false">AG33/AH33-1</f>
        <v>0.168142105947463</v>
      </c>
      <c r="AH34" s="170" t="n">
        <f aca="false">AH33/AI33-1</f>
        <v>-0.20721917342306</v>
      </c>
      <c r="AI34" s="172" t="n">
        <f aca="false">AI33/AJ33-1</f>
        <v>0.0413549353502947</v>
      </c>
      <c r="AJ34" s="175" t="n">
        <f aca="false">AJ33/AK33-1</f>
        <v>0.0434659844766643</v>
      </c>
      <c r="AK34" s="170" t="n">
        <f aca="false">AK33/AL33-1</f>
        <v>0.0263542753715873</v>
      </c>
      <c r="AL34" s="170" t="n">
        <f aca="false">AL33/AM33-1</f>
        <v>0.0663301419529991</v>
      </c>
      <c r="AM34" s="170" t="n">
        <f aca="false">AM33/AN33-1</f>
        <v>-0.0285059545601231</v>
      </c>
      <c r="AN34" s="172" t="n">
        <f aca="false">AN33/AO33-1</f>
        <v>0.00772138245975995</v>
      </c>
      <c r="AO34" s="175" t="n">
        <f aca="false">AO33/AP33-1</f>
        <v>0.0158525215200405</v>
      </c>
      <c r="AP34" s="170" t="n">
        <f aca="false">AP33/AQ33-1</f>
        <v>0.00749769856477212</v>
      </c>
    </row>
    <row r="35" customFormat="false" ht="12.8" hidden="false" customHeight="false" outlineLevel="0" collapsed="false">
      <c r="B35" s="39"/>
    </row>
    <row r="36" customFormat="false" ht="12.8" hidden="false" customHeight="false" outlineLevel="0" collapsed="false">
      <c r="A36" s="139" t="s">
        <v>24</v>
      </c>
      <c r="B36" s="118" t="n">
        <f aca="false">B2/B$31</f>
        <v>0.205886409492738</v>
      </c>
      <c r="C36" s="118" t="n">
        <f aca="false">C2/C$31</f>
        <v>0.206580691860652</v>
      </c>
      <c r="D36" s="117" t="n">
        <f aca="false">D2/D$31</f>
        <v>0.210764790299142</v>
      </c>
      <c r="E36" s="79" t="n">
        <f aca="false">E2/E$31</f>
        <v>0.211239263234311</v>
      </c>
      <c r="F36" s="117" t="n">
        <f aca="false">F2/F$31</f>
        <v>0.204128683737399</v>
      </c>
      <c r="G36" s="79" t="n">
        <f aca="false">G2/G$31</f>
        <v>0.179800264027506</v>
      </c>
      <c r="H36" s="117" t="n">
        <f aca="false">H2/H$31</f>
        <v>0.180126003779877</v>
      </c>
      <c r="I36" s="176" t="n">
        <f aca="false">I2/I$31</f>
        <v>0.176540747584193</v>
      </c>
      <c r="J36" s="177" t="n">
        <f aca="false">J2/J$31</f>
        <v>0.164627675730706</v>
      </c>
      <c r="K36" s="79" t="n">
        <f aca="false">K2/K$31</f>
        <v>0.151265019229809</v>
      </c>
      <c r="L36" s="117" t="n">
        <f aca="false">L2/L$31</f>
        <v>0.148732472907517</v>
      </c>
      <c r="M36" s="79" t="n">
        <f aca="false">M2/M$31</f>
        <v>0.148291397202866</v>
      </c>
      <c r="N36" s="79" t="n">
        <f aca="false">N2/N$31</f>
        <v>0.14806739267608</v>
      </c>
      <c r="O36" s="117" t="n">
        <f aca="false">O2/O$31</f>
        <v>0.144109366079862</v>
      </c>
      <c r="P36" s="178" t="n">
        <f aca="false">P2/P$31</f>
        <v>0.150437953809243</v>
      </c>
      <c r="Q36" s="177" t="n">
        <f aca="false">Q2/Q$31</f>
        <v>0.147340155864876</v>
      </c>
      <c r="R36" s="117" t="n">
        <f aca="false">R2/R$31</f>
        <v>0.144348019638971</v>
      </c>
      <c r="S36" s="79" t="n">
        <f aca="false">S2/S$31</f>
        <v>0.14298022579903</v>
      </c>
      <c r="T36" s="117" t="n">
        <f aca="false">T2/T$31</f>
        <v>0.143345965882512</v>
      </c>
      <c r="U36" s="117" t="n">
        <f aca="false">U2/U$31</f>
        <v>0.145935149589611</v>
      </c>
      <c r="V36" s="79" t="n">
        <f aca="false">V2/V$31</f>
        <v>0.14428398936764</v>
      </c>
      <c r="W36" s="79" t="n">
        <f aca="false">W2/W$31</f>
        <v>0.13775266688611</v>
      </c>
      <c r="X36" s="176" t="n">
        <f aca="false">X2/X$31</f>
        <v>0.143340939682864</v>
      </c>
      <c r="Y36" s="177" t="n">
        <f aca="false">Y2/Y$31</f>
        <v>0.140069579902978</v>
      </c>
      <c r="Z36" s="117" t="n">
        <f aca="false">Z2/Z$31</f>
        <v>0.129423414251186</v>
      </c>
      <c r="AA36" s="79" t="n">
        <f aca="false">AA2/AA$31</f>
        <v>0.131046334868682</v>
      </c>
      <c r="AB36" s="117" t="n">
        <f aca="false">AB2/AB$31</f>
        <v>0.120476926528083</v>
      </c>
      <c r="AC36" s="178" t="n">
        <f aca="false">AC2/AC$31</f>
        <v>0.116556120732995</v>
      </c>
      <c r="AD36" s="177" t="n">
        <f aca="false">AD2/AD$31</f>
        <v>0.111814557672275</v>
      </c>
      <c r="AE36" s="117" t="n">
        <f aca="false">AE2/AE$31</f>
        <v>0.10850804123396</v>
      </c>
      <c r="AF36" s="79" t="n">
        <f aca="false">AF2/AF$31</f>
        <v>0.110495391904099</v>
      </c>
      <c r="AG36" s="117" t="n">
        <f aca="false">AG2/AG$31</f>
        <v>0.0968981867835055</v>
      </c>
      <c r="AH36" s="117" t="n">
        <f aca="false">AH2/AH$31</f>
        <v>0.112484493980593</v>
      </c>
      <c r="AI36" s="176" t="n">
        <f aca="false">AI2/AI$31</f>
        <v>0.116259548589224</v>
      </c>
      <c r="AJ36" s="177" t="n">
        <f aca="false">AJ2/AJ$31</f>
        <v>0.101910422047708</v>
      </c>
      <c r="AK36" s="117" t="n">
        <f aca="false">AK2/AK$31</f>
        <v>0.0909780664359949</v>
      </c>
      <c r="AL36" s="117" t="n">
        <f aca="false">AL2/AL$31</f>
        <v>0.0914645886587429</v>
      </c>
      <c r="AM36" s="117" t="n">
        <f aca="false">AM2/AM$31</f>
        <v>0.0931003410119668</v>
      </c>
      <c r="AN36" s="178" t="n">
        <f aca="false">AN2/AN$31</f>
        <v>0.0980358891138834</v>
      </c>
      <c r="AO36" s="177" t="n">
        <f aca="false">AO2/AO$31</f>
        <v>0.0907467863171077</v>
      </c>
      <c r="AP36" s="117" t="n">
        <f aca="false">AP2/AP$31</f>
        <v>0.0930612999971286</v>
      </c>
      <c r="AQ36" s="117" t="n">
        <f aca="false">AQ2/AQ$31</f>
        <v>0.0932892877420865</v>
      </c>
    </row>
    <row r="37" customFormat="false" ht="12.8" hidden="false" customHeight="false" outlineLevel="0" collapsed="false">
      <c r="A37" s="139" t="s">
        <v>180</v>
      </c>
      <c r="B37" s="118" t="n">
        <f aca="false">B3/B$31</f>
        <v>0.147473234642773</v>
      </c>
      <c r="C37" s="118" t="n">
        <f aca="false">C3/C$31</f>
        <v>0.152313150029754</v>
      </c>
      <c r="D37" s="117" t="n">
        <f aca="false">D3/D$31</f>
        <v>0.152235503095747</v>
      </c>
      <c r="E37" s="79" t="n">
        <f aca="false">E3/E$31</f>
        <v>0.158637740439467</v>
      </c>
      <c r="F37" s="117" t="n">
        <f aca="false">F3/F$31</f>
        <v>0.1662112174353</v>
      </c>
      <c r="G37" s="79" t="n">
        <f aca="false">G3/G$31</f>
        <v>0.176367816046153</v>
      </c>
      <c r="H37" s="117" t="n">
        <f aca="false">H3/H$31</f>
        <v>0.177253588929518</v>
      </c>
      <c r="I37" s="176" t="n">
        <f aca="false">I3/I$31</f>
        <v>0.186606572882006</v>
      </c>
      <c r="J37" s="177" t="n">
        <f aca="false">J3/J$31</f>
        <v>0.186759997286207</v>
      </c>
      <c r="K37" s="79" t="n">
        <f aca="false">K3/K$31</f>
        <v>0.201363503300127</v>
      </c>
      <c r="L37" s="117" t="n">
        <f aca="false">L3/L$31</f>
        <v>0.200290850269701</v>
      </c>
      <c r="M37" s="79" t="n">
        <f aca="false">M3/M$31</f>
        <v>0.20051058691227</v>
      </c>
      <c r="N37" s="79" t="n">
        <f aca="false">N3/N$31</f>
        <v>0.201780448616116</v>
      </c>
      <c r="O37" s="117" t="n">
        <f aca="false">O3/O$31</f>
        <v>0.20818611369081</v>
      </c>
      <c r="P37" s="178" t="n">
        <f aca="false">P3/P$31</f>
        <v>0.196505029120396</v>
      </c>
      <c r="Q37" s="177" t="n">
        <f aca="false">Q3/Q$31</f>
        <v>0.193651129001909</v>
      </c>
      <c r="R37" s="117" t="n">
        <f aca="false">R3/R$31</f>
        <v>0.191626718075402</v>
      </c>
      <c r="S37" s="79" t="n">
        <f aca="false">S3/S$31</f>
        <v>0.194337605256974</v>
      </c>
      <c r="T37" s="117" t="n">
        <f aca="false">T3/T$31</f>
        <v>0.192315129420729</v>
      </c>
      <c r="U37" s="117" t="n">
        <f aca="false">U3/U$31</f>
        <v>0.175223130978698</v>
      </c>
      <c r="V37" s="79" t="n">
        <f aca="false">V3/V$31</f>
        <v>0.179292285903753</v>
      </c>
      <c r="W37" s="79" t="n">
        <f aca="false">W3/W$31</f>
        <v>0.181395358644492</v>
      </c>
      <c r="X37" s="176" t="n">
        <f aca="false">X3/X$31</f>
        <v>0.177090083353198</v>
      </c>
      <c r="Y37" s="177" t="n">
        <f aca="false">Y3/Y$31</f>
        <v>0.173300496841921</v>
      </c>
      <c r="Z37" s="117" t="n">
        <f aca="false">Z3/Z$31</f>
        <v>0.178370582937718</v>
      </c>
      <c r="AA37" s="79" t="n">
        <f aca="false">AA3/AA$31</f>
        <v>0.183366533069732</v>
      </c>
      <c r="AB37" s="117" t="n">
        <f aca="false">AB3/AB$31</f>
        <v>0.198073113373763</v>
      </c>
      <c r="AC37" s="178" t="n">
        <f aca="false">AC3/AC$31</f>
        <v>0.20050652400108</v>
      </c>
      <c r="AD37" s="177" t="n">
        <f aca="false">AD3/AD$31</f>
        <v>0.202260066074476</v>
      </c>
      <c r="AE37" s="117" t="n">
        <f aca="false">AE3/AE$31</f>
        <v>0.209945500114639</v>
      </c>
      <c r="AF37" s="79" t="n">
        <f aca="false">AF3/AF$31</f>
        <v>0.209656872478307</v>
      </c>
      <c r="AG37" s="117" t="n">
        <f aca="false">AG3/AG$31</f>
        <v>0.219773425040935</v>
      </c>
      <c r="AH37" s="117" t="n">
        <f aca="false">AH3/AH$31</f>
        <v>0.210981325246394</v>
      </c>
      <c r="AI37" s="176" t="n">
        <f aca="false">AI3/AI$31</f>
        <v>0.197750543536205</v>
      </c>
      <c r="AJ37" s="177" t="n">
        <f aca="false">AJ3/AJ$31</f>
        <v>0.206282198612204</v>
      </c>
      <c r="AK37" s="117" t="n">
        <f aca="false">AK3/AK$31</f>
        <v>0.209238168886928</v>
      </c>
      <c r="AL37" s="117" t="n">
        <f aca="false">AL3/AL$31</f>
        <v>0.209505030702392</v>
      </c>
      <c r="AM37" s="117" t="n">
        <f aca="false">AM3/AM$31</f>
        <v>0.216485283126083</v>
      </c>
      <c r="AN37" s="178" t="n">
        <f aca="false">AN3/AN$31</f>
        <v>0.213718471845663</v>
      </c>
      <c r="AO37" s="177" t="n">
        <f aca="false">AO3/AO$31</f>
        <v>0.219659318915557</v>
      </c>
      <c r="AP37" s="117" t="n">
        <f aca="false">AP3/AP$31</f>
        <v>0.214841364508663</v>
      </c>
      <c r="AQ37" s="117" t="n">
        <f aca="false">AQ3/AQ$31</f>
        <v>0.218195243738497</v>
      </c>
    </row>
    <row r="38" customFormat="false" ht="12.8" hidden="false" customHeight="false" outlineLevel="0" collapsed="false">
      <c r="A38" s="139" t="s">
        <v>181</v>
      </c>
      <c r="B38" s="118" t="n">
        <f aca="false">B4/B$31</f>
        <v>0.145120589539236</v>
      </c>
      <c r="C38" s="118" t="n">
        <f aca="false">C4/C$31</f>
        <v>0.142427870615469</v>
      </c>
      <c r="D38" s="117" t="n">
        <f aca="false">D4/D$31</f>
        <v>0.144003569467686</v>
      </c>
      <c r="E38" s="79" t="n">
        <f aca="false">E4/E$31</f>
        <v>0.139398565589178</v>
      </c>
      <c r="F38" s="117" t="n">
        <f aca="false">F4/F$31</f>
        <v>0.137130009206129</v>
      </c>
      <c r="G38" s="79" t="n">
        <f aca="false">G4/G$31</f>
        <v>0.142501223132973</v>
      </c>
      <c r="H38" s="117" t="n">
        <f aca="false">H4/H$31</f>
        <v>0.149496317129455</v>
      </c>
      <c r="I38" s="176" t="n">
        <f aca="false">I4/I$31</f>
        <v>0.132673088688264</v>
      </c>
      <c r="J38" s="177" t="n">
        <f aca="false">J4/J$31</f>
        <v>0.128093471597469</v>
      </c>
      <c r="K38" s="79" t="n">
        <f aca="false">K4/K$31</f>
        <v>0.125469176057537</v>
      </c>
      <c r="L38" s="117" t="n">
        <f aca="false">L4/L$31</f>
        <v>0.12587112346448</v>
      </c>
      <c r="M38" s="79" t="n">
        <f aca="false">M4/M$31</f>
        <v>0.126418713490492</v>
      </c>
      <c r="N38" s="79" t="n">
        <f aca="false">N4/N$31</f>
        <v>0.126037291806527</v>
      </c>
      <c r="O38" s="117" t="n">
        <f aca="false">O4/O$31</f>
        <v>0.120562242243996</v>
      </c>
      <c r="P38" s="178" t="n">
        <f aca="false">P4/P$31</f>
        <v>0.120916923907546</v>
      </c>
      <c r="Q38" s="177" t="n">
        <f aca="false">Q4/Q$31</f>
        <v>0.112052907224644</v>
      </c>
      <c r="R38" s="117" t="n">
        <f aca="false">R4/R$31</f>
        <v>0.110798438942114</v>
      </c>
      <c r="S38" s="79" t="n">
        <f aca="false">S4/S$31</f>
        <v>0.117632315260977</v>
      </c>
      <c r="T38" s="117" t="n">
        <f aca="false">T4/T$31</f>
        <v>0.11433041215854</v>
      </c>
      <c r="U38" s="117" t="n">
        <f aca="false">U4/U$31</f>
        <v>0.122316672435721</v>
      </c>
      <c r="V38" s="79" t="n">
        <f aca="false">V4/V$31</f>
        <v>0.123713449135697</v>
      </c>
      <c r="W38" s="79" t="n">
        <f aca="false">W4/W$31</f>
        <v>0.121803106898459</v>
      </c>
      <c r="X38" s="176" t="n">
        <f aca="false">X4/X$31</f>
        <v>0.123223588438132</v>
      </c>
      <c r="Y38" s="177" t="n">
        <f aca="false">Y4/Y$31</f>
        <v>0.130687792211133</v>
      </c>
      <c r="Z38" s="117" t="n">
        <f aca="false">Z4/Z$31</f>
        <v>0.123180647827815</v>
      </c>
      <c r="AA38" s="79" t="n">
        <f aca="false">AA4/AA$31</f>
        <v>0.12445116910483</v>
      </c>
      <c r="AB38" s="117" t="n">
        <f aca="false">AB4/AB$31</f>
        <v>0.113351769910391</v>
      </c>
      <c r="AC38" s="178" t="n">
        <f aca="false">AC4/AC$31</f>
        <v>0.10157631361656</v>
      </c>
      <c r="AD38" s="177" t="n">
        <f aca="false">AD4/AD$31</f>
        <v>0.1056773463398</v>
      </c>
      <c r="AE38" s="117" t="n">
        <f aca="false">AE4/AE$31</f>
        <v>0.103444568094052</v>
      </c>
      <c r="AF38" s="79" t="n">
        <f aca="false">AF4/AF$31</f>
        <v>0.101731608930687</v>
      </c>
      <c r="AG38" s="117" t="n">
        <f aca="false">AG4/AG$31</f>
        <v>0.100150031407649</v>
      </c>
      <c r="AH38" s="117" t="n">
        <f aca="false">AH4/AH$31</f>
        <v>0.0970601104180622</v>
      </c>
      <c r="AI38" s="176" t="n">
        <f aca="false">AI4/AI$31</f>
        <v>0.102576689008358</v>
      </c>
      <c r="AJ38" s="177" t="n">
        <f aca="false">AJ4/AJ$31</f>
        <v>0.098830982444221</v>
      </c>
      <c r="AK38" s="117" t="n">
        <f aca="false">AK4/AK$31</f>
        <v>0.101678691925566</v>
      </c>
      <c r="AL38" s="117" t="n">
        <f aca="false">AL4/AL$31</f>
        <v>0.10570438755354</v>
      </c>
      <c r="AM38" s="117" t="n">
        <f aca="false">AM4/AM$31</f>
        <v>0.102915762338025</v>
      </c>
      <c r="AN38" s="178" t="n">
        <f aca="false">AN4/AN$31</f>
        <v>0.0994927394807156</v>
      </c>
      <c r="AO38" s="177" t="n">
        <f aca="false">AO4/AO$31</f>
        <v>0.094941565417836</v>
      </c>
      <c r="AP38" s="117" t="n">
        <f aca="false">AP4/AP$31</f>
        <v>0.0947148322794671</v>
      </c>
      <c r="AQ38" s="117" t="n">
        <f aca="false">AQ4/AQ$31</f>
        <v>0.0949429979889554</v>
      </c>
    </row>
    <row r="39" customFormat="false" ht="12.8" hidden="false" customHeight="false" outlineLevel="0" collapsed="false">
      <c r="A39" s="139" t="s">
        <v>30</v>
      </c>
      <c r="B39" s="118" t="n">
        <f aca="false">B5/B$31</f>
        <v>0.120024105804421</v>
      </c>
      <c r="C39" s="118" t="n">
        <f aca="false">C5/C$31</f>
        <v>0.121727945203264</v>
      </c>
      <c r="D39" s="117" t="n">
        <f aca="false">D5/D$31</f>
        <v>0.121582139507405</v>
      </c>
      <c r="E39" s="79" t="n">
        <f aca="false">E5/E$31</f>
        <v>0.125094128326318</v>
      </c>
      <c r="F39" s="117" t="n">
        <f aca="false">F5/F$31</f>
        <v>0.121639890192789</v>
      </c>
      <c r="G39" s="79" t="n">
        <f aca="false">G5/G$31</f>
        <v>0.125918984868142</v>
      </c>
      <c r="H39" s="117" t="n">
        <f aca="false">H5/H$31</f>
        <v>0.128552167687113</v>
      </c>
      <c r="I39" s="176" t="n">
        <f aca="false">I5/I$31</f>
        <v>0.134353291242676</v>
      </c>
      <c r="J39" s="177" t="n">
        <f aca="false">J5/J$31</f>
        <v>0.131937986775126</v>
      </c>
      <c r="K39" s="79" t="n">
        <f aca="false">K5/K$31</f>
        <v>0.129523579783204</v>
      </c>
      <c r="L39" s="117" t="n">
        <f aca="false">L5/L$31</f>
        <v>0.131525725264333</v>
      </c>
      <c r="M39" s="79" t="n">
        <f aca="false">M5/M$31</f>
        <v>0.131120731010678</v>
      </c>
      <c r="N39" s="79" t="n">
        <f aca="false">N5/N$31</f>
        <v>0.132133881011624</v>
      </c>
      <c r="O39" s="117" t="n">
        <f aca="false">O5/O$31</f>
        <v>0.138069338078832</v>
      </c>
      <c r="P39" s="178" t="n">
        <f aca="false">P5/P$31</f>
        <v>0.136560941229408</v>
      </c>
      <c r="Q39" s="177" t="n">
        <f aca="false">Q5/Q$31</f>
        <v>0.135950585915568</v>
      </c>
      <c r="R39" s="117" t="n">
        <f aca="false">R5/R$31</f>
        <v>0.131406526911659</v>
      </c>
      <c r="S39" s="79" t="n">
        <f aca="false">S5/S$31</f>
        <v>0.132906650752977</v>
      </c>
      <c r="T39" s="117" t="n">
        <f aca="false">T5/T$31</f>
        <v>0.129433067449722</v>
      </c>
      <c r="U39" s="117" t="n">
        <f aca="false">U5/U$31</f>
        <v>0.1308479480831</v>
      </c>
      <c r="V39" s="79" t="n">
        <f aca="false">V5/V$31</f>
        <v>0.130794967131194</v>
      </c>
      <c r="W39" s="79" t="n">
        <f aca="false">W5/W$31</f>
        <v>0.127453424362813</v>
      </c>
      <c r="X39" s="176" t="n">
        <f aca="false">X5/X$31</f>
        <v>0.131915294553872</v>
      </c>
      <c r="Y39" s="177" t="n">
        <f aca="false">Y5/Y$31</f>
        <v>0.138341063240697</v>
      </c>
      <c r="Z39" s="117" t="n">
        <f aca="false">Z5/Z$31</f>
        <v>0.135883474666467</v>
      </c>
      <c r="AA39" s="79" t="n">
        <f aca="false">AA5/AA$31</f>
        <v>0.13866722479587</v>
      </c>
      <c r="AB39" s="117" t="n">
        <f aca="false">AB5/AB$31</f>
        <v>0.133292053744968</v>
      </c>
      <c r="AC39" s="178" t="n">
        <f aca="false">AC5/AC$31</f>
        <v>0.131206152174567</v>
      </c>
      <c r="AD39" s="177" t="n">
        <f aca="false">AD5/AD$31</f>
        <v>0.127054336574379</v>
      </c>
      <c r="AE39" s="117" t="n">
        <f aca="false">AE5/AE$31</f>
        <v>0.123252766674453</v>
      </c>
      <c r="AF39" s="79" t="n">
        <f aca="false">AF5/AF$31</f>
        <v>0.125921837701372</v>
      </c>
      <c r="AG39" s="117" t="n">
        <f aca="false">AG5/AG$31</f>
        <v>0.124887851088548</v>
      </c>
      <c r="AH39" s="117" t="n">
        <f aca="false">AH5/AH$31</f>
        <v>0.113748302489918</v>
      </c>
      <c r="AI39" s="176" t="n">
        <f aca="false">AI5/AI$31</f>
        <v>0.120290659872376</v>
      </c>
      <c r="AJ39" s="177" t="n">
        <f aca="false">AJ5/AJ$31</f>
        <v>0.114569483437536</v>
      </c>
      <c r="AK39" s="117" t="n">
        <f aca="false">AK5/AK$31</f>
        <v>0.113281110903477</v>
      </c>
      <c r="AL39" s="117" t="n">
        <f aca="false">AL5/AL$31</f>
        <v>0.104267983784373</v>
      </c>
      <c r="AM39" s="117" t="n">
        <f aca="false">AM5/AM$31</f>
        <v>0.0994814591543224</v>
      </c>
      <c r="AN39" s="178" t="n">
        <f aca="false">AN5/AN$31</f>
        <v>0.0926353498390113</v>
      </c>
      <c r="AO39" s="177" t="n">
        <f aca="false">AO5/AO$31</f>
        <v>0.0925428531072588</v>
      </c>
      <c r="AP39" s="117" t="n">
        <f aca="false">AP5/AP$31</f>
        <v>0.0928678334428675</v>
      </c>
      <c r="AQ39" s="117" t="n">
        <f aca="false">AQ5/AQ$31</f>
        <v>0.0914665687481511</v>
      </c>
    </row>
    <row r="40" customFormat="false" ht="12.8" hidden="false" customHeight="false" outlineLevel="0" collapsed="false">
      <c r="A40" s="139" t="s">
        <v>182</v>
      </c>
      <c r="B40" s="118" t="n">
        <f aca="false">B6/B$31</f>
        <v>0.13033021037586</v>
      </c>
      <c r="C40" s="118" t="n">
        <f aca="false">C6/C$31</f>
        <v>0.121430269671482</v>
      </c>
      <c r="D40" s="117" t="n">
        <f aca="false">D6/D$31</f>
        <v>0.119718105840502</v>
      </c>
      <c r="E40" s="79" t="n">
        <f aca="false">E6/E$31</f>
        <v>0.108201625873068</v>
      </c>
      <c r="F40" s="117" t="n">
        <f aca="false">F6/F$31</f>
        <v>0.11242614729579</v>
      </c>
      <c r="G40" s="79" t="n">
        <f aca="false">G6/G$31</f>
        <v>0.121810862043945</v>
      </c>
      <c r="H40" s="117" t="n">
        <f aca="false">H6/H$31</f>
        <v>0.116279358155202</v>
      </c>
      <c r="I40" s="176" t="n">
        <f aca="false">I6/I$31</f>
        <v>0.114131151539848</v>
      </c>
      <c r="J40" s="177" t="n">
        <f aca="false">J6/J$31</f>
        <v>0.116823238276658</v>
      </c>
      <c r="K40" s="79" t="n">
        <f aca="false">K6/K$31</f>
        <v>0.119538563214001</v>
      </c>
      <c r="L40" s="117" t="n">
        <f aca="false">L6/L$31</f>
        <v>0.11829913271347</v>
      </c>
      <c r="M40" s="79" t="n">
        <f aca="false">M6/M$31</f>
        <v>0.118629829967385</v>
      </c>
      <c r="N40" s="79" t="n">
        <f aca="false">N6/N$31</f>
        <v>0.11846878563687</v>
      </c>
      <c r="O40" s="117" t="n">
        <f aca="false">O6/O$31</f>
        <v>0.116631655627388</v>
      </c>
      <c r="P40" s="178" t="n">
        <f aca="false">P6/P$31</f>
        <v>0.122367579344301</v>
      </c>
      <c r="Q40" s="177" t="n">
        <f aca="false">Q6/Q$31</f>
        <v>0.130100710616337</v>
      </c>
      <c r="R40" s="117" t="n">
        <f aca="false">R6/R$31</f>
        <v>0.134657090258327</v>
      </c>
      <c r="S40" s="79" t="n">
        <f aca="false">S6/S$31</f>
        <v>0.135076128679354</v>
      </c>
      <c r="T40" s="117" t="n">
        <f aca="false">T6/T$31</f>
        <v>0.129076686006773</v>
      </c>
      <c r="U40" s="117" t="n">
        <f aca="false">U6/U$31</f>
        <v>0.133011023262697</v>
      </c>
      <c r="V40" s="79" t="n">
        <f aca="false">V6/V$31</f>
        <v>0.127562378779716</v>
      </c>
      <c r="W40" s="79" t="n">
        <f aca="false">W6/W$31</f>
        <v>0.12771984521947</v>
      </c>
      <c r="X40" s="176" t="n">
        <f aca="false">X6/X$31</f>
        <v>0.13258673526128</v>
      </c>
      <c r="Y40" s="177" t="n">
        <f aca="false">Y6/Y$31</f>
        <v>0.125673608541831</v>
      </c>
      <c r="Z40" s="117" t="n">
        <f aca="false">Z6/Z$31</f>
        <v>0.126877190750239</v>
      </c>
      <c r="AA40" s="79" t="n">
        <f aca="false">AA6/AA$31</f>
        <v>0.126825285391966</v>
      </c>
      <c r="AB40" s="117" t="n">
        <f aca="false">AB6/AB$31</f>
        <v>0.125879720937538</v>
      </c>
      <c r="AC40" s="178" t="n">
        <f aca="false">AC6/AC$31</f>
        <v>0.133467336911523</v>
      </c>
      <c r="AD40" s="177" t="n">
        <f aca="false">AD6/AD$31</f>
        <v>0.134364901272021</v>
      </c>
      <c r="AE40" s="117" t="n">
        <f aca="false">AE6/AE$31</f>
        <v>0.136967993710881</v>
      </c>
      <c r="AF40" s="79" t="n">
        <f aca="false">AF6/AF$31</f>
        <v>0.14150009463834</v>
      </c>
      <c r="AG40" s="117" t="n">
        <f aca="false">AG6/AG$31</f>
        <v>0.134363167132703</v>
      </c>
      <c r="AH40" s="117" t="n">
        <f aca="false">AH6/AH$31</f>
        <v>0.126672673406418</v>
      </c>
      <c r="AI40" s="176" t="n">
        <f aca="false">AI6/AI$31</f>
        <v>0.140729505143624</v>
      </c>
      <c r="AJ40" s="177" t="n">
        <f aca="false">AJ6/AJ$31</f>
        <v>0.141116934253659</v>
      </c>
      <c r="AK40" s="117" t="n">
        <f aca="false">AK6/AK$31</f>
        <v>0.14803728696492</v>
      </c>
      <c r="AL40" s="117" t="n">
        <f aca="false">AL6/AL$31</f>
        <v>0.15267287613508</v>
      </c>
      <c r="AM40" s="117" t="n">
        <f aca="false">AM6/AM$31</f>
        <v>0.138827110598682</v>
      </c>
      <c r="AN40" s="178" t="n">
        <f aca="false">AN6/AN$31</f>
        <v>0.156657978487685</v>
      </c>
      <c r="AO40" s="177" t="n">
        <f aca="false">AO6/AO$31</f>
        <v>0.165187943915331</v>
      </c>
      <c r="AP40" s="117" t="n">
        <f aca="false">AP6/AP$31</f>
        <v>0.156747444210927</v>
      </c>
      <c r="AQ40" s="117" t="n">
        <f aca="false">AQ6/AQ$31</f>
        <v>0.157285159602105</v>
      </c>
    </row>
    <row r="41" customFormat="false" ht="12.8" hidden="false" customHeight="false" outlineLevel="0" collapsed="false">
      <c r="A41" s="139" t="s">
        <v>183</v>
      </c>
      <c r="B41" s="118" t="n">
        <f aca="false">B7/B$31</f>
        <v>0.0770619151234152</v>
      </c>
      <c r="C41" s="118" t="n">
        <f aca="false">C7/C$31</f>
        <v>0.0809239927417938</v>
      </c>
      <c r="D41" s="117" t="n">
        <f aca="false">D7/D$31</f>
        <v>0.0797829664243374</v>
      </c>
      <c r="E41" s="79" t="n">
        <f aca="false">E7/E$31</f>
        <v>0.0828309995023895</v>
      </c>
      <c r="F41" s="117" t="n">
        <f aca="false">F7/F$31</f>
        <v>0.0865664682916433</v>
      </c>
      <c r="G41" s="79" t="n">
        <f aca="false">G7/G$31</f>
        <v>0.0771954206909505</v>
      </c>
      <c r="H41" s="117" t="n">
        <f aca="false">H7/H$31</f>
        <v>0.0775831196028093</v>
      </c>
      <c r="I41" s="176" t="n">
        <f aca="false">I7/I$31</f>
        <v>0.0797166346047401</v>
      </c>
      <c r="J41" s="177" t="n">
        <f aca="false">J7/J$31</f>
        <v>0.0869780364572532</v>
      </c>
      <c r="K41" s="79" t="n">
        <f aca="false">K7/K$31</f>
        <v>0.0832900689267893</v>
      </c>
      <c r="L41" s="117" t="n">
        <f aca="false">L7/L$31</f>
        <v>0.0851246626541877</v>
      </c>
      <c r="M41" s="79" t="n">
        <f aca="false">M7/M$31</f>
        <v>0.0852180518806368</v>
      </c>
      <c r="N41" s="79" t="n">
        <f aca="false">N7/N$31</f>
        <v>0.0859726814737242</v>
      </c>
      <c r="O41" s="117" t="n">
        <f aca="false">O7/O$31</f>
        <v>0.0889702582748033</v>
      </c>
      <c r="P41" s="178" t="n">
        <f aca="false">P7/P$31</f>
        <v>0.0896249126858954</v>
      </c>
      <c r="Q41" s="177" t="n">
        <f aca="false">Q7/Q$31</f>
        <v>0.0905100149619463</v>
      </c>
      <c r="R41" s="117" t="n">
        <f aca="false">R7/R$31</f>
        <v>0.0917951181988025</v>
      </c>
      <c r="S41" s="79" t="n">
        <f aca="false">S7/S$31</f>
        <v>0.0875720879640438</v>
      </c>
      <c r="T41" s="117" t="n">
        <f aca="false">T7/T$31</f>
        <v>0.106512845879939</v>
      </c>
      <c r="U41" s="117" t="n">
        <f aca="false">U7/U$31</f>
        <v>0.117393557084543</v>
      </c>
      <c r="V41" s="79" t="n">
        <f aca="false">V7/V$31</f>
        <v>0.117222646309352</v>
      </c>
      <c r="W41" s="79" t="n">
        <f aca="false">W7/W$31</f>
        <v>0.121588247836517</v>
      </c>
      <c r="X41" s="176" t="n">
        <f aca="false">X7/X$31</f>
        <v>0.113879550310346</v>
      </c>
      <c r="Y41" s="177" t="n">
        <f aca="false">Y7/Y$31</f>
        <v>0.103739918375353</v>
      </c>
      <c r="Z41" s="117" t="n">
        <f aca="false">Z7/Z$31</f>
        <v>0.109773061816355</v>
      </c>
      <c r="AA41" s="79" t="n">
        <f aca="false">AA7/AA$31</f>
        <v>0.102081221025455</v>
      </c>
      <c r="AB41" s="117" t="n">
        <f aca="false">AB7/AB$31</f>
        <v>0.0982316702946846</v>
      </c>
      <c r="AC41" s="178" t="n">
        <f aca="false">AC7/AC$31</f>
        <v>0.104848148928501</v>
      </c>
      <c r="AD41" s="177" t="n">
        <f aca="false">AD7/AD$31</f>
        <v>0.0985239960027102</v>
      </c>
      <c r="AE41" s="117" t="n">
        <f aca="false">AE7/AE$31</f>
        <v>0.0970975564553878</v>
      </c>
      <c r="AF41" s="79" t="n">
        <f aca="false">AF7/AF$31</f>
        <v>0.0966108121187273</v>
      </c>
      <c r="AG41" s="117" t="n">
        <f aca="false">AG7/AG$31</f>
        <v>0.101232752990177</v>
      </c>
      <c r="AH41" s="117" t="n">
        <f aca="false">AH7/AH$31</f>
        <v>0.106878106047635</v>
      </c>
      <c r="AI41" s="176" t="n">
        <f aca="false">AI7/AI$31</f>
        <v>0.0879740414376029</v>
      </c>
      <c r="AJ41" s="177" t="n">
        <f aca="false">AJ7/AJ$31</f>
        <v>0.0951824687011423</v>
      </c>
      <c r="AK41" s="117" t="n">
        <f aca="false">AK7/AK$31</f>
        <v>0.0918213496372322</v>
      </c>
      <c r="AL41" s="117" t="n">
        <f aca="false">AL7/AL$31</f>
        <v>0.0946925039630926</v>
      </c>
      <c r="AM41" s="117" t="n">
        <f aca="false">AM7/AM$31</f>
        <v>0.0996320887988431</v>
      </c>
      <c r="AN41" s="178" t="n">
        <f aca="false">AN7/AN$31</f>
        <v>0.10087688811836</v>
      </c>
      <c r="AO41" s="177" t="n">
        <f aca="false">AO7/AO$31</f>
        <v>0.102232496780498</v>
      </c>
      <c r="AP41" s="117" t="n">
        <f aca="false">AP7/AP$31</f>
        <v>0.10423176692562</v>
      </c>
      <c r="AQ41" s="117" t="n">
        <f aca="false">AQ7/AQ$31</f>
        <v>0.106545648850549</v>
      </c>
    </row>
    <row r="42" customFormat="false" ht="12.8" hidden="false" customHeight="false" outlineLevel="0" collapsed="false">
      <c r="A42" s="139" t="s">
        <v>27</v>
      </c>
      <c r="B42" s="118" t="n">
        <f aca="false">B8/B$31</f>
        <v>0.0368925462680526</v>
      </c>
      <c r="C42" s="118" t="n">
        <f aca="false">C8/C$31</f>
        <v>0.0368538831058096</v>
      </c>
      <c r="D42" s="117" t="n">
        <f aca="false">D8/D$31</f>
        <v>0.0363876742042693</v>
      </c>
      <c r="E42" s="79" t="n">
        <f aca="false">E8/E$31</f>
        <v>0.036173414320991</v>
      </c>
      <c r="F42" s="117" t="n">
        <f aca="false">F8/F$31</f>
        <v>0.036622024952633</v>
      </c>
      <c r="G42" s="79" t="n">
        <f aca="false">G8/G$31</f>
        <v>0.0349499576209861</v>
      </c>
      <c r="H42" s="117" t="n">
        <f aca="false">H8/H$31</f>
        <v>0.0336519327192471</v>
      </c>
      <c r="I42" s="176" t="n">
        <f aca="false">I8/I$31</f>
        <v>0.0341251492287081</v>
      </c>
      <c r="J42" s="177" t="n">
        <f aca="false">J8/J$31</f>
        <v>0.0367328803201395</v>
      </c>
      <c r="K42" s="79" t="n">
        <f aca="false">K8/K$31</f>
        <v>0.0399275785115931</v>
      </c>
      <c r="L42" s="117" t="n">
        <f aca="false">L8/L$31</f>
        <v>0.0383122021002191</v>
      </c>
      <c r="M42" s="79" t="n">
        <f aca="false">M8/M$31</f>
        <v>0.0383836241662268</v>
      </c>
      <c r="N42" s="79" t="n">
        <f aca="false">N8/N$31</f>
        <v>0.0387236701051487</v>
      </c>
      <c r="O42" s="117" t="n">
        <f aca="false">O8/O$31</f>
        <v>0.0400445039894611</v>
      </c>
      <c r="P42" s="178" t="n">
        <f aca="false">P8/P$31</f>
        <v>0.0398439068986146</v>
      </c>
      <c r="Q42" s="177" t="n">
        <f aca="false">Q8/Q$31</f>
        <v>0.0419280118236004</v>
      </c>
      <c r="R42" s="117" t="n">
        <f aca="false">R8/R$31</f>
        <v>0.042372858419083</v>
      </c>
      <c r="S42" s="79" t="n">
        <f aca="false">S8/S$31</f>
        <v>0.0431966231734436</v>
      </c>
      <c r="T42" s="117" t="n">
        <f aca="false">T8/T$31</f>
        <v>0.0430701419511844</v>
      </c>
      <c r="U42" s="117" t="n">
        <f aca="false">U8/U$31</f>
        <v>0.0419518802588867</v>
      </c>
      <c r="V42" s="79" t="n">
        <f aca="false">V8/V$31</f>
        <v>0.0404044771283345</v>
      </c>
      <c r="W42" s="79" t="n">
        <f aca="false">W8/W$31</f>
        <v>0.0415488316752417</v>
      </c>
      <c r="X42" s="176" t="n">
        <f aca="false">X8/X$31</f>
        <v>0.0432384831711211</v>
      </c>
      <c r="Y42" s="177" t="n">
        <f aca="false">Y8/Y$31</f>
        <v>0.0461091386959397</v>
      </c>
      <c r="Z42" s="117" t="n">
        <f aca="false">Z8/Z$31</f>
        <v>0.0470879202901173</v>
      </c>
      <c r="AA42" s="79" t="n">
        <f aca="false">AA8/AA$31</f>
        <v>0.0468633911610566</v>
      </c>
      <c r="AB42" s="117" t="n">
        <f aca="false">AB8/AB$31</f>
        <v>0.0514469913857648</v>
      </c>
      <c r="AC42" s="178" t="n">
        <f aca="false">AC8/AC$31</f>
        <v>0.0518895037674828</v>
      </c>
      <c r="AD42" s="177" t="n">
        <f aca="false">AD8/AD$31</f>
        <v>0.0556120712942324</v>
      </c>
      <c r="AE42" s="117" t="n">
        <f aca="false">AE8/AE$31</f>
        <v>0.0541606106166361</v>
      </c>
      <c r="AF42" s="79" t="n">
        <f aca="false">AF8/AF$31</f>
        <v>0.0517933950984176</v>
      </c>
      <c r="AG42" s="117" t="n">
        <f aca="false">AG8/AG$31</f>
        <v>0.0535367902532387</v>
      </c>
      <c r="AH42" s="117" t="n">
        <f aca="false">AH8/AH$31</f>
        <v>0.0464710266801177</v>
      </c>
      <c r="AI42" s="176" t="n">
        <f aca="false">AI8/AI$31</f>
        <v>0.0558599736510812</v>
      </c>
      <c r="AJ42" s="177" t="n">
        <f aca="false">AJ8/AJ$31</f>
        <v>0.0588473526588265</v>
      </c>
      <c r="AK42" s="117" t="n">
        <f aca="false">AK8/AK$31</f>
        <v>0.0579642917264904</v>
      </c>
      <c r="AL42" s="117" t="n">
        <f aca="false">AL8/AL$31</f>
        <v>0.0542994129104699</v>
      </c>
      <c r="AM42" s="117" t="n">
        <f aca="false">AM8/AM$31</f>
        <v>0.0535173950837384</v>
      </c>
      <c r="AN42" s="178" t="n">
        <f aca="false">AN8/AN$31</f>
        <v>0.0440671590905537</v>
      </c>
      <c r="AO42" s="177" t="n">
        <f aca="false">AO8/AO$31</f>
        <v>0.0420819423281907</v>
      </c>
      <c r="AP42" s="117" t="n">
        <f aca="false">AP8/AP$31</f>
        <v>0.0422028459835215</v>
      </c>
      <c r="AQ42" s="117" t="n">
        <f aca="false">AQ8/AQ$31</f>
        <v>0.0415422911287332</v>
      </c>
    </row>
    <row r="43" customFormat="false" ht="12.8" hidden="false" customHeight="false" outlineLevel="0" collapsed="false">
      <c r="A43" s="139" t="s">
        <v>31</v>
      </c>
      <c r="B43" s="118" t="n">
        <f aca="false">B9/B$31</f>
        <v>0.0188635703487643</v>
      </c>
      <c r="C43" s="118" t="n">
        <f aca="false">C9/C$31</f>
        <v>0.0193557145035402</v>
      </c>
      <c r="D43" s="117" t="n">
        <f aca="false">D9/D$31</f>
        <v>0.0190827994026729</v>
      </c>
      <c r="E43" s="79" t="n">
        <f aca="false">E9/E$31</f>
        <v>0.0178787242115264</v>
      </c>
      <c r="F43" s="117" t="n">
        <f aca="false">F9/F$31</f>
        <v>0.0171176926041837</v>
      </c>
      <c r="G43" s="79" t="n">
        <f aca="false">G9/G$31</f>
        <v>0.019083308969582</v>
      </c>
      <c r="H43" s="117" t="n">
        <f aca="false">H9/H$31</f>
        <v>0.0191791511588719</v>
      </c>
      <c r="I43" s="176" t="n">
        <f aca="false">I9/I$31</f>
        <v>0.019225939874772</v>
      </c>
      <c r="J43" s="177" t="n">
        <f aca="false">J9/J$31</f>
        <v>0.0214433822515952</v>
      </c>
      <c r="K43" s="79" t="n">
        <f aca="false">K9/K$31</f>
        <v>0.0262641254815022</v>
      </c>
      <c r="L43" s="117" t="n">
        <f aca="false">L9/L$31</f>
        <v>0.0268426338257121</v>
      </c>
      <c r="M43" s="79" t="n">
        <f aca="false">M9/M$31</f>
        <v>0.0269939969792288</v>
      </c>
      <c r="N43" s="79" t="n">
        <f aca="false">N9/N$31</f>
        <v>0.0248409501415604</v>
      </c>
      <c r="O43" s="117" t="n">
        <f aca="false">O9/O$31</f>
        <v>0.0150944857949111</v>
      </c>
      <c r="P43" s="178" t="n">
        <f aca="false">P9/P$31</f>
        <v>0.0150998140970317</v>
      </c>
      <c r="Q43" s="177" t="n">
        <f aca="false">Q9/Q$31</f>
        <v>0.0163986866161738</v>
      </c>
      <c r="R43" s="117" t="n">
        <f aca="false">R9/R$31</f>
        <v>0.015970203282498</v>
      </c>
      <c r="S43" s="79" t="n">
        <f aca="false">S9/S$31</f>
        <v>0.0169105488593394</v>
      </c>
      <c r="T43" s="117" t="n">
        <f aca="false">T9/T$31</f>
        <v>0.0149071081192026</v>
      </c>
      <c r="U43" s="117" t="n">
        <f aca="false">U9/U$31</f>
        <v>0.0156374337760423</v>
      </c>
      <c r="V43" s="79" t="n">
        <f aca="false">V9/V$31</f>
        <v>0.0161024827268509</v>
      </c>
      <c r="W43" s="79" t="n">
        <f aca="false">W9/W$31</f>
        <v>0.0167021708024636</v>
      </c>
      <c r="X43" s="176" t="n">
        <f aca="false">X9/X$31</f>
        <v>0.0156432528146023</v>
      </c>
      <c r="Y43" s="177" t="n">
        <f aca="false">Y9/Y$31</f>
        <v>0.0159386591465167</v>
      </c>
      <c r="Z43" s="117" t="n">
        <f aca="false">Z9/Z$31</f>
        <v>0.0168996981417334</v>
      </c>
      <c r="AA43" s="79" t="n">
        <f aca="false">AA9/AA$31</f>
        <v>0.0171147037835914</v>
      </c>
      <c r="AB43" s="117" t="n">
        <f aca="false">AB9/AB$31</f>
        <v>0.017288601171502</v>
      </c>
      <c r="AC43" s="178" t="n">
        <f aca="false">AC9/AC$31</f>
        <v>0.0184537260853771</v>
      </c>
      <c r="AD43" s="177" t="n">
        <f aca="false">AD9/AD$31</f>
        <v>0.0193366523420477</v>
      </c>
      <c r="AE43" s="117" t="n">
        <f aca="false">AE9/AE$31</f>
        <v>0.0209452353700347</v>
      </c>
      <c r="AF43" s="79" t="n">
        <f aca="false">AF9/AF$31</f>
        <v>0.0182790272106696</v>
      </c>
      <c r="AG43" s="117" t="n">
        <f aca="false">AG9/AG$31</f>
        <v>0.0204696909764926</v>
      </c>
      <c r="AH43" s="117" t="n">
        <f aca="false">AH9/AH$31</f>
        <v>0.0207922453814343</v>
      </c>
      <c r="AI43" s="176" t="n">
        <f aca="false">AI9/AI$31</f>
        <v>0.0246453785958075</v>
      </c>
      <c r="AJ43" s="177" t="n">
        <f aca="false">AJ9/AJ$31</f>
        <v>0.0273254211318359</v>
      </c>
      <c r="AK43" s="117" t="n">
        <f aca="false">AK9/AK$31</f>
        <v>0.0286182229450674</v>
      </c>
      <c r="AL43" s="117" t="n">
        <f aca="false">AL9/AL$31</f>
        <v>0.027807842160686</v>
      </c>
      <c r="AM43" s="117" t="n">
        <f aca="false">AM9/AM$31</f>
        <v>0.0286119578951761</v>
      </c>
      <c r="AN43" s="178" t="n">
        <f aca="false">AN9/AN$31</f>
        <v>0.0272007920145499</v>
      </c>
      <c r="AO43" s="177" t="n">
        <f aca="false">AO9/AO$31</f>
        <v>0.0267509722629162</v>
      </c>
      <c r="AP43" s="117" t="n">
        <f aca="false">AP9/AP$31</f>
        <v>0.0325220913290417</v>
      </c>
      <c r="AQ43" s="117" t="n">
        <f aca="false">AQ9/AQ$31</f>
        <v>0.0295701699981369</v>
      </c>
    </row>
    <row r="44" customFormat="false" ht="12.8" hidden="false" customHeight="false" outlineLevel="0" collapsed="false">
      <c r="A44" s="139" t="s">
        <v>184</v>
      </c>
      <c r="B44" s="118" t="n">
        <f aca="false">B10/B$31</f>
        <v>0.0188548788544224</v>
      </c>
      <c r="C44" s="118" t="n">
        <f aca="false">C10/C$31</f>
        <v>0.0170926703805863</v>
      </c>
      <c r="D44" s="117" t="n">
        <f aca="false">D10/D$31</f>
        <v>0.0168474522834053</v>
      </c>
      <c r="E44" s="79" t="n">
        <f aca="false">E10/E$31</f>
        <v>0.017467583793838</v>
      </c>
      <c r="F44" s="117" t="n">
        <f aca="false">F10/F$31</f>
        <v>0.0169875965983333</v>
      </c>
      <c r="G44" s="79" t="n">
        <f aca="false">G10/G$31</f>
        <v>0.018571243492935</v>
      </c>
      <c r="H44" s="117" t="n">
        <f aca="false">H10/H$31</f>
        <v>0.0166357624189503</v>
      </c>
      <c r="I44" s="176" t="n">
        <f aca="false">I10/I$31</f>
        <v>0.0166999692968341</v>
      </c>
      <c r="J44" s="177" t="n">
        <f aca="false">J10/J$31</f>
        <v>0.0183897838461144</v>
      </c>
      <c r="K44" s="79" t="n">
        <f aca="false">K10/K$31</f>
        <v>0.0175852606685791</v>
      </c>
      <c r="L44" s="117" t="n">
        <f aca="false">L10/L$31</f>
        <v>0.0179019968169621</v>
      </c>
      <c r="M44" s="79" t="n">
        <f aca="false">M10/M$31</f>
        <v>0.0178316752737702</v>
      </c>
      <c r="N44" s="79" t="n">
        <f aca="false">N10/N$31</f>
        <v>0.0179895797266291</v>
      </c>
      <c r="O44" s="117" t="n">
        <f aca="false">O10/O$31</f>
        <v>0.0190784126649741</v>
      </c>
      <c r="P44" s="178" t="n">
        <f aca="false">P10/P$31</f>
        <v>0.019644808457359</v>
      </c>
      <c r="Q44" s="177" t="n">
        <f aca="false">Q10/Q$31</f>
        <v>0.021679859018248</v>
      </c>
      <c r="R44" s="117" t="n">
        <f aca="false">R10/R$31</f>
        <v>0.026312087223553</v>
      </c>
      <c r="S44" s="79" t="n">
        <f aca="false">S10/S$31</f>
        <v>0.0234711461221163</v>
      </c>
      <c r="T44" s="117" t="n">
        <f aca="false">T10/T$31</f>
        <v>0.021884078129874</v>
      </c>
      <c r="U44" s="117" t="n">
        <f aca="false">U10/U$31</f>
        <v>0.0202771743294089</v>
      </c>
      <c r="V44" s="79" t="n">
        <f aca="false">V10/V$31</f>
        <v>0.018952626049657</v>
      </c>
      <c r="W44" s="79" t="n">
        <f aca="false">W10/W$31</f>
        <v>0.0196584590591578</v>
      </c>
      <c r="X44" s="176" t="n">
        <f aca="false">X10/X$31</f>
        <v>0.0204520977548557</v>
      </c>
      <c r="Y44" s="177" t="n">
        <f aca="false">Y10/Y$31</f>
        <v>0.0224210055209701</v>
      </c>
      <c r="Z44" s="117" t="n">
        <f aca="false">Z10/Z$31</f>
        <v>0.0222334665459732</v>
      </c>
      <c r="AA44" s="79" t="n">
        <f aca="false">AA10/AA$31</f>
        <v>0.0215740794067477</v>
      </c>
      <c r="AB44" s="117" t="n">
        <f aca="false">AB10/AB$31</f>
        <v>0.0221431897983855</v>
      </c>
      <c r="AC44" s="178" t="n">
        <f aca="false">AC10/AC$31</f>
        <v>0.0207428897502395</v>
      </c>
      <c r="AD44" s="177" t="n">
        <f aca="false">AD10/AD$31</f>
        <v>0.0230984601310099</v>
      </c>
      <c r="AE44" s="117" t="n">
        <f aca="false">AE10/AE$31</f>
        <v>0.0217925738508664</v>
      </c>
      <c r="AF44" s="79" t="n">
        <f aca="false">AF10/AF$31</f>
        <v>0.0216787226131091</v>
      </c>
      <c r="AG44" s="117" t="n">
        <f aca="false">AG10/AG$31</f>
        <v>0.0209590537266232</v>
      </c>
      <c r="AH44" s="117" t="n">
        <f aca="false">AH10/AH$31</f>
        <v>0.0198910516646718</v>
      </c>
      <c r="AI44" s="176" t="n">
        <f aca="false">AI10/AI$31</f>
        <v>0.0237532808190622</v>
      </c>
      <c r="AJ44" s="177" t="n">
        <f aca="false">AJ10/AJ$31</f>
        <v>0.0232677212640412</v>
      </c>
      <c r="AK44" s="117" t="n">
        <f aca="false">AK10/AK$31</f>
        <v>0.0222161192108133</v>
      </c>
      <c r="AL44" s="117" t="n">
        <f aca="false">AL10/AL$31</f>
        <v>0.0209796996885909</v>
      </c>
      <c r="AM44" s="117" t="n">
        <f aca="false">AM10/AM$31</f>
        <v>0.0205615365337693</v>
      </c>
      <c r="AN44" s="178" t="n">
        <f aca="false">AN10/AN$31</f>
        <v>0.0191760011815759</v>
      </c>
      <c r="AO44" s="177" t="n">
        <f aca="false">AO10/AO$31</f>
        <v>0.0193834910556405</v>
      </c>
      <c r="AP44" s="117" t="n">
        <f aca="false">AP10/AP$31</f>
        <v>0.0206278389550491</v>
      </c>
      <c r="AQ44" s="117" t="n">
        <f aca="false">AQ10/AQ$31</f>
        <v>0.0198619662819063</v>
      </c>
    </row>
    <row r="45" customFormat="false" ht="12.8" hidden="false" customHeight="false" outlineLevel="0" collapsed="false">
      <c r="A45" s="139" t="s">
        <v>29</v>
      </c>
      <c r="B45" s="118" t="n">
        <f aca="false">B12/B$31</f>
        <v>0.0146137195070209</v>
      </c>
      <c r="C45" s="118" t="n">
        <f aca="false">C12/C$31</f>
        <v>0.0143075930983114</v>
      </c>
      <c r="D45" s="117" t="n">
        <f aca="false">D12/D$31</f>
        <v>0.0141058563857307</v>
      </c>
      <c r="E45" s="79" t="n">
        <f aca="false">E12/E$31</f>
        <v>0.0152146728767621</v>
      </c>
      <c r="F45" s="117" t="n">
        <f aca="false">F12/F$31</f>
        <v>0.0124104348675025</v>
      </c>
      <c r="G45" s="79" t="n">
        <f aca="false">G12/G$31</f>
        <v>0.0123791340325928</v>
      </c>
      <c r="H45" s="117" t="n">
        <f aca="false">H12/H$31</f>
        <v>0.0118227925728521</v>
      </c>
      <c r="I45" s="176" t="n">
        <f aca="false">I12/I$31</f>
        <v>0.0118469960126262</v>
      </c>
      <c r="J45" s="177" t="n">
        <f aca="false">J12/J$31</f>
        <v>0.0122392711886283</v>
      </c>
      <c r="K45" s="79" t="n">
        <f aca="false">K12/K$31</f>
        <v>0.0115279453698248</v>
      </c>
      <c r="L45" s="117" t="n">
        <f aca="false">L12/L$31</f>
        <v>0.0115110188515078</v>
      </c>
      <c r="M45" s="79" t="n">
        <f aca="false">M12/M$31</f>
        <v>0.0115236474495271</v>
      </c>
      <c r="N45" s="79" t="n">
        <f aca="false">N12/N$31</f>
        <v>0.0109418282902988</v>
      </c>
      <c r="O45" s="117" t="n">
        <f aca="false">O12/O$31</f>
        <v>0.0112024265936852</v>
      </c>
      <c r="P45" s="178" t="n">
        <f aca="false">P12/P$31</f>
        <v>0.0113193245718082</v>
      </c>
      <c r="Q45" s="177" t="n">
        <f aca="false">Q12/Q$31</f>
        <v>0.0125625279156241</v>
      </c>
      <c r="R45" s="117" t="n">
        <f aca="false">R12/R$31</f>
        <v>0.0134748248929478</v>
      </c>
      <c r="S45" s="79" t="n">
        <f aca="false">S12/S$31</f>
        <v>0.0129829187188842</v>
      </c>
      <c r="T45" s="117" t="n">
        <f aca="false">T12/T$31</f>
        <v>0.0120338652055976</v>
      </c>
      <c r="U45" s="117" t="n">
        <f aca="false">U12/U$31</f>
        <v>0.0109266469278496</v>
      </c>
      <c r="V45" s="79" t="n">
        <f aca="false">V12/V$31</f>
        <v>0.012426631622856</v>
      </c>
      <c r="W45" s="79" t="n">
        <f aca="false">W12/W$31</f>
        <v>0.012889423785448</v>
      </c>
      <c r="X45" s="176" t="n">
        <f aca="false">X12/X$31</f>
        <v>0.0120722340404141</v>
      </c>
      <c r="Y45" s="177" t="n">
        <f aca="false">Y12/Y$31</f>
        <v>0.0138367937246045</v>
      </c>
      <c r="Z45" s="117" t="n">
        <f aca="false">Z12/Z$31</f>
        <v>0.0152406820989855</v>
      </c>
      <c r="AA45" s="79" t="n">
        <f aca="false">AA12/AA$31</f>
        <v>0.0146009096894566</v>
      </c>
      <c r="AB45" s="117" t="n">
        <f aca="false">AB12/AB$31</f>
        <v>0.0168183955149998</v>
      </c>
      <c r="AC45" s="178" t="n">
        <f aca="false">AC12/AC$31</f>
        <v>0.0166054446151701</v>
      </c>
      <c r="AD45" s="177" t="n">
        <f aca="false">AD12/AD$31</f>
        <v>0.0181178874130701</v>
      </c>
      <c r="AE45" s="117" t="n">
        <f aca="false">AE12/AE$31</f>
        <v>0.0158914372665941</v>
      </c>
      <c r="AF45" s="79" t="n">
        <f aca="false">AF12/AF$31</f>
        <v>0.0150622556544321</v>
      </c>
      <c r="AG45" s="117" t="n">
        <f aca="false">AG12/AG$31</f>
        <v>0.0155772124139018</v>
      </c>
      <c r="AH45" s="117" t="n">
        <f aca="false">AH12/AH$31</f>
        <v>0.0177233771775391</v>
      </c>
      <c r="AI45" s="176" t="n">
        <f aca="false">AI12/AI$31</f>
        <v>0.0138720140656413</v>
      </c>
      <c r="AJ45" s="177" t="n">
        <f aca="false">AJ12/AJ$31</f>
        <v>0.0133768925885543</v>
      </c>
      <c r="AK45" s="117" t="n">
        <f aca="false">AK12/AK$31</f>
        <v>0.0141949507068805</v>
      </c>
      <c r="AL45" s="117" t="n">
        <f aca="false">AL12/AL$31</f>
        <v>0.0146092270830797</v>
      </c>
      <c r="AM45" s="117" t="n">
        <f aca="false">AM12/AM$31</f>
        <v>0.0147369119200242</v>
      </c>
      <c r="AN45" s="178" t="n">
        <f aca="false">AN12/AN$31</f>
        <v>0.014998908548507</v>
      </c>
      <c r="AO45" s="177" t="n">
        <f aca="false">AO12/AO$31</f>
        <v>0.0143129620418302</v>
      </c>
      <c r="AP45" s="117" t="n">
        <f aca="false">AP12/AP$31</f>
        <v>0.0134902561552052</v>
      </c>
      <c r="AQ45" s="117" t="n">
        <f aca="false">AQ12/AQ$31</f>
        <v>0.0134810063136783</v>
      </c>
    </row>
    <row r="46" customFormat="false" ht="12.8" hidden="false" customHeight="false" outlineLevel="0" collapsed="false">
      <c r="A46" s="139" t="s">
        <v>185</v>
      </c>
      <c r="B46" s="118" t="n">
        <f aca="false">B11/B$31</f>
        <v>0.0144087380863585</v>
      </c>
      <c r="C46" s="118" t="n">
        <f aca="false">C11/C$31</f>
        <v>0.0147667893626738</v>
      </c>
      <c r="D46" s="117" t="n">
        <f aca="false">D11/D$31</f>
        <v>0.0149537393966964</v>
      </c>
      <c r="E46" s="79" t="n">
        <f aca="false">E11/E$31</f>
        <v>0.014986641629191</v>
      </c>
      <c r="F46" s="117" t="n">
        <f aca="false">F11/F$31</f>
        <v>0.0152117818381894</v>
      </c>
      <c r="G46" s="79" t="n">
        <f aca="false">G11/G$31</f>
        <v>0.0170676848285509</v>
      </c>
      <c r="H46" s="117" t="n">
        <f aca="false">H11/H$31</f>
        <v>0.0166665353015718</v>
      </c>
      <c r="I46" s="176" t="n">
        <f aca="false">I11/I$31</f>
        <v>0.0179205745660414</v>
      </c>
      <c r="J46" s="177" t="n">
        <f aca="false">J11/J$31</f>
        <v>0.0157047608572911</v>
      </c>
      <c r="K46" s="79" t="n">
        <f aca="false">K11/K$31</f>
        <v>0.0139613964303464</v>
      </c>
      <c r="L46" s="117" t="n">
        <f aca="false">L11/L$31</f>
        <v>0.0142630415978536</v>
      </c>
      <c r="M46" s="79" t="n">
        <f aca="false">M11/M$31</f>
        <v>0.0142786894063747</v>
      </c>
      <c r="N46" s="79" t="n">
        <f aca="false">N11/N$31</f>
        <v>0.0144080122056711</v>
      </c>
      <c r="O46" s="117" t="n">
        <f aca="false">O11/O$31</f>
        <v>0.0151963323977355</v>
      </c>
      <c r="P46" s="178" t="n">
        <f aca="false">P11/P$31</f>
        <v>0.0142478733431385</v>
      </c>
      <c r="Q46" s="177" t="n">
        <f aca="false">Q11/Q$31</f>
        <v>0.0121069785462426</v>
      </c>
      <c r="R46" s="117" t="n">
        <f aca="false">R11/R$31</f>
        <v>0.00988754117643386</v>
      </c>
      <c r="S46" s="79" t="n">
        <f aca="false">S11/S$31</f>
        <v>0.00856491605672452</v>
      </c>
      <c r="T46" s="117" t="n">
        <f aca="false">T11/T$31</f>
        <v>0.00913619149323127</v>
      </c>
      <c r="U46" s="117" t="n">
        <f aca="false">U11/U$31</f>
        <v>0.00762540043630168</v>
      </c>
      <c r="V46" s="79" t="n">
        <f aca="false">V11/V$31</f>
        <v>0.00828573177374618</v>
      </c>
      <c r="W46" s="79" t="n">
        <f aca="false">W11/W$31</f>
        <v>0.00856529909238759</v>
      </c>
      <c r="X46" s="176" t="n">
        <f aca="false">X11/X$31</f>
        <v>0.00802225894583351</v>
      </c>
      <c r="Y46" s="177" t="n">
        <f aca="false">Y11/Y$31</f>
        <v>0.00772940960549565</v>
      </c>
      <c r="Z46" s="117" t="n">
        <f aca="false">Z11/Z$31</f>
        <v>0.0087497044988024</v>
      </c>
      <c r="AA46" s="79" t="n">
        <f aca="false">AA11/AA$31</f>
        <v>0.00853694942095176</v>
      </c>
      <c r="AB46" s="117" t="n">
        <f aca="false">AB11/AB$31</f>
        <v>0.00957507547649061</v>
      </c>
      <c r="AC46" s="178" t="n">
        <f aca="false">AC11/AC$31</f>
        <v>0.00902616868995728</v>
      </c>
      <c r="AD46" s="177" t="n">
        <f aca="false">AD11/AD$31</f>
        <v>0.00880709668358258</v>
      </c>
      <c r="AE46" s="117" t="n">
        <f aca="false">AE11/AE$31</f>
        <v>0.00902675630344979</v>
      </c>
      <c r="AF46" s="79" t="n">
        <f aca="false">AF11/AF$31</f>
        <v>0.00898186496552171</v>
      </c>
      <c r="AG46" s="117" t="n">
        <f aca="false">AG11/AG$31</f>
        <v>0.00824312222050201</v>
      </c>
      <c r="AH46" s="117" t="n">
        <f aca="false">AH11/AH$31</f>
        <v>0.00842788622455889</v>
      </c>
      <c r="AI46" s="176" t="n">
        <f aca="false">AI11/AI$31</f>
        <v>0.00792296523729214</v>
      </c>
      <c r="AJ46" s="177" t="n">
        <f aca="false">AJ11/AJ$31</f>
        <v>0.00899365582931245</v>
      </c>
      <c r="AK46" s="117" t="n">
        <f aca="false">AK11/AK$31</f>
        <v>0.00846755412720374</v>
      </c>
      <c r="AL46" s="117" t="n">
        <f aca="false">AL11/AL$31</f>
        <v>0.00875259649715338</v>
      </c>
      <c r="AM46" s="117" t="n">
        <f aca="false">AM11/AM$31</f>
        <v>0.00922878979117251</v>
      </c>
      <c r="AN46" s="178" t="n">
        <f aca="false">AN11/AN$31</f>
        <v>0.00976925019388263</v>
      </c>
      <c r="AO46" s="177" t="n">
        <f aca="false">AO11/AO$31</f>
        <v>0.00903961599395741</v>
      </c>
      <c r="AP46" s="117" t="n">
        <f aca="false">AP11/AP$31</f>
        <v>0.0100274754407928</v>
      </c>
      <c r="AQ46" s="117" t="n">
        <f aca="false">AQ11/AQ$31</f>
        <v>0.0104006040970766</v>
      </c>
    </row>
    <row r="47" customFormat="false" ht="12.8" hidden="false" customHeight="false" outlineLevel="0" collapsed="false">
      <c r="A47" s="139" t="s">
        <v>186</v>
      </c>
      <c r="B47" s="118" t="n">
        <f aca="false">B13/B$31</f>
        <v>0.0136623647561644</v>
      </c>
      <c r="C47" s="118" t="n">
        <f aca="false">C13/C$31</f>
        <v>0.0132274860416565</v>
      </c>
      <c r="D47" s="117" t="n">
        <f aca="false">D13/D$31</f>
        <v>0.0126619807489118</v>
      </c>
      <c r="E47" s="79" t="n">
        <f aca="false">E13/E$31</f>
        <v>0.0142890349037651</v>
      </c>
      <c r="F47" s="117" t="n">
        <f aca="false">F13/F$31</f>
        <v>0.0121371487061573</v>
      </c>
      <c r="G47" s="79" t="n">
        <f aca="false">G13/G$31</f>
        <v>0.0113384142036934</v>
      </c>
      <c r="H47" s="117" t="n">
        <f aca="false">H13/H$31</f>
        <v>0.0102562215554161</v>
      </c>
      <c r="I47" s="176" t="n">
        <f aca="false">I13/I$31</f>
        <v>0.0104829151084283</v>
      </c>
      <c r="J47" s="177" t="n">
        <f aca="false">J13/J$31</f>
        <v>0.0109624250613975</v>
      </c>
      <c r="K47" s="79" t="n">
        <f aca="false">K13/K$31</f>
        <v>0.0101724609419502</v>
      </c>
      <c r="L47" s="117" t="n">
        <f aca="false">L13/L$31</f>
        <v>0.0103965252665063</v>
      </c>
      <c r="M47" s="79" t="n">
        <f aca="false">M13/M$31</f>
        <v>0.010407931167242</v>
      </c>
      <c r="N47" s="79" t="n">
        <f aca="false">N13/N$31</f>
        <v>0.0103807770215047</v>
      </c>
      <c r="O47" s="117" t="n">
        <f aca="false">O13/O$31</f>
        <v>0.0108275120099334</v>
      </c>
      <c r="P47" s="178" t="n">
        <f aca="false">P13/P$31</f>
        <v>0.0109586928529155</v>
      </c>
      <c r="Q47" s="177" t="n">
        <f aca="false">Q13/Q$31</f>
        <v>0.0110157548746096</v>
      </c>
      <c r="R47" s="117" t="n">
        <f aca="false">R13/R$31</f>
        <v>0.0113677656469561</v>
      </c>
      <c r="S47" s="79" t="n">
        <f aca="false">S13/S$31</f>
        <v>0.0109330389787125</v>
      </c>
      <c r="T47" s="117" t="n">
        <f aca="false">T13/T$31</f>
        <v>0.0111292650241745</v>
      </c>
      <c r="U47" s="117" t="n">
        <f aca="false">U13/U$31</f>
        <v>0.0105652842331305</v>
      </c>
      <c r="V47" s="79" t="n">
        <f aca="false">V13/V$31</f>
        <v>0.0110764204221304</v>
      </c>
      <c r="W47" s="79" t="n">
        <f aca="false">W13/W$31</f>
        <v>0.0114889280683301</v>
      </c>
      <c r="X47" s="176" t="n">
        <f aca="false">X13/X$31</f>
        <v>0.0107605297818628</v>
      </c>
      <c r="Y47" s="177" t="n">
        <f aca="false">Y13/Y$31</f>
        <v>0.0114962677314286</v>
      </c>
      <c r="Z47" s="117" t="n">
        <f aca="false">Z13/Z$31</f>
        <v>0.0117906322643451</v>
      </c>
      <c r="AA47" s="79" t="n">
        <f aca="false">AA13/AA$31</f>
        <v>0.0122062055742849</v>
      </c>
      <c r="AB47" s="117" t="n">
        <f aca="false">AB13/AB$31</f>
        <v>0.0122268340349667</v>
      </c>
      <c r="AC47" s="178" t="n">
        <f aca="false">AC13/AC$31</f>
        <v>0.0120676702195091</v>
      </c>
      <c r="AD47" s="177" t="n">
        <f aca="false">AD13/AD$31</f>
        <v>0.0126656344819103</v>
      </c>
      <c r="AE47" s="117" t="n">
        <f aca="false">AE13/AE$31</f>
        <v>0.0124616015215449</v>
      </c>
      <c r="AF47" s="79" t="n">
        <f aca="false">AF13/AF$31</f>
        <v>0.0123996282117287</v>
      </c>
      <c r="AG47" s="117" t="n">
        <f aca="false">AG13/AG$31</f>
        <v>0.0148489561648691</v>
      </c>
      <c r="AH47" s="117" t="n">
        <f aca="false">AH13/AH$31</f>
        <v>0.0162949629893021</v>
      </c>
      <c r="AI47" s="176" t="n">
        <f aca="false">AI13/AI$31</f>
        <v>0.0166217590023619</v>
      </c>
      <c r="AJ47" s="177" t="n">
        <f aca="false">AJ13/AJ$31</f>
        <v>0.0171266158431577</v>
      </c>
      <c r="AK47" s="117" t="n">
        <f aca="false">AK13/AK$31</f>
        <v>0.0169704418794473</v>
      </c>
      <c r="AL47" s="117" t="n">
        <f aca="false">AL13/AL$31</f>
        <v>0.0174985531188434</v>
      </c>
      <c r="AM47" s="117" t="n">
        <f aca="false">AM13/AM$31</f>
        <v>0.0185374455883919</v>
      </c>
      <c r="AN47" s="178" t="n">
        <f aca="false">AN13/AN$31</f>
        <v>0.0173934457011671</v>
      </c>
      <c r="AO47" s="177" t="n">
        <f aca="false">AO13/AO$31</f>
        <v>0.0178276493693738</v>
      </c>
      <c r="AP47" s="117" t="n">
        <f aca="false">AP13/AP$31</f>
        <v>0.0171285419052677</v>
      </c>
      <c r="AQ47" s="117" t="n">
        <f aca="false">AQ13/AQ$31</f>
        <v>0.0170551634283375</v>
      </c>
    </row>
    <row r="48" customFormat="false" ht="12.8" hidden="false" customHeight="false" outlineLevel="0" collapsed="false">
      <c r="A48" s="139" t="s">
        <v>187</v>
      </c>
      <c r="B48" s="118" t="n">
        <f aca="false">B14/B$31</f>
        <v>0.00759751128630997</v>
      </c>
      <c r="C48" s="118" t="n">
        <f aca="false">C14/C$31</f>
        <v>0.00790985569778712</v>
      </c>
      <c r="D48" s="117" t="n">
        <f aca="false">D14/D$31</f>
        <v>0.00779832692600179</v>
      </c>
      <c r="E48" s="79" t="n">
        <f aca="false">E14/E$31</f>
        <v>0.00789074612864701</v>
      </c>
      <c r="F48" s="117" t="n">
        <f aca="false">F14/F$31</f>
        <v>0.00838964531200295</v>
      </c>
      <c r="G48" s="79" t="n">
        <f aca="false">G14/G$31</f>
        <v>0.00845741201506802</v>
      </c>
      <c r="H48" s="117" t="n">
        <f aca="false">H14/H$31</f>
        <v>0.00856428080257519</v>
      </c>
      <c r="I48" s="176" t="n">
        <f aca="false">I14/I$31</f>
        <v>0.00982967500730176</v>
      </c>
      <c r="J48" s="177" t="n">
        <f aca="false">J14/J$31</f>
        <v>0.00942922762719555</v>
      </c>
      <c r="K48" s="79" t="n">
        <f aca="false">K14/K$31</f>
        <v>0.00970227722081095</v>
      </c>
      <c r="L48" s="117" t="n">
        <f aca="false">L14/L$31</f>
        <v>0.00962642816799567</v>
      </c>
      <c r="M48" s="79" t="n">
        <f aca="false">M14/M$31</f>
        <v>0.00963698920462179</v>
      </c>
      <c r="N48" s="79" t="n">
        <f aca="false">N14/N$31</f>
        <v>0.00964516610031027</v>
      </c>
      <c r="O48" s="117" t="n">
        <f aca="false">O14/O$31</f>
        <v>0.0102737121323573</v>
      </c>
      <c r="P48" s="178" t="n">
        <f aca="false">P14/P$31</f>
        <v>0.0104354516211301</v>
      </c>
      <c r="Q48" s="177" t="n">
        <f aca="false">Q14/Q$31</f>
        <v>0.0106854941414794</v>
      </c>
      <c r="R48" s="117" t="n">
        <f aca="false">R14/R$31</f>
        <v>0.00985742621788841</v>
      </c>
      <c r="S48" s="79" t="n">
        <f aca="false">S14/S$31</f>
        <v>0.00977686834985632</v>
      </c>
      <c r="T48" s="117" t="n">
        <f aca="false">T14/T$31</f>
        <v>0.00954136337977453</v>
      </c>
      <c r="U48" s="117" t="n">
        <f aca="false">U14/U$31</f>
        <v>0.00816911728170923</v>
      </c>
      <c r="V48" s="79" t="n">
        <f aca="false">V14/V$31</f>
        <v>0.00731529592484389</v>
      </c>
      <c r="W48" s="79" t="n">
        <f aca="false">W14/W$31</f>
        <v>0.00694751702955688</v>
      </c>
      <c r="X48" s="176" t="n">
        <f aca="false">X14/X$31</f>
        <v>0.00673653050455922</v>
      </c>
      <c r="Y48" s="177" t="n">
        <f aca="false">Y14/Y$31</f>
        <v>0.00758768718061057</v>
      </c>
      <c r="Z48" s="117" t="n">
        <f aca="false">Z14/Z$31</f>
        <v>0.00732544768709717</v>
      </c>
      <c r="AA48" s="79" t="n">
        <f aca="false">AA14/AA$31</f>
        <v>0.00773718019388437</v>
      </c>
      <c r="AB48" s="117" t="n">
        <f aca="false">AB14/AB$31</f>
        <v>0.00817040424381239</v>
      </c>
      <c r="AC48" s="178" t="n">
        <f aca="false">AC14/AC$31</f>
        <v>0.00581401970876431</v>
      </c>
      <c r="AD48" s="177" t="n">
        <f aca="false">AD14/AD$31</f>
        <v>0.00633132675453268</v>
      </c>
      <c r="AE48" s="117" t="n">
        <f aca="false">AE14/AE$31</f>
        <v>0.00725279592189391</v>
      </c>
      <c r="AF48" s="79" t="n">
        <f aca="false">AF14/AF$31</f>
        <v>0.00761264438781843</v>
      </c>
      <c r="AG48" s="117" t="n">
        <f aca="false">AG14/AG$31</f>
        <v>0.00825216169099855</v>
      </c>
      <c r="AH48" s="117" t="n">
        <f aca="false">AH14/AH$31</f>
        <v>0.00886117909244682</v>
      </c>
      <c r="AI48" s="176" t="n">
        <f aca="false">AI14/AI$31</f>
        <v>0.00867459176050989</v>
      </c>
      <c r="AJ48" s="177" t="n">
        <f aca="false">AJ14/AJ$31</f>
        <v>0.00913638193957743</v>
      </c>
      <c r="AK48" s="117" t="n">
        <f aca="false">AK14/AK$31</f>
        <v>0.0111583427447278</v>
      </c>
      <c r="AL48" s="117" t="n">
        <f aca="false">AL14/AL$31</f>
        <v>0.010654259734115</v>
      </c>
      <c r="AM48" s="117" t="n">
        <f aca="false">AM14/AM$31</f>
        <v>0.0117967902356868</v>
      </c>
      <c r="AN48" s="178" t="n">
        <f aca="false">AN14/AN$31</f>
        <v>0.0122472487838965</v>
      </c>
      <c r="AO48" s="177" t="n">
        <f aca="false">AO14/AO$31</f>
        <v>0.0131428037612042</v>
      </c>
      <c r="AP48" s="117" t="n">
        <f aca="false">AP14/AP$31</f>
        <v>0.0163298895579002</v>
      </c>
      <c r="AQ48" s="117" t="n">
        <f aca="false">AQ14/AQ$31</f>
        <v>0.0156752534118605</v>
      </c>
    </row>
    <row r="49" customFormat="false" ht="12.8" hidden="false" customHeight="false" outlineLevel="0" collapsed="false">
      <c r="A49" s="139" t="s">
        <v>188</v>
      </c>
      <c r="B49" s="118" t="n">
        <f aca="false">B15/B$31</f>
        <v>0.00682310751390844</v>
      </c>
      <c r="C49" s="118" t="n">
        <f aca="false">C15/C$31</f>
        <v>0.00700112007559712</v>
      </c>
      <c r="D49" s="117" t="n">
        <f aca="false">D15/D$31</f>
        <v>0.00690240445384799</v>
      </c>
      <c r="E49" s="79" t="n">
        <f aca="false">E15/E$31</f>
        <v>0.00715647245342313</v>
      </c>
      <c r="F49" s="117" t="n">
        <f aca="false">F15/F$31</f>
        <v>0.00747921127888117</v>
      </c>
      <c r="G49" s="79" t="n">
        <f aca="false">G15/G$31</f>
        <v>0.00770245398482476</v>
      </c>
      <c r="H49" s="117" t="n">
        <f aca="false">H15/H$31</f>
        <v>0.00774113805444742</v>
      </c>
      <c r="I49" s="176" t="n">
        <f aca="false">I15/I$31</f>
        <v>0.00764809353541497</v>
      </c>
      <c r="J49" s="177" t="n">
        <f aca="false">J15/J$31</f>
        <v>0.00837771578304486</v>
      </c>
      <c r="K49" s="79" t="n">
        <f aca="false">K15/K$31</f>
        <v>0.00796494022561699</v>
      </c>
      <c r="L49" s="117" t="n">
        <f aca="false">L15/L$31</f>
        <v>0.00814038046195373</v>
      </c>
      <c r="M49" s="79" t="n">
        <f aca="false">M15/M$31</f>
        <v>0.00814931117381372</v>
      </c>
      <c r="N49" s="79" t="n">
        <f aca="false">N15/N$31</f>
        <v>0.00813442299784649</v>
      </c>
      <c r="O49" s="117" t="n">
        <f aca="false">O15/O$31</f>
        <v>0.0083341910533803</v>
      </c>
      <c r="P49" s="178" t="n">
        <f aca="false">P15/P$31</f>
        <v>0.00824294486983385</v>
      </c>
      <c r="Q49" s="177" t="n">
        <f aca="false">Q15/Q$31</f>
        <v>0.00823746275613342</v>
      </c>
      <c r="R49" s="117" t="n">
        <f aca="false">R15/R$31</f>
        <v>0.00801864679827416</v>
      </c>
      <c r="S49" s="79" t="n">
        <f aca="false">S15/S$31</f>
        <v>0.00772592151990928</v>
      </c>
      <c r="T49" s="117" t="n">
        <f aca="false">T15/T$31</f>
        <v>0.00731384764544223</v>
      </c>
      <c r="U49" s="117" t="n">
        <f aca="false">U15/U$31</f>
        <v>0.00755435403406231</v>
      </c>
      <c r="V49" s="79" t="n">
        <f aca="false">V15/V$31</f>
        <v>0.00775131800147831</v>
      </c>
      <c r="W49" s="79" t="n">
        <f aca="false">W15/W$31</f>
        <v>0.00803999230435571</v>
      </c>
      <c r="X49" s="176" t="n">
        <f aca="false">X15/X$31</f>
        <v>0.00753025661945343</v>
      </c>
      <c r="Y49" s="177" t="n">
        <f aca="false">Y15/Y$31</f>
        <v>0.00779631021530166</v>
      </c>
      <c r="Z49" s="117" t="n">
        <f aca="false">Z15/Z$31</f>
        <v>0.00814761183704041</v>
      </c>
      <c r="AA49" s="79" t="n">
        <f aca="false">AA15/AA$31</f>
        <v>0.00783536987852089</v>
      </c>
      <c r="AB49" s="117" t="n">
        <f aca="false">AB15/AB$31</f>
        <v>0.00844921065835219</v>
      </c>
      <c r="AC49" s="178" t="n">
        <f aca="false">AC15/AC$31</f>
        <v>0.00867175527412589</v>
      </c>
      <c r="AD49" s="177" t="n">
        <f aca="false">AD15/AD$31</f>
        <v>0.00818154302867646</v>
      </c>
      <c r="AE49" s="117" t="n">
        <f aca="false">AE15/AE$31</f>
        <v>0.0083874636382448</v>
      </c>
      <c r="AF49" s="79" t="n">
        <f aca="false">AF15/AF$31</f>
        <v>0.00834575159331013</v>
      </c>
      <c r="AG49" s="117" t="n">
        <f aca="false">AG15/AG$31</f>
        <v>0.00938334006269291</v>
      </c>
      <c r="AH49" s="117" t="n">
        <f aca="false">AH15/AH$31</f>
        <v>0.0109848383298314</v>
      </c>
      <c r="AI49" s="176" t="n">
        <f aca="false">AI15/AI$31</f>
        <v>0.00957145943357307</v>
      </c>
      <c r="AJ49" s="177" t="n">
        <f aca="false">AJ15/AJ$31</f>
        <v>0.0104052737679594</v>
      </c>
      <c r="AK49" s="117" t="n">
        <f aca="false">AK15/AK$31</f>
        <v>0.0105097123582606</v>
      </c>
      <c r="AL49" s="117" t="n">
        <f aca="false">AL15/AL$31</f>
        <v>0.0101490674617077</v>
      </c>
      <c r="AM49" s="117" t="n">
        <f aca="false">AM15/AM$31</f>
        <v>0.0114285056192849</v>
      </c>
      <c r="AN49" s="178" t="n">
        <f aca="false">AN15/AN$31</f>
        <v>0.0113255875838565</v>
      </c>
      <c r="AO49" s="177" t="n">
        <f aca="false">AO15/AO$31</f>
        <v>0.0102517930279347</v>
      </c>
      <c r="AP49" s="117" t="n">
        <f aca="false">AP15/AP$31</f>
        <v>0.0101009411557137</v>
      </c>
      <c r="AQ49" s="117" t="n">
        <f aca="false">AQ15/AQ$31</f>
        <v>0.0105227458368191</v>
      </c>
    </row>
    <row r="50" customFormat="false" ht="12.8" hidden="false" customHeight="false" outlineLevel="0" collapsed="false">
      <c r="A50" s="139" t="s">
        <v>189</v>
      </c>
      <c r="B50" s="118" t="n">
        <f aca="false">B16/B$31</f>
        <v>0.00596585949073175</v>
      </c>
      <c r="C50" s="118" t="n">
        <f aca="false">C16/C$31</f>
        <v>0.00631408637662971</v>
      </c>
      <c r="D50" s="117" t="n">
        <f aca="false">D16/D$31</f>
        <v>0.0063391839749668</v>
      </c>
      <c r="E50" s="79" t="n">
        <f aca="false">E16/E$31</f>
        <v>0.00555777792530955</v>
      </c>
      <c r="F50" s="117" t="n">
        <f aca="false">F16/F$31</f>
        <v>0.00548052500833754</v>
      </c>
      <c r="G50" s="79" t="n">
        <f aca="false">G16/G$31</f>
        <v>0.00576805042188555</v>
      </c>
      <c r="H50" s="117" t="n">
        <f aca="false">H16/H$31</f>
        <v>0.00581700904953016</v>
      </c>
      <c r="I50" s="176" t="n">
        <f aca="false">I16/I$31</f>
        <v>0.00609869663856748</v>
      </c>
      <c r="J50" s="177" t="n">
        <f aca="false">J16/J$31</f>
        <v>0.00668402229743588</v>
      </c>
      <c r="K50" s="79" t="n">
        <f aca="false">K16/K$31</f>
        <v>0.0058016345895848</v>
      </c>
      <c r="L50" s="117" t="n">
        <f aca="false">L16/L$31</f>
        <v>0.00592999385494037</v>
      </c>
      <c r="M50" s="79" t="n">
        <f aca="false">M16/M$31</f>
        <v>0.00593578728420946</v>
      </c>
      <c r="N50" s="79" t="n">
        <f aca="false">N16/N$31</f>
        <v>0.00598811080044289</v>
      </c>
      <c r="O50" s="117" t="n">
        <f aca="false">O16/O$31</f>
        <v>0.00612835574184114</v>
      </c>
      <c r="P50" s="178" t="n">
        <f aca="false">P16/P$31</f>
        <v>0.00653219721902008</v>
      </c>
      <c r="Q50" s="177" t="n">
        <f aca="false">Q16/Q$31</f>
        <v>0.00681016231750837</v>
      </c>
      <c r="R50" s="117" t="n">
        <f aca="false">R16/R$31</f>
        <v>0.00715744637554432</v>
      </c>
      <c r="S50" s="79" t="n">
        <f aca="false">S16/S$31</f>
        <v>0.00679621536655328</v>
      </c>
      <c r="T50" s="117" t="n">
        <f aca="false">T16/T$31</f>
        <v>0.00696249705697938</v>
      </c>
      <c r="U50" s="117" t="n">
        <f aca="false">U16/U$31</f>
        <v>0.00640906586775218</v>
      </c>
      <c r="V50" s="79" t="n">
        <f aca="false">V16/V$31</f>
        <v>0.00659296409510158</v>
      </c>
      <c r="W50" s="79" t="n">
        <f aca="false">W16/W$31</f>
        <v>0.00642849823930762</v>
      </c>
      <c r="X50" s="176" t="n">
        <f aca="false">X16/X$31</f>
        <v>0.00602093131276575</v>
      </c>
      <c r="Y50" s="177" t="n">
        <f aca="false">Y16/Y$31</f>
        <v>0.00680468066953205</v>
      </c>
      <c r="Z50" s="117" t="n">
        <f aca="false">Z16/Z$31</f>
        <v>0.00710092507758711</v>
      </c>
      <c r="AA50" s="79" t="n">
        <f aca="false">AA16/AA$31</f>
        <v>0.00709797856056452</v>
      </c>
      <c r="AB50" s="117" t="n">
        <f aca="false">AB16/AB$31</f>
        <v>0.00796460936849654</v>
      </c>
      <c r="AC50" s="178" t="n">
        <f aca="false">AC16/AC$31</f>
        <v>0.00815098951617072</v>
      </c>
      <c r="AD50" s="177" t="n">
        <f aca="false">AD16/AD$31</f>
        <v>0.00826056904509934</v>
      </c>
      <c r="AE50" s="117" t="n">
        <f aca="false">AE16/AE$31</f>
        <v>0.00813043537428116</v>
      </c>
      <c r="AF50" s="79" t="n">
        <f aca="false">AF16/AF$31</f>
        <v>0.00830762260947746</v>
      </c>
      <c r="AG50" s="117" t="n">
        <f aca="false">AG16/AG$31</f>
        <v>0.00778503114137301</v>
      </c>
      <c r="AH50" s="117" t="n">
        <f aca="false">AH16/AH$31</f>
        <v>0.00866873712812763</v>
      </c>
      <c r="AI50" s="176" t="n">
        <f aca="false">AI16/AI$31</f>
        <v>0.00979387705097386</v>
      </c>
      <c r="AJ50" s="177" t="n">
        <f aca="false">AJ16/AJ$31</f>
        <v>0.00951537640300564</v>
      </c>
      <c r="AK50" s="117" t="n">
        <f aca="false">AK16/AK$31</f>
        <v>0.00917295932968859</v>
      </c>
      <c r="AL50" s="117" t="n">
        <f aca="false">AL16/AL$31</f>
        <v>0.00979097441575718</v>
      </c>
      <c r="AM50" s="117" t="n">
        <f aca="false">AM16/AM$31</f>
        <v>0.00899832670229006</v>
      </c>
      <c r="AN50" s="178" t="n">
        <f aca="false">AN16/AN$31</f>
        <v>0.00953943009681412</v>
      </c>
      <c r="AO50" s="177" t="n">
        <f aca="false">AO16/AO$31</f>
        <v>0.00911984768661631</v>
      </c>
      <c r="AP50" s="117" t="n">
        <f aca="false">AP16/AP$31</f>
        <v>0.00845629189508944</v>
      </c>
      <c r="AQ50" s="117" t="n">
        <f aca="false">AQ16/AQ$31</f>
        <v>0.00801646827139604</v>
      </c>
    </row>
    <row r="51" customFormat="false" ht="12.8" hidden="false" customHeight="false" outlineLevel="0" collapsed="false">
      <c r="A51" s="139" t="s">
        <v>190</v>
      </c>
      <c r="B51" s="118" t="n">
        <f aca="false">B17/B$31</f>
        <v>0.00518420771901965</v>
      </c>
      <c r="C51" s="118" t="n">
        <f aca="false">C17/C$31</f>
        <v>0.00532100426079814</v>
      </c>
      <c r="D51" s="117" t="n">
        <f aca="false">D17/D$31</f>
        <v>0.00524597823092539</v>
      </c>
      <c r="E51" s="79" t="n">
        <f aca="false">E17/E$31</f>
        <v>0.005439075463036</v>
      </c>
      <c r="F51" s="117" t="n">
        <f aca="false">F17/F$31</f>
        <v>0.00568436402355833</v>
      </c>
      <c r="G51" s="79" t="n">
        <f aca="false">G17/G$31</f>
        <v>0.00599917683922914</v>
      </c>
      <c r="H51" s="117" t="n">
        <f aca="false">H17/H$31</f>
        <v>0.00585370078228671</v>
      </c>
      <c r="I51" s="176" t="n">
        <f aca="false">I17/I$31</f>
        <v>0.00616257785388815</v>
      </c>
      <c r="J51" s="177" t="n">
        <f aca="false">J17/J$31</f>
        <v>0.00610080732659135</v>
      </c>
      <c r="K51" s="79" t="n">
        <f aca="false">K17/K$31</f>
        <v>0.00614253100744576</v>
      </c>
      <c r="L51" s="117" t="n">
        <f aca="false">L17/L$31</f>
        <v>0.00627782983720798</v>
      </c>
      <c r="M51" s="79" t="n">
        <f aca="false">M17/M$31</f>
        <v>0.00628471716755381</v>
      </c>
      <c r="N51" s="79" t="n">
        <f aca="false">N17/N$31</f>
        <v>0.00634037008913741</v>
      </c>
      <c r="O51" s="117" t="n">
        <f aca="false">O17/O$31</f>
        <v>0.00647201152272684</v>
      </c>
      <c r="P51" s="178" t="n">
        <f aca="false">P17/P$31</f>
        <v>0.00680284249107855</v>
      </c>
      <c r="Q51" s="177" t="n">
        <f aca="false">Q17/Q$31</f>
        <v>0.00707138762803453</v>
      </c>
      <c r="R51" s="117" t="n">
        <f aca="false">R17/R$31</f>
        <v>0.0075249415812011</v>
      </c>
      <c r="S51" s="79" t="n">
        <f aca="false">S17/S$31</f>
        <v>0.00725067872866379</v>
      </c>
      <c r="T51" s="117" t="n">
        <f aca="false">T17/T$31</f>
        <v>0.00711056173491815</v>
      </c>
      <c r="U51" s="117" t="n">
        <f aca="false">U17/U$31</f>
        <v>0.00669006554257788</v>
      </c>
      <c r="V51" s="79" t="n">
        <f aca="false">V17/V$31</f>
        <v>0.00769655499646811</v>
      </c>
      <c r="W51" s="79" t="n">
        <f aca="false">W17/W$31</f>
        <v>0.00798318981750619</v>
      </c>
      <c r="X51" s="176" t="n">
        <f aca="false">X17/X$31</f>
        <v>0.00747705541149105</v>
      </c>
      <c r="Y51" s="177" t="n">
        <f aca="false">Y17/Y$31</f>
        <v>0.00773913711648364</v>
      </c>
      <c r="Z51" s="117" t="n">
        <f aca="false">Z17/Z$31</f>
        <v>0.00839167406065789</v>
      </c>
      <c r="AA51" s="79" t="n">
        <f aca="false">AA17/AA$31</f>
        <v>0.00743570763796322</v>
      </c>
      <c r="AB51" s="117" t="n">
        <f aca="false">AB17/AB$31</f>
        <v>0.00827396496691665</v>
      </c>
      <c r="AC51" s="178" t="n">
        <f aca="false">AC17/AC$31</f>
        <v>0.00883156951941077</v>
      </c>
      <c r="AD51" s="177" t="n">
        <f aca="false">AD17/AD$31</f>
        <v>0.00885364152344224</v>
      </c>
      <c r="AE51" s="117" t="n">
        <f aca="false">AE17/AE$31</f>
        <v>0.00892184607550128</v>
      </c>
      <c r="AF51" s="79" t="n">
        <f aca="false">AF17/AF$31</f>
        <v>0.00887747647099955</v>
      </c>
      <c r="AG51" s="117" t="n">
        <f aca="false">AG17/AG$31</f>
        <v>0.00921555603482307</v>
      </c>
      <c r="AH51" s="117" t="n">
        <f aca="false">AH17/AH$31</f>
        <v>0.0123660250635972</v>
      </c>
      <c r="AI51" s="176" t="n">
        <f aca="false">AI17/AI$31</f>
        <v>0.00973714295337647</v>
      </c>
      <c r="AJ51" s="177" t="n">
        <f aca="false">AJ17/AJ$31</f>
        <v>0.0110083727645362</v>
      </c>
      <c r="AK51" s="117" t="n">
        <f aca="false">AK17/AK$31</f>
        <v>0.0111405600549409</v>
      </c>
      <c r="AL51" s="117" t="n">
        <f aca="false">AL17/AL$31</f>
        <v>0.0114894117570965</v>
      </c>
      <c r="AM51" s="117" t="n">
        <f aca="false">AM17/AM$31</f>
        <v>0.0126058315565914</v>
      </c>
      <c r="AN51" s="178" t="n">
        <f aca="false">AN17/AN$31</f>
        <v>0.013525080307347</v>
      </c>
      <c r="AO51" s="177" t="n">
        <f aca="false">AO17/AO$31</f>
        <v>0.0144831748263127</v>
      </c>
      <c r="AP51" s="117" t="n">
        <f aca="false">AP17/AP$31</f>
        <v>0.0144188997731032</v>
      </c>
      <c r="AQ51" s="117" t="n">
        <f aca="false">AQ17/AQ$31</f>
        <v>0.0141050555121506</v>
      </c>
    </row>
    <row r="52" customFormat="false" ht="12.8" hidden="false" customHeight="false" outlineLevel="0" collapsed="false">
      <c r="A52" s="139" t="s">
        <v>26</v>
      </c>
      <c r="B52" s="118" t="n">
        <f aca="false">B18/B$31</f>
        <v>0.00470393608964309</v>
      </c>
      <c r="C52" s="118" t="n">
        <f aca="false">C18/C$31</f>
        <v>0.00505283093316948</v>
      </c>
      <c r="D52" s="117" t="n">
        <f aca="false">D18/D$31</f>
        <v>0.00458072459559855</v>
      </c>
      <c r="E52" s="79" t="n">
        <f aca="false">E18/E$31</f>
        <v>0.00477950732501932</v>
      </c>
      <c r="F52" s="117" t="n">
        <f aca="false">F18/F$31</f>
        <v>0.0048339203506855</v>
      </c>
      <c r="G52" s="79" t="n">
        <f aca="false">G18/G$31</f>
        <v>0.00496033479800243</v>
      </c>
      <c r="H52" s="117" t="n">
        <f aca="false">H18/H$31</f>
        <v>0.00455032727590418</v>
      </c>
      <c r="I52" s="176" t="n">
        <f aca="false">I18/I$31</f>
        <v>0.00461488382488836</v>
      </c>
      <c r="J52" s="177" t="n">
        <f aca="false">J18/J$31</f>
        <v>0.00475699917244441</v>
      </c>
      <c r="K52" s="79" t="n">
        <f aca="false">K18/K$31</f>
        <v>0.00555186641383196</v>
      </c>
      <c r="L52" s="117" t="n">
        <f aca="false">L18/L$31</f>
        <v>0.00550894769141833</v>
      </c>
      <c r="M52" s="79" t="n">
        <f aca="false">M18/M$31</f>
        <v>0.00490039969542922</v>
      </c>
      <c r="N52" s="79" t="n">
        <f aca="false">N18/N$31</f>
        <v>0.00494379410009489</v>
      </c>
      <c r="O52" s="117" t="n">
        <f aca="false">O18/O$31</f>
        <v>0.00504233129321445</v>
      </c>
      <c r="P52" s="178" t="n">
        <f aca="false">P18/P$31</f>
        <v>0.00540541738075822</v>
      </c>
      <c r="Q52" s="177" t="n">
        <f aca="false">Q18/Q$31</f>
        <v>0.00525141557693919</v>
      </c>
      <c r="R52" s="117" t="n">
        <f aca="false">R18/R$31</f>
        <v>0.00601913172178783</v>
      </c>
      <c r="S52" s="79" t="n">
        <f aca="false">S18/S$31</f>
        <v>0.00579939988260089</v>
      </c>
      <c r="T52" s="117" t="n">
        <f aca="false">T18/T$31</f>
        <v>0.00632018326154854</v>
      </c>
      <c r="U52" s="117" t="n">
        <f aca="false">U18/U$31</f>
        <v>0.00604688515605516</v>
      </c>
      <c r="V52" s="79" t="n">
        <f aca="false">V18/V$31</f>
        <v>0.00611652185984255</v>
      </c>
      <c r="W52" s="79" t="n">
        <f aca="false">W18/W$31</f>
        <v>0.0063443131443167</v>
      </c>
      <c r="X52" s="176" t="n">
        <f aca="false">X18/X$31</f>
        <v>0.00652166164910121</v>
      </c>
      <c r="Y52" s="177" t="n">
        <f aca="false">Y18/Y$31</f>
        <v>0.00634286330731497</v>
      </c>
      <c r="Z52" s="117" t="n">
        <f aca="false">Z18/Z$31</f>
        <v>0.00649634407293379</v>
      </c>
      <c r="AA52" s="79" t="n">
        <f aca="false">AA18/AA$31</f>
        <v>0.00632306033007758</v>
      </c>
      <c r="AB52" s="117" t="n">
        <f aca="false">AB18/AB$31</f>
        <v>0.00738789279541434</v>
      </c>
      <c r="AC52" s="178" t="n">
        <f aca="false">AC18/AC$31</f>
        <v>0.00747522120363931</v>
      </c>
      <c r="AD52" s="177" t="n">
        <f aca="false">AD18/AD$31</f>
        <v>0.00758265479772988</v>
      </c>
      <c r="AE52" s="117" t="n">
        <f aca="false">AE18/AE$31</f>
        <v>0.00785782961931683</v>
      </c>
      <c r="AF52" s="79" t="n">
        <f aca="false">AF18/AF$31</f>
        <v>0.00737057811351157</v>
      </c>
      <c r="AG52" s="117" t="n">
        <f aca="false">AG18/AG$31</f>
        <v>0.00744052083185548</v>
      </c>
      <c r="AH52" s="117" t="n">
        <f aca="false">AH18/AH$31</f>
        <v>0.0073525344073904</v>
      </c>
      <c r="AI52" s="176" t="n">
        <f aca="false">AI18/AI$31</f>
        <v>0.00809747403145515</v>
      </c>
      <c r="AJ52" s="177" t="n">
        <f aca="false">AJ18/AJ$31</f>
        <v>0.00813985020363341</v>
      </c>
      <c r="AK52" s="117" t="n">
        <f aca="false">AK18/AK$31</f>
        <v>0.00731636738287723</v>
      </c>
      <c r="AL52" s="117" t="n">
        <f aca="false">AL18/AL$31</f>
        <v>0.00721083477262435</v>
      </c>
      <c r="AM52" s="117" t="n">
        <f aca="false">AM18/AM$31</f>
        <v>0.00714026073764592</v>
      </c>
      <c r="AN52" s="178" t="n">
        <f aca="false">AN18/AN$31</f>
        <v>0.0078718873244556</v>
      </c>
      <c r="AO52" s="177" t="n">
        <f aca="false">AO18/AO$31</f>
        <v>0.00658637388623367</v>
      </c>
      <c r="AP52" s="117" t="n">
        <f aca="false">AP18/AP$31</f>
        <v>0.00740222697844827</v>
      </c>
      <c r="AQ52" s="117" t="n">
        <f aca="false">AQ18/AQ$31</f>
        <v>0.00712948358068513</v>
      </c>
    </row>
    <row r="53" customFormat="false" ht="12.8" hidden="false" customHeight="false" outlineLevel="0" collapsed="false">
      <c r="A53" s="139" t="s">
        <v>191</v>
      </c>
      <c r="B53" s="118" t="n">
        <f aca="false">B19/B$31</f>
        <v>0.00436674814170981</v>
      </c>
      <c r="C53" s="118" t="n">
        <f aca="false">C19/C$31</f>
        <v>0.00488500804256172</v>
      </c>
      <c r="D53" s="117" t="n">
        <f aca="false">D19/D$31</f>
        <v>0.00481612954869731</v>
      </c>
      <c r="E53" s="79" t="n">
        <f aca="false">E19/E$31</f>
        <v>0.00485817719883385</v>
      </c>
      <c r="F53" s="117" t="n">
        <f aca="false">F19/F$31</f>
        <v>0.00512855425797052</v>
      </c>
      <c r="G53" s="79" t="n">
        <f aca="false">G19/G$31</f>
        <v>0.00522819424764656</v>
      </c>
      <c r="H53" s="117" t="n">
        <f aca="false">H19/H$31</f>
        <v>0.00510672166879469</v>
      </c>
      <c r="I53" s="176" t="n">
        <f aca="false">I19/I$31</f>
        <v>0.0053761835516627</v>
      </c>
      <c r="J53" s="177" t="n">
        <f aca="false">J19/J$31</f>
        <v>0.0062855489593016</v>
      </c>
      <c r="K53" s="79" t="n">
        <f aca="false">K19/K$31</f>
        <v>0.00656355366267281</v>
      </c>
      <c r="L53" s="117" t="n">
        <f aca="false">L19/L$31</f>
        <v>0.00670812617334711</v>
      </c>
      <c r="M53" s="79" t="n">
        <f aca="false">M19/M$31</f>
        <v>0.00671548557654143</v>
      </c>
      <c r="N53" s="79" t="n">
        <f aca="false">N19/N$31</f>
        <v>0.00675309838507812</v>
      </c>
      <c r="O53" s="117" t="n">
        <f aca="false">O19/O$31</f>
        <v>0.00693890007981016</v>
      </c>
      <c r="P53" s="178" t="n">
        <f aca="false">P19/P$31</f>
        <v>0.00572017261076803</v>
      </c>
      <c r="Q53" s="177" t="n">
        <f aca="false">Q19/Q$31</f>
        <v>0.00573199215675472</v>
      </c>
      <c r="R53" s="117" t="n">
        <f aca="false">R19/R$31</f>
        <v>0.00536386634088444</v>
      </c>
      <c r="S53" s="79" t="n">
        <f aca="false">S19/S$31</f>
        <v>0.00519769129760182</v>
      </c>
      <c r="T53" s="117" t="n">
        <f aca="false">T19/T$31</f>
        <v>0.00505329503165185</v>
      </c>
      <c r="U53" s="117" t="n">
        <f aca="false">U19/U$31</f>
        <v>0.00494305232485103</v>
      </c>
      <c r="V53" s="79" t="n">
        <f aca="false">V19/V$31</f>
        <v>0.00497480996320447</v>
      </c>
      <c r="W53" s="79" t="n">
        <f aca="false">W19/W$31</f>
        <v>0.00516008165478023</v>
      </c>
      <c r="X53" s="176" t="n">
        <f aca="false">X19/X$31</f>
        <v>0.00483293236695988</v>
      </c>
      <c r="Y53" s="177" t="n">
        <f aca="false">Y19/Y$31</f>
        <v>0.00510137189245331</v>
      </c>
      <c r="Z53" s="117" t="n">
        <f aca="false">Z19/Z$31</f>
        <v>0.00510949538691494</v>
      </c>
      <c r="AA53" s="79" t="n">
        <f aca="false">AA19/AA$31</f>
        <v>0.00501792756370503</v>
      </c>
      <c r="AB53" s="117" t="n">
        <f aca="false">AB19/AB$31</f>
        <v>0.00507616421083379</v>
      </c>
      <c r="AC53" s="178" t="n">
        <f aca="false">AC19/AC$31</f>
        <v>0.00504641904375373</v>
      </c>
      <c r="AD53" s="177" t="n">
        <f aca="false">AD19/AD$31</f>
        <v>0.00542817096915414</v>
      </c>
      <c r="AE53" s="117" t="n">
        <f aca="false">AE19/AE$31</f>
        <v>0.00571762381144301</v>
      </c>
      <c r="AF53" s="79" t="n">
        <f aca="false">AF19/AF$31</f>
        <v>0.00535703599313142</v>
      </c>
      <c r="AG53" s="117" t="n">
        <f aca="false">AG19/AG$31</f>
        <v>0.00432371358259522</v>
      </c>
      <c r="AH53" s="117" t="n">
        <f aca="false">AH19/AH$31</f>
        <v>0.00676624304804838</v>
      </c>
      <c r="AI53" s="176" t="n">
        <f aca="false">AI19/AI$31</f>
        <v>0.00600819803323991</v>
      </c>
      <c r="AJ53" s="177" t="n">
        <f aca="false">AJ19/AJ$31</f>
        <v>0.00640734367612119</v>
      </c>
      <c r="AK53" s="117" t="n">
        <f aca="false">AK19/AK$31</f>
        <v>0.00702315224465588</v>
      </c>
      <c r="AL53" s="117" t="n">
        <f aca="false">AL19/AL$31</f>
        <v>0.00709519343752833</v>
      </c>
      <c r="AM53" s="117" t="n">
        <f aca="false">AM19/AM$31</f>
        <v>0.00758819773971774</v>
      </c>
      <c r="AN53" s="178" t="n">
        <f aca="false">AN19/AN$31</f>
        <v>0.00703542478725121</v>
      </c>
      <c r="AO53" s="177" t="n">
        <f aca="false">AO19/AO$31</f>
        <v>0.00749385152640877</v>
      </c>
      <c r="AP53" s="117" t="n">
        <f aca="false">AP19/AP$31</f>
        <v>0.00739976484978593</v>
      </c>
      <c r="AQ53" s="117" t="n">
        <f aca="false">AQ19/AQ$31</f>
        <v>0.00739959958908826</v>
      </c>
    </row>
    <row r="54" customFormat="false" ht="12.8" hidden="false" customHeight="false" outlineLevel="0" collapsed="false">
      <c r="A54" s="139" t="s">
        <v>192</v>
      </c>
      <c r="B54" s="118" t="n">
        <f aca="false">B20/B$31</f>
        <v>0.00365308258270463</v>
      </c>
      <c r="C54" s="118" t="n">
        <f aca="false">C20/C$31</f>
        <v>0.0037483202851482</v>
      </c>
      <c r="D54" s="179" t="n">
        <f aca="false">D20/D$31</f>
        <v>0.00369546906084867</v>
      </c>
      <c r="E54" s="118" t="n">
        <f aca="false">E20/E$31</f>
        <v>0.00383149418630452</v>
      </c>
      <c r="F54" s="179" t="n">
        <f aca="false">F20/F$31</f>
        <v>0.00400428489310668</v>
      </c>
      <c r="G54" s="118" t="n">
        <f aca="false">G20/G$31</f>
        <v>0.00412704499822738</v>
      </c>
      <c r="H54" s="179" t="n">
        <f aca="false">H20/H$31</f>
        <v>0.00402797007597048</v>
      </c>
      <c r="I54" s="176" t="n">
        <f aca="false">I20/I$31</f>
        <v>0.00431608387710728</v>
      </c>
      <c r="J54" s="177" t="n">
        <f aca="false">J20/J$31</f>
        <v>0.00472706003527677</v>
      </c>
      <c r="K54" s="118" t="n">
        <f aca="false">K20/K$31</f>
        <v>0.00476059233637859</v>
      </c>
      <c r="L54" s="179" t="n">
        <f aca="false">L20/L$31</f>
        <v>0.00486516790665984</v>
      </c>
      <c r="M54" s="118" t="n">
        <f aca="false">M20/M$31</f>
        <v>0.00487050542287642</v>
      </c>
      <c r="N54" s="118" t="n">
        <f aca="false">N20/N$31</f>
        <v>0.0049136351054294</v>
      </c>
      <c r="O54" s="179" t="n">
        <f aca="false">O20/O$31</f>
        <v>0.00503254010187576</v>
      </c>
      <c r="P54" s="178" t="n">
        <f aca="false">P20/P$31</f>
        <v>0.00511737730665838</v>
      </c>
      <c r="Q54" s="177" t="n">
        <f aca="false">Q20/Q$31</f>
        <v>0.00531437441884713</v>
      </c>
      <c r="R54" s="179" t="n">
        <f aca="false">R20/R$31</f>
        <v>0.00558767177852481</v>
      </c>
      <c r="S54" s="118" t="n">
        <f aca="false">S20/S$31</f>
        <v>0.00538369063084135</v>
      </c>
      <c r="T54" s="179" t="n">
        <f aca="false">T20/T$31</f>
        <v>0.00542630958700472</v>
      </c>
      <c r="U54" s="179" t="n">
        <f aca="false">U20/U$31</f>
        <v>0.00524339893664184</v>
      </c>
      <c r="V54" s="118" t="n">
        <f aca="false">V20/V$31</f>
        <v>0.00561607930631856</v>
      </c>
      <c r="W54" s="118" t="n">
        <f aca="false">W20/W$31</f>
        <v>0.00582523312742956</v>
      </c>
      <c r="X54" s="176" t="n">
        <f aca="false">X20/X$31</f>
        <v>0.00545591322194693</v>
      </c>
      <c r="Y54" s="177" t="n">
        <f aca="false">Y20/Y$31</f>
        <v>0.00568190512831883</v>
      </c>
      <c r="Z54" s="179" t="n">
        <f aca="false">Z20/Z$31</f>
        <v>0.00623742931780008</v>
      </c>
      <c r="AA54" s="118" t="n">
        <f aca="false">AA20/AA$31</f>
        <v>0.00607105187752676</v>
      </c>
      <c r="AB54" s="179" t="n">
        <f aca="false">AB20/AB$31</f>
        <v>0.00718224360767125</v>
      </c>
      <c r="AC54" s="178" t="n">
        <f aca="false">AC20/AC$31</f>
        <v>0.00789870164138267</v>
      </c>
      <c r="AD54" s="177" t="n">
        <f aca="false">AD20/AD$31</f>
        <v>0.00742607689988772</v>
      </c>
      <c r="AE54" s="179" t="n">
        <f aca="false">AE20/AE$31</f>
        <v>0.00761129221970757</v>
      </c>
      <c r="AF54" s="118" t="n">
        <f aca="false">AF20/AF$31</f>
        <v>0.00769759494233276</v>
      </c>
      <c r="AG54" s="179" t="n">
        <f aca="false">AG20/AG$31</f>
        <v>0.00789858996999057</v>
      </c>
      <c r="AH54" s="179" t="n">
        <f aca="false">AH20/AH$31</f>
        <v>0.0079294734408333</v>
      </c>
      <c r="AI54" s="176" t="n">
        <f aca="false">AI20/AI$31</f>
        <v>0.00864268207880187</v>
      </c>
      <c r="AJ54" s="177" t="n">
        <f aca="false">AJ20/AJ$31</f>
        <v>0.00901555782978232</v>
      </c>
      <c r="AK54" s="179" t="n">
        <f aca="false">AK20/AK$31</f>
        <v>0.00966225496620823</v>
      </c>
      <c r="AL54" s="179" t="n">
        <f aca="false">AL20/AL$31</f>
        <v>0.00996481552644933</v>
      </c>
      <c r="AM54" s="179" t="n">
        <f aca="false">AM20/AM$31</f>
        <v>0.0107296248124846</v>
      </c>
      <c r="AN54" s="178" t="n">
        <f aca="false">AN20/AN$31</f>
        <v>0.0104812974745027</v>
      </c>
      <c r="AO54" s="177" t="n">
        <f aca="false">AO20/AO$31</f>
        <v>0.00969635586949834</v>
      </c>
      <c r="AP54" s="179" t="n">
        <f aca="false">AP20/AP$31</f>
        <v>0.00884035227172492</v>
      </c>
      <c r="AQ54" s="179" t="n">
        <f aca="false">AQ20/AQ$31</f>
        <v>0.00878774836000076</v>
      </c>
    </row>
    <row r="55" customFormat="false" ht="12.8" hidden="false" customHeight="false" outlineLevel="0" collapsed="false">
      <c r="A55" s="139" t="s">
        <v>193</v>
      </c>
      <c r="B55" s="118" t="n">
        <f aca="false">B21/B$31</f>
        <v>0.00324190717834706</v>
      </c>
      <c r="C55" s="118" t="n">
        <f aca="false">C21/C$31</f>
        <v>0.00332648743747358</v>
      </c>
      <c r="D55" s="117" t="n">
        <f aca="false">D21/D$31</f>
        <v>0.00327958404600405</v>
      </c>
      <c r="E55" s="79" t="n">
        <f aca="false">E21/E$31</f>
        <v>0.00340030101696368</v>
      </c>
      <c r="F55" s="117" t="n">
        <f aca="false">F21/F$31</f>
        <v>0.00355364600132029</v>
      </c>
      <c r="G55" s="79" t="n">
        <f aca="false">G21/G$31</f>
        <v>0.0038886367259947</v>
      </c>
      <c r="H55" s="117" t="n">
        <f aca="false">H21/H$31</f>
        <v>0.00390816664388087</v>
      </c>
      <c r="I55" s="176" t="n">
        <f aca="false">I21/I$31</f>
        <v>0.00411438542977187</v>
      </c>
      <c r="J55" s="177" t="n">
        <f aca="false">J21/J$31</f>
        <v>0.00450615592480901</v>
      </c>
      <c r="K55" s="79" t="n">
        <f aca="false">K21/K$31</f>
        <v>0.00453697371688506</v>
      </c>
      <c r="L55" s="117" t="n">
        <f aca="false">L21/L$31</f>
        <v>0.00463690764213712</v>
      </c>
      <c r="M55" s="79" t="n">
        <f aca="false">M21/M$31</f>
        <v>0.00464199473680878</v>
      </c>
      <c r="N55" s="79" t="n">
        <f aca="false">N21/N$31</f>
        <v>0.00468310089356837</v>
      </c>
      <c r="O55" s="117" t="n">
        <f aca="false">O21/O$31</f>
        <v>0.00479642719541207</v>
      </c>
      <c r="P55" s="178" t="n">
        <f aca="false">P21/P$31</f>
        <v>0.00472268563872898</v>
      </c>
      <c r="Q55" s="177" t="n">
        <f aca="false">Q21/Q$31</f>
        <v>0.00476613173604476</v>
      </c>
      <c r="R55" s="117" t="n">
        <f aca="false">R21/R$31</f>
        <v>0.00491843448175832</v>
      </c>
      <c r="S55" s="79" t="n">
        <f aca="false">S21/S$31</f>
        <v>0.00473888422358982</v>
      </c>
      <c r="T55" s="117" t="n">
        <f aca="false">T21/T$31</f>
        <v>0.00464730683670421</v>
      </c>
      <c r="U55" s="117" t="n">
        <f aca="false">U21/U$31</f>
        <v>0.00412106218252987</v>
      </c>
      <c r="V55" s="79" t="n">
        <f aca="false">V21/V$31</f>
        <v>0.004228510252051</v>
      </c>
      <c r="W55" s="79" t="n">
        <f aca="false">W21/W$31</f>
        <v>0.00438598827694792</v>
      </c>
      <c r="X55" s="176" t="n">
        <f aca="false">X21/X$31</f>
        <v>0.00410791652591997</v>
      </c>
      <c r="Y55" s="177" t="n">
        <f aca="false">Y21/Y$31</f>
        <v>0.00425305446987024</v>
      </c>
      <c r="Z55" s="117" t="n">
        <f aca="false">Z21/Z$31</f>
        <v>0.00501854164409688</v>
      </c>
      <c r="AA55" s="79" t="n">
        <f aca="false">AA21/AA$31</f>
        <v>0.00488467686261277</v>
      </c>
      <c r="AB55" s="117" t="n">
        <f aca="false">AB21/AB$31</f>
        <v>0.00543550374379904</v>
      </c>
      <c r="AC55" s="178" t="n">
        <f aca="false">AC21/AC$31</f>
        <v>0.00580181682885077</v>
      </c>
      <c r="AD55" s="177" t="n">
        <f aca="false">AD21/AD$31</f>
        <v>0.00608069486254891</v>
      </c>
      <c r="AE55" s="117" t="n">
        <f aca="false">AE21/AE$31</f>
        <v>0.00815988712166939</v>
      </c>
      <c r="AF55" s="79" t="n">
        <f aca="false">AF21/AF$31</f>
        <v>0.00811930684699267</v>
      </c>
      <c r="AG55" s="117" t="n">
        <f aca="false">AG21/AG$31</f>
        <v>0.00868136854887968</v>
      </c>
      <c r="AH55" s="117" t="n">
        <f aca="false">AH21/AH$31</f>
        <v>0.00969998325106575</v>
      </c>
      <c r="AI55" s="176" t="n">
        <f aca="false">AI21/AI$31</f>
        <v>0.00763787256416165</v>
      </c>
      <c r="AJ55" s="177" t="n">
        <f aca="false">AJ21/AJ$31</f>
        <v>0.00748481720254838</v>
      </c>
      <c r="AK55" s="117" t="n">
        <f aca="false">AK21/AK$31</f>
        <v>0.00786234064681464</v>
      </c>
      <c r="AL55" s="117" t="n">
        <f aca="false">AL21/AL$31</f>
        <v>0.00810853930325935</v>
      </c>
      <c r="AM55" s="117" t="n">
        <f aca="false">AM21/AM$31</f>
        <v>0.00826856098283001</v>
      </c>
      <c r="AN55" s="178" t="n">
        <f aca="false">AN21/AN$31</f>
        <v>0.00819409944949208</v>
      </c>
      <c r="AO55" s="177" t="n">
        <f aca="false">AO21/AO$31</f>
        <v>0.00876756485122821</v>
      </c>
      <c r="AP55" s="117" t="n">
        <f aca="false">AP21/AP$31</f>
        <v>0.00863855292433668</v>
      </c>
      <c r="AQ55" s="117" t="n">
        <f aca="false">AQ21/AQ$31</f>
        <v>0.00883602053592935</v>
      </c>
    </row>
    <row r="56" customFormat="false" ht="12.8" hidden="false" customHeight="false" outlineLevel="0" collapsed="false">
      <c r="A56" s="139" t="s">
        <v>194</v>
      </c>
      <c r="B56" s="118" t="n">
        <f aca="false">B22/B$31</f>
        <v>0.00304886056214765</v>
      </c>
      <c r="C56" s="118" t="n">
        <f aca="false">C22/C$31</f>
        <v>0.00312840430050926</v>
      </c>
      <c r="D56" s="117" t="n">
        <f aca="false">D22/D$31</f>
        <v>0.00308429387642386</v>
      </c>
      <c r="E56" s="79" t="n">
        <f aca="false">E22/E$31</f>
        <v>0.00319782248526219</v>
      </c>
      <c r="F56" s="117" t="n">
        <f aca="false">F22/F$31</f>
        <v>0.00334203619943965</v>
      </c>
      <c r="G56" s="79" t="n">
        <f aca="false">G22/G$31</f>
        <v>0.00354769198246422</v>
      </c>
      <c r="H56" s="117" t="n">
        <f aca="false">H22/H$31</f>
        <v>0.00356550957201682</v>
      </c>
      <c r="I56" s="176" t="n">
        <f aca="false">I22/I$31</f>
        <v>0.00353918737454279</v>
      </c>
      <c r="J56" s="177" t="n">
        <f aca="false">J22/J$31</f>
        <v>0.00387618769048809</v>
      </c>
      <c r="K56" s="79" t="n">
        <f aca="false">K22/K$31</f>
        <v>0.00378902631360072</v>
      </c>
      <c r="L56" s="117" t="n">
        <f aca="false">L22/L$31</f>
        <v>0.00387248553025702</v>
      </c>
      <c r="M56" s="79" t="n">
        <f aca="false">M22/M$31</f>
        <v>0.0038767339867775</v>
      </c>
      <c r="N56" s="79" t="n">
        <f aca="false">N22/N$31</f>
        <v>0.00391106354637653</v>
      </c>
      <c r="O56" s="117" t="n">
        <f aca="false">O22/O$31</f>
        <v>0.00400570732579954</v>
      </c>
      <c r="P56" s="178" t="n">
        <f aca="false">P22/P$31</f>
        <v>0.00394731354585671</v>
      </c>
      <c r="Q56" s="177" t="n">
        <f aca="false">Q22/Q$31</f>
        <v>0.00410313544797636</v>
      </c>
      <c r="R56" s="117" t="n">
        <f aca="false">R22/R$31</f>
        <v>0.00423425200735204</v>
      </c>
      <c r="S56" s="79" t="n">
        <f aca="false">S22/S$31</f>
        <v>0.00407967822093886</v>
      </c>
      <c r="T56" s="117" t="n">
        <f aca="false">T22/T$31</f>
        <v>0.00400083977433831</v>
      </c>
      <c r="U56" s="117" t="n">
        <f aca="false">U22/U$31</f>
        <v>0.00376424272983038</v>
      </c>
      <c r="V56" s="79" t="n">
        <f aca="false">V22/V$31</f>
        <v>0.00386238747907581</v>
      </c>
      <c r="W56" s="79" t="n">
        <f aca="false">W22/W$31</f>
        <v>0.00400623037298778</v>
      </c>
      <c r="X56" s="176" t="n">
        <f aca="false">X22/X$31</f>
        <v>0.00375223528123317</v>
      </c>
      <c r="Y56" s="177" t="n">
        <f aca="false">Y22/Y$31</f>
        <v>0.00388480655197336</v>
      </c>
      <c r="Z56" s="117" t="n">
        <f aca="false">Z22/Z$31</f>
        <v>0.00411143570690097</v>
      </c>
      <c r="AA56" s="79" t="n">
        <f aca="false">AA22/AA$31</f>
        <v>0.00400176710563756</v>
      </c>
      <c r="AB56" s="117" t="n">
        <f aca="false">AB22/AB$31</f>
        <v>0.00506877830396397</v>
      </c>
      <c r="AC56" s="178" t="n">
        <f aca="false">AC22/AC$31</f>
        <v>0.00541037678415756</v>
      </c>
      <c r="AD56" s="177" t="n">
        <f aca="false">AD22/AD$31</f>
        <v>0.00567043932726112</v>
      </c>
      <c r="AE56" s="117" t="n">
        <f aca="false">AE22/AE$31</f>
        <v>0.00529952119088678</v>
      </c>
      <c r="AF56" s="79" t="n">
        <f aca="false">AF22/AF$31</f>
        <v>0.00527316592121519</v>
      </c>
      <c r="AG56" s="117" t="n">
        <f aca="false">AG22/AG$31</f>
        <v>0.00563820257617406</v>
      </c>
      <c r="AH56" s="117" t="n">
        <f aca="false">AH22/AH$31</f>
        <v>0.00629975219311036</v>
      </c>
      <c r="AI56" s="176" t="n">
        <f aca="false">AI22/AI$31</f>
        <v>0.00496049355873766</v>
      </c>
      <c r="AJ56" s="177" t="n">
        <f aca="false">AJ22/AJ$31</f>
        <v>0.00517450672549346</v>
      </c>
      <c r="AK56" s="117" t="n">
        <f aca="false">AK22/AK$31</f>
        <v>0.00543550142296211</v>
      </c>
      <c r="AL56" s="117" t="n">
        <f aca="false">AL22/AL$31</f>
        <v>0.00560570686273515</v>
      </c>
      <c r="AM56" s="117" t="n">
        <f aca="false">AM22/AM$31</f>
        <v>0.00591069064864824</v>
      </c>
      <c r="AN56" s="178" t="n">
        <f aca="false">AN22/AN$31</f>
        <v>0.00585746263355609</v>
      </c>
      <c r="AO56" s="177" t="n">
        <f aca="false">AO22/AO$31</f>
        <v>0.00660122052787051</v>
      </c>
      <c r="AP56" s="117" t="n">
        <f aca="false">AP22/AP$31</f>
        <v>0.00650408566835281</v>
      </c>
      <c r="AQ56" s="117" t="n">
        <f aca="false">AQ22/AQ$31</f>
        <v>0.00664847242020492</v>
      </c>
    </row>
    <row r="57" customFormat="false" ht="12.8" hidden="false" customHeight="false" outlineLevel="0" collapsed="false">
      <c r="A57" s="139" t="s">
        <v>195</v>
      </c>
      <c r="B57" s="118" t="n">
        <f aca="false">B23/B$31</f>
        <v>0.00292238776525179</v>
      </c>
      <c r="C57" s="118" t="n">
        <f aca="false">C23/C$31</f>
        <v>0.00296750728181184</v>
      </c>
      <c r="D57" s="117" t="n">
        <f aca="false">D23/D$31</f>
        <v>0.00292566550175293</v>
      </c>
      <c r="E57" s="79" t="n">
        <f aca="false">E23/E$31</f>
        <v>0.00303002219422368</v>
      </c>
      <c r="F57" s="117" t="n">
        <f aca="false">F23/F$31</f>
        <v>0.00348301872632625</v>
      </c>
      <c r="G57" s="79" t="n">
        <f aca="false">G23/G$31</f>
        <v>0.00336489441805236</v>
      </c>
      <c r="H57" s="117" t="n">
        <f aca="false">H23/H$31</f>
        <v>0.00337841552704016</v>
      </c>
      <c r="I57" s="176" t="n">
        <f aca="false">I23/I$31</f>
        <v>0.00355739273878233</v>
      </c>
      <c r="J57" s="177" t="n">
        <f aca="false">J23/J$31</f>
        <v>0.00416802181892579</v>
      </c>
      <c r="K57" s="79" t="n">
        <f aca="false">K23/K$31</f>
        <v>0.00425535691658976</v>
      </c>
      <c r="L57" s="117" t="n">
        <f aca="false">L23/L$31</f>
        <v>0.00434908779240256</v>
      </c>
      <c r="M57" s="79" t="n">
        <f aca="false">M23/M$31</f>
        <v>0.00435385912343669</v>
      </c>
      <c r="N57" s="79" t="n">
        <f aca="false">N23/N$31</f>
        <v>0.00439241375905874</v>
      </c>
      <c r="O57" s="117" t="n">
        <f aca="false">O23/O$31</f>
        <v>0.00456089981483678</v>
      </c>
      <c r="P57" s="178" t="n">
        <f aca="false">P23/P$31</f>
        <v>0.00449441263580262</v>
      </c>
      <c r="Q57" s="177" t="n">
        <f aca="false">Q23/Q$31</f>
        <v>0.00518148585666105</v>
      </c>
      <c r="R57" s="117" t="n">
        <f aca="false">R23/R$31</f>
        <v>0.00534706133097648</v>
      </c>
      <c r="S57" s="79" t="n">
        <f aca="false">S23/S$31</f>
        <v>0.00515186380501973</v>
      </c>
      <c r="T57" s="117" t="n">
        <f aca="false">T23/T$31</f>
        <v>0.00505230572286493</v>
      </c>
      <c r="U57" s="117" t="n">
        <f aca="false">U23/U$31</f>
        <v>0.00473404662541764</v>
      </c>
      <c r="V57" s="79" t="n">
        <f aca="false">V23/V$31</f>
        <v>0.00485747698108674</v>
      </c>
      <c r="W57" s="79" t="n">
        <f aca="false">W23/W$31</f>
        <v>0.00503837896201318</v>
      </c>
      <c r="X57" s="176" t="n">
        <f aca="false">X23/X$31</f>
        <v>0.00471894562753005</v>
      </c>
      <c r="Y57" s="177" t="n">
        <f aca="false">Y23/Y$31</f>
        <v>0.00488567201100725</v>
      </c>
      <c r="Z57" s="117" t="n">
        <f aca="false">Z23/Z$31</f>
        <v>0.0057460611001276</v>
      </c>
      <c r="AA57" s="79" t="n">
        <f aca="false">AA23/AA$31</f>
        <v>0.00559279043543805</v>
      </c>
      <c r="AB57" s="117" t="n">
        <f aca="false">AB23/AB$31</f>
        <v>0.00622254679740927</v>
      </c>
      <c r="AC57" s="178" t="n">
        <f aca="false">AC23/AC$31</f>
        <v>0.00646232349338315</v>
      </c>
      <c r="AD57" s="177" t="n">
        <f aca="false">AD23/AD$31</f>
        <v>0.00677295034047599</v>
      </c>
      <c r="AE57" s="117" t="n">
        <f aca="false">AE23/AE$31</f>
        <v>0.00744131043863176</v>
      </c>
      <c r="AF57" s="79" t="n">
        <f aca="false">AF23/AF$31</f>
        <v>0.00740430374760138</v>
      </c>
      <c r="AG57" s="117" t="n">
        <f aca="false">AG23/AG$31</f>
        <v>0.00791686912345075</v>
      </c>
      <c r="AH57" s="117" t="n">
        <f aca="false">AH23/AH$31</f>
        <v>0.00884578248993496</v>
      </c>
      <c r="AI57" s="176" t="n">
        <f aca="false">AI23/AI$31</f>
        <v>0.00696625495639574</v>
      </c>
      <c r="AJ57" s="177" t="n">
        <f aca="false">AJ23/AJ$31</f>
        <v>0.00674251225750501</v>
      </c>
      <c r="AK57" s="117" t="n">
        <f aca="false">AK23/AK$31</f>
        <v>0.00647223198882769</v>
      </c>
      <c r="AL57" s="117" t="n">
        <f aca="false">AL23/AL$31</f>
        <v>0.0061930114001483</v>
      </c>
      <c r="AM57" s="117" t="n">
        <f aca="false">AM23/AM$31</f>
        <v>0.00633660782497118</v>
      </c>
      <c r="AN57" s="178" t="n">
        <f aca="false">AN23/AN$31</f>
        <v>0.00629531614249283</v>
      </c>
      <c r="AO57" s="177" t="n">
        <f aca="false">AO23/AO$31</f>
        <v>0.00570446242670962</v>
      </c>
      <c r="AP57" s="117" t="n">
        <f aca="false">AP23/AP$31</f>
        <v>0.00547630013331321</v>
      </c>
      <c r="AQ57" s="117" t="n">
        <f aca="false">AQ23/AQ$31</f>
        <v>0.00534079139928304</v>
      </c>
    </row>
    <row r="58" customFormat="false" ht="12.8" hidden="false" customHeight="false" outlineLevel="0" collapsed="false">
      <c r="A58" s="139" t="s">
        <v>196</v>
      </c>
      <c r="B58" s="118" t="n">
        <f aca="false">B24/B$31</f>
        <v>0.00275033572226269</v>
      </c>
      <c r="C58" s="118" t="n">
        <f aca="false">C24/C$31</f>
        <v>0.00283463367564884</v>
      </c>
      <c r="D58" s="117" t="n">
        <f aca="false">D24/D$31</f>
        <v>0.00279466541018542</v>
      </c>
      <c r="E58" s="79" t="n">
        <f aca="false">E24/E$31</f>
        <v>0.00289753319415769</v>
      </c>
      <c r="F58" s="117" t="n">
        <f aca="false">F24/F$31</f>
        <v>0.00302820462004445</v>
      </c>
      <c r="G58" s="79" t="n">
        <f aca="false">G24/G$31</f>
        <v>0.0032145484401378</v>
      </c>
      <c r="H58" s="117" t="n">
        <f aca="false">H24/H$31</f>
        <v>0.00321997155543133</v>
      </c>
      <c r="I58" s="176" t="n">
        <f aca="false">I24/I$31</f>
        <v>0.00338611460788059</v>
      </c>
      <c r="J58" s="177" t="n">
        <f aca="false">J24/J$31</f>
        <v>0.00370853938281361</v>
      </c>
      <c r="K58" s="79" t="n">
        <f aca="false">K24/K$31</f>
        <v>0.00373390224142579</v>
      </c>
      <c r="L58" s="117" t="n">
        <f aca="false">L24/L$31</f>
        <v>0.00381614726438116</v>
      </c>
      <c r="M58" s="79" t="n">
        <f aca="false">M24/M$31</f>
        <v>0.00382033391287907</v>
      </c>
      <c r="N58" s="79" t="n">
        <f aca="false">N24/N$31</f>
        <v>0.0038541640341094</v>
      </c>
      <c r="O58" s="117" t="n">
        <f aca="false">O24/O$31</f>
        <v>0.00394743090292371</v>
      </c>
      <c r="P58" s="178" t="n">
        <f aca="false">P24/P$31</f>
        <v>0.00390177242077599</v>
      </c>
      <c r="Q58" s="177" t="n">
        <f aca="false">Q24/Q$31</f>
        <v>0.00384351588300843</v>
      </c>
      <c r="R58" s="117" t="n">
        <f aca="false">R24/R$31</f>
        <v>0.00405674367485025</v>
      </c>
      <c r="S58" s="79" t="n">
        <f aca="false">S24/S$31</f>
        <v>0.00390864993143571</v>
      </c>
      <c r="T58" s="117" t="n">
        <f aca="false">T24/T$31</f>
        <v>0.00394263416629348</v>
      </c>
      <c r="U58" s="117" t="n">
        <f aca="false">U24/U$31</f>
        <v>0.00370844880695503</v>
      </c>
      <c r="V58" s="79" t="n">
        <f aca="false">V24/V$31</f>
        <v>0.00380513884645854</v>
      </c>
      <c r="W58" s="79" t="n">
        <f aca="false">W24/W$31</f>
        <v>0.00394684968887832</v>
      </c>
      <c r="X58" s="176" t="n">
        <f aca="false">X24/X$31</f>
        <v>0.00369661933377253</v>
      </c>
      <c r="Y58" s="177" t="n">
        <f aca="false">Y24/Y$31</f>
        <v>0.00382722562196882</v>
      </c>
      <c r="Z58" s="117" t="n">
        <f aca="false">Z24/Z$31</f>
        <v>0.00405274656108589</v>
      </c>
      <c r="AA58" s="79" t="n">
        <f aca="false">AA24/AA$31</f>
        <v>0.00394464343645637</v>
      </c>
      <c r="AB58" s="117" t="n">
        <f aca="false">AB24/AB$31</f>
        <v>0.00446138473402056</v>
      </c>
      <c r="AC58" s="178" t="n">
        <f aca="false">AC24/AC$31</f>
        <v>0.00526167419165161</v>
      </c>
      <c r="AD58" s="177" t="n">
        <f aca="false">AD24/AD$31</f>
        <v>0.00409126866500715</v>
      </c>
      <c r="AE58" s="117" t="n">
        <f aca="false">AE24/AE$31</f>
        <v>0.00370306727550572</v>
      </c>
      <c r="AF58" s="79" t="n">
        <f aca="false">AF24/AF$31</f>
        <v>0.00347676845770378</v>
      </c>
      <c r="AG58" s="117" t="n">
        <f aca="false">AG24/AG$31</f>
        <v>0.00371744890410517</v>
      </c>
      <c r="AH58" s="117" t="n">
        <f aca="false">AH24/AH$31</f>
        <v>0.00481821070123246</v>
      </c>
      <c r="AI58" s="176" t="n">
        <f aca="false">AI24/AI$31</f>
        <v>0.00379391163580103</v>
      </c>
      <c r="AJ58" s="177" t="n">
        <f aca="false">AJ24/AJ$31</f>
        <v>0.00200609092853592</v>
      </c>
      <c r="AK58" s="117" t="n">
        <f aca="false">AK24/AK$31</f>
        <v>0.00235814138212833</v>
      </c>
      <c r="AL58" s="117" t="n">
        <f aca="false">AL24/AL$31</f>
        <v>0.00273653574875176</v>
      </c>
      <c r="AM58" s="117" t="n">
        <f aca="false">AM24/AM$31</f>
        <v>0.00366328253850685</v>
      </c>
      <c r="AN58" s="178" t="n">
        <f aca="false">AN24/AN$31</f>
        <v>0.00363029328736222</v>
      </c>
      <c r="AO58" s="177" t="n">
        <f aca="false">AO24/AO$31</f>
        <v>0.00375905802770336</v>
      </c>
      <c r="AP58" s="117" t="n">
        <f aca="false">AP24/AP$31</f>
        <v>0.0044965036537245</v>
      </c>
      <c r="AQ58" s="117" t="n">
        <f aca="false">AQ24/AQ$31</f>
        <v>0.00459632330407312</v>
      </c>
    </row>
    <row r="59" customFormat="false" ht="12.8" hidden="false" customHeight="false" outlineLevel="0" collapsed="false">
      <c r="A59" s="139" t="s">
        <v>197</v>
      </c>
      <c r="B59" s="118" t="n">
        <f aca="false">B25/B$31</f>
        <v>0.00239489994927965</v>
      </c>
      <c r="C59" s="118" t="n">
        <f aca="false">C25/C$31</f>
        <v>0.00223941258533516</v>
      </c>
      <c r="D59" s="117" t="n">
        <f aca="false">D25/D$31</f>
        <v>0.00220783692268016</v>
      </c>
      <c r="E59" s="79" t="n">
        <f aca="false">E25/E$31</f>
        <v>0.00228910435840986</v>
      </c>
      <c r="F59" s="117" t="n">
        <f aca="false">F25/F$31</f>
        <v>0.00255182632652351</v>
      </c>
      <c r="G59" s="79" t="n">
        <f aca="false">G25/G$31</f>
        <v>0.00203164177293317</v>
      </c>
      <c r="H59" s="117" t="n">
        <f aca="false">H25/H$31</f>
        <v>0.00204184529663449</v>
      </c>
      <c r="I59" s="176" t="n">
        <f aca="false">I25/I$31</f>
        <v>0.00214958554837336</v>
      </c>
      <c r="J59" s="177" t="n">
        <f aca="false">J25/J$31</f>
        <v>0.0019618903438562</v>
      </c>
      <c r="K59" s="79" t="n">
        <f aca="false">K25/K$31</f>
        <v>0.00197530779538292</v>
      </c>
      <c r="L59" s="117" t="n">
        <f aca="false">L25/L$31</f>
        <v>0.00174627673241311</v>
      </c>
      <c r="M59" s="79" t="n">
        <f aca="false">M25/M$31</f>
        <v>0.00174819255126186</v>
      </c>
      <c r="N59" s="79" t="n">
        <f aca="false">N25/N$31</f>
        <v>0.00176367328338943</v>
      </c>
      <c r="O59" s="117" t="n">
        <f aca="false">O25/O$31</f>
        <v>0.00150772997329488</v>
      </c>
      <c r="P59" s="178" t="n">
        <f aca="false">P25/P$31</f>
        <v>0.0014857508207725</v>
      </c>
      <c r="Q59" s="177" t="n">
        <f aca="false">Q25/Q$31</f>
        <v>0.00179681057946677</v>
      </c>
      <c r="R59" s="117" t="n">
        <f aca="false">R25/R$31</f>
        <v>0.00179904268246657</v>
      </c>
      <c r="S59" s="79" t="n">
        <f aca="false">S25/S$31</f>
        <v>0.00173336760246072</v>
      </c>
      <c r="T59" s="117" t="n">
        <f aca="false">T25/T$31</f>
        <v>0.00167901352983447</v>
      </c>
      <c r="U59" s="117" t="n">
        <f aca="false">U25/U$31</f>
        <v>0.00149141452667028</v>
      </c>
      <c r="V59" s="79" t="n">
        <f aca="false">V25/V$31</f>
        <v>0.00151016451155711</v>
      </c>
      <c r="W59" s="79" t="n">
        <f aca="false">W25/W$31</f>
        <v>0.00156640600332932</v>
      </c>
      <c r="X59" s="176" t="n">
        <f aca="false">X25/X$31</f>
        <v>0.00143188552915375</v>
      </c>
      <c r="Y59" s="177" t="n">
        <f aca="false">Y25/Y$31</f>
        <v>0.00141766818738788</v>
      </c>
      <c r="Z59" s="117" t="n">
        <f aca="false">Z25/Z$31</f>
        <v>0.00150037113256086</v>
      </c>
      <c r="AA59" s="79" t="n">
        <f aca="false">AA25/AA$31</f>
        <v>0.00136021187512359</v>
      </c>
      <c r="AB59" s="117" t="n">
        <f aca="false">AB25/AB$31</f>
        <v>0.00153449114291992</v>
      </c>
      <c r="AC59" s="178" t="n">
        <f aca="false">AC25/AC$31</f>
        <v>0.00185843939984595</v>
      </c>
      <c r="AD59" s="177" t="n">
        <f aca="false">AD25/AD$31</f>
        <v>0.00176338081740511</v>
      </c>
      <c r="AE59" s="117" t="n">
        <f aca="false">AE25/AE$31</f>
        <v>0.00164499191131042</v>
      </c>
      <c r="AF59" s="79" t="n">
        <f aca="false">AF25/AF$31</f>
        <v>0.00163681113348757</v>
      </c>
      <c r="AG59" s="117" t="n">
        <f aca="false">AG25/AG$31</f>
        <v>0.00175011992556708</v>
      </c>
      <c r="AH59" s="117" t="n">
        <f aca="false">AH25/AH$31</f>
        <v>0.00208836333875061</v>
      </c>
      <c r="AI59" s="176" t="n">
        <f aca="false">AI25/AI$31</f>
        <v>0.00164440006092709</v>
      </c>
      <c r="AJ59" s="177" t="n">
        <f aca="false">AJ25/AJ$31</f>
        <v>0.00171534527238343</v>
      </c>
      <c r="AK59" s="117" t="n">
        <f aca="false">AK25/AK$31</f>
        <v>0.00180186482761259</v>
      </c>
      <c r="AL59" s="117" t="n">
        <f aca="false">AL25/AL$31</f>
        <v>0.00191178397315616</v>
      </c>
      <c r="AM59" s="117" t="n">
        <f aca="false">AM25/AM$31</f>
        <v>0.00201579638912053</v>
      </c>
      <c r="AN59" s="178" t="n">
        <f aca="false">AN25/AN$31</f>
        <v>0.00203294782520706</v>
      </c>
      <c r="AO59" s="177" t="n">
        <f aca="false">AO25/AO$31</f>
        <v>0.00201061740720234</v>
      </c>
      <c r="AP59" s="117" t="n">
        <f aca="false">AP25/AP$31</f>
        <v>0.00168087547671822</v>
      </c>
      <c r="AQ59" s="117" t="n">
        <f aca="false">AQ25/AQ$31</f>
        <v>0.001761144638779</v>
      </c>
    </row>
    <row r="60" customFormat="false" ht="12.8" hidden="false" customHeight="false" outlineLevel="0" collapsed="false">
      <c r="A60" s="139" t="s">
        <v>198</v>
      </c>
      <c r="B60" s="118" t="n">
        <f aca="false">B26/B$31</f>
        <v>0.00155311017027269</v>
      </c>
      <c r="C60" s="118" t="n">
        <f aca="false">C26/C$31</f>
        <v>0.00159363028803889</v>
      </c>
      <c r="D60" s="117" t="n">
        <f aca="false">D26/D$31</f>
        <v>0.00157116013997353</v>
      </c>
      <c r="E60" s="79" t="n">
        <f aca="false">E26/E$31</f>
        <v>0.00162899238038256</v>
      </c>
      <c r="F60" s="117" t="n">
        <f aca="false">F26/F$31</f>
        <v>0.00170245582077815</v>
      </c>
      <c r="G60" s="79" t="n">
        <f aca="false">G26/G$31</f>
        <v>0.00180721826618361</v>
      </c>
      <c r="H60" s="117" t="n">
        <f aca="false">H26/H$31</f>
        <v>0.00181629466668793</v>
      </c>
      <c r="I60" s="176" t="n">
        <f aca="false">I26/I$31</f>
        <v>0.00191213348706452</v>
      </c>
      <c r="J60" s="177" t="n">
        <f aca="false">J26/J$31</f>
        <v>0.00146594436816472</v>
      </c>
      <c r="K60" s="79" t="n">
        <f aca="false">K26/K$31</f>
        <v>0.00210852860580652</v>
      </c>
      <c r="L60" s="117" t="n">
        <f aca="false">L26/L$31</f>
        <v>0.00215497223833194</v>
      </c>
      <c r="M60" s="79" t="n">
        <f aca="false">M26/M$31</f>
        <v>0.00215733643202248</v>
      </c>
      <c r="N60" s="79" t="n">
        <f aca="false">N26/N$31</f>
        <v>0.00217644024721096</v>
      </c>
      <c r="O60" s="117" t="n">
        <f aca="false">O26/O$31</f>
        <v>0.00222910789841168</v>
      </c>
      <c r="P60" s="178" t="n">
        <f aca="false">P26/P$31</f>
        <v>0.00230644339220697</v>
      </c>
      <c r="Q60" s="177" t="n">
        <f aca="false">Q26/Q$31</f>
        <v>0.00239749123837624</v>
      </c>
      <c r="R60" s="117" t="n">
        <f aca="false">R26/R$31</f>
        <v>0.00247410357698774</v>
      </c>
      <c r="S60" s="79" t="n">
        <f aca="false">S26/S$31</f>
        <v>0.00238378501370682</v>
      </c>
      <c r="T60" s="117" t="n">
        <f aca="false">T26/T$31</f>
        <v>0.00239337912810138</v>
      </c>
      <c r="U60" s="117" t="n">
        <f aca="false">U26/U$31</f>
        <v>0.00225184223583995</v>
      </c>
      <c r="V60" s="79" t="n">
        <f aca="false">V26/V$31</f>
        <v>0.00231055430821121</v>
      </c>
      <c r="W60" s="79" t="n">
        <f aca="false">W26/W$31</f>
        <v>0.0023966038876577</v>
      </c>
      <c r="X60" s="176" t="n">
        <f aca="false">X26/X$31</f>
        <v>0.00224465914966923</v>
      </c>
      <c r="Y60" s="177" t="n">
        <f aca="false">Y26/Y$31</f>
        <v>0.00216182867705563</v>
      </c>
      <c r="Z60" s="117" t="n">
        <f aca="false">Z26/Z$31</f>
        <v>0.00228794394164468</v>
      </c>
      <c r="AA60" s="79" t="n">
        <f aca="false">AA26/AA$31</f>
        <v>0.002228028690621</v>
      </c>
      <c r="AB60" s="117" t="n">
        <f aca="false">AB26/AB$31</f>
        <v>0.00247927521712959</v>
      </c>
      <c r="AC60" s="178" t="n">
        <f aca="false">AC26/AC$31</f>
        <v>0.00264636018225635</v>
      </c>
      <c r="AD60" s="177" t="n">
        <f aca="false">AD26/AD$31</f>
        <v>0.00263356876568256</v>
      </c>
      <c r="AE60" s="117" t="n">
        <f aca="false">AE26/AE$31</f>
        <v>0.00255860785328624</v>
      </c>
      <c r="AF60" s="79" t="n">
        <f aca="false">AF26/AF$31</f>
        <v>0.00254588353395091</v>
      </c>
      <c r="AG60" s="117" t="n">
        <f aca="false">AG26/AG$31</f>
        <v>0.00272212316362183</v>
      </c>
      <c r="AH60" s="117" t="n">
        <f aca="false">AH26/AH$31</f>
        <v>0.00304151919663373</v>
      </c>
      <c r="AI60" s="176" t="n">
        <f aca="false">AI26/AI$31</f>
        <v>0.00239492537502962</v>
      </c>
      <c r="AJ60" s="177" t="n">
        <f aca="false">AJ26/AJ$31</f>
        <v>0.00249825089245744</v>
      </c>
      <c r="AK60" s="117" t="n">
        <f aca="false">AK26/AK$31</f>
        <v>0.00262425908424611</v>
      </c>
      <c r="AL60" s="117" t="n">
        <f aca="false">AL26/AL$31</f>
        <v>0.00270643423916845</v>
      </c>
      <c r="AM60" s="117" t="n">
        <f aca="false">AM26/AM$31</f>
        <v>0.00285368035474283</v>
      </c>
      <c r="AN60" s="178" t="n">
        <f aca="false">AN26/AN$31</f>
        <v>0.00282798187887602</v>
      </c>
      <c r="AO60" s="177" t="n">
        <f aca="false">AO26/AO$31</f>
        <v>0.00292828902309233</v>
      </c>
      <c r="AP60" s="117" t="n">
        <f aca="false">AP26/AP$31</f>
        <v>0.0027233982838755</v>
      </c>
      <c r="AQ60" s="117" t="n">
        <f aca="false">AQ26/AQ$31</f>
        <v>0.00278385607183511</v>
      </c>
    </row>
    <row r="61" customFormat="false" ht="12.8" hidden="false" customHeight="false" outlineLevel="0" collapsed="false">
      <c r="A61" s="139" t="s">
        <v>28</v>
      </c>
      <c r="B61" s="118" t="n">
        <f aca="false">B27/B$31</f>
        <v>0.00122764084581088</v>
      </c>
      <c r="C61" s="118" t="n">
        <f aca="false">C27/C$31</f>
        <v>0.00125966957925103</v>
      </c>
      <c r="D61" s="117" t="n">
        <f aca="false">D27/D$31</f>
        <v>0.00124190826900759</v>
      </c>
      <c r="E61" s="79" t="n">
        <f aca="false">E27/E$31</f>
        <v>0.00128762120160555</v>
      </c>
      <c r="F61" s="117" t="n">
        <f aca="false">F27/F$31</f>
        <v>0.00134568966437763</v>
      </c>
      <c r="G61" s="79" t="n">
        <f aca="false">G27/G$31</f>
        <v>0.00142849812159364</v>
      </c>
      <c r="H61" s="117" t="n">
        <f aca="false">H27/H$31</f>
        <v>0.00140832633183048</v>
      </c>
      <c r="I61" s="176" t="n">
        <f aca="false">I27/I$31</f>
        <v>0.00143945460828574</v>
      </c>
      <c r="J61" s="177" t="n">
        <f aca="false">J27/J$31</f>
        <v>0.00157651902631302</v>
      </c>
      <c r="K61" s="79" t="n">
        <f aca="false">K27/K$31</f>
        <v>0.00158730090700413</v>
      </c>
      <c r="L61" s="117" t="n">
        <f aca="false">L27/L$31</f>
        <v>0.00162226368618064</v>
      </c>
      <c r="M61" s="79" t="n">
        <f aca="false">M27/M$31</f>
        <v>0.00162404345183286</v>
      </c>
      <c r="N61" s="79" t="n">
        <f aca="false">N27/N$31</f>
        <v>0.00106497612591125</v>
      </c>
      <c r="O61" s="117" t="n">
        <f aca="false">O27/O$31</f>
        <v>0.00109074747029272</v>
      </c>
      <c r="P61" s="178" t="n">
        <f aca="false">P27/P$31</f>
        <v>0.00169770696279406</v>
      </c>
      <c r="Q61" s="177" t="n">
        <f aca="false">Q27/Q$31</f>
        <v>0.001764724676262</v>
      </c>
      <c r="R61" s="117" t="n">
        <f aca="false">R27/R$31</f>
        <v>0.00182111682580972</v>
      </c>
      <c r="S61" s="79" t="n">
        <f aca="false">S27/S$31</f>
        <v>0.00175463591660134</v>
      </c>
      <c r="T61" s="117" t="n">
        <f aca="false">T27/T$31</f>
        <v>0.00172072815169371</v>
      </c>
      <c r="U61" s="117" t="n">
        <f aca="false">U27/U$31</f>
        <v>0.00161896971645129</v>
      </c>
      <c r="V61" s="79" t="n">
        <f aca="false">V27/V$31</f>
        <v>0.00166118096271282</v>
      </c>
      <c r="W61" s="79" t="n">
        <f aca="false">W27/W$31</f>
        <v>0.00172304660366225</v>
      </c>
      <c r="X61" s="176" t="n">
        <f aca="false">X27/X$31</f>
        <v>0.00161380541195607</v>
      </c>
      <c r="Y61" s="177" t="n">
        <f aca="false">Y27/Y$31</f>
        <v>0.00167082322085</v>
      </c>
      <c r="Z61" s="117" t="n">
        <f aca="false">Z27/Z$31</f>
        <v>0.00143530401711817</v>
      </c>
      <c r="AA61" s="79" t="n">
        <f aca="false">AA27/AA$31</f>
        <v>0.00139701866008804</v>
      </c>
      <c r="AB61" s="117" t="n">
        <f aca="false">AB27/AB$31</f>
        <v>0.00155455526959955</v>
      </c>
      <c r="AC61" s="178" t="n">
        <f aca="false">AC27/AC$31</f>
        <v>0.00165932089271959</v>
      </c>
      <c r="AD61" s="177" t="n">
        <f aca="false">AD27/AD$31</f>
        <v>0.00173908007186754</v>
      </c>
      <c r="AE61" s="117" t="n">
        <f aca="false">AE27/AE$31</f>
        <v>0.00207477741934524</v>
      </c>
      <c r="AF61" s="79" t="n">
        <f aca="false">AF27/AF$31</f>
        <v>0.00212830851268321</v>
      </c>
      <c r="AG61" s="117" t="n">
        <f aca="false">AG27/AG$31</f>
        <v>0.00242735079828999</v>
      </c>
      <c r="AH61" s="117" t="n">
        <f aca="false">AH27/AH$31</f>
        <v>0.00272063568075871</v>
      </c>
      <c r="AI61" s="176" t="n">
        <f aca="false">AI27/AI$31</f>
        <v>0.00214225819625648</v>
      </c>
      <c r="AJ61" s="177" t="n">
        <f aca="false">AJ27/AJ$31</f>
        <v>0.0019840641340474</v>
      </c>
      <c r="AK61" s="117" t="n">
        <f aca="false">AK27/AK$31</f>
        <v>0.00215726511422774</v>
      </c>
      <c r="AL61" s="117" t="n">
        <f aca="false">AL27/AL$31</f>
        <v>0.00223235873154148</v>
      </c>
      <c r="AM61" s="117" t="n">
        <f aca="false">AM27/AM$31</f>
        <v>0.00299792988125304</v>
      </c>
      <c r="AN61" s="178" t="n">
        <f aca="false">AN27/AN$31</f>
        <v>0.00306549787060245</v>
      </c>
      <c r="AO61" s="177" t="n">
        <f aca="false">AO27/AO$31</f>
        <v>0.00293759036766576</v>
      </c>
      <c r="AP61" s="117" t="n">
        <f aca="false">AP27/AP$31</f>
        <v>0.00281396564182737</v>
      </c>
      <c r="AQ61" s="117" t="n">
        <f aca="false">AQ27/AQ$31</f>
        <v>0.00250660674540005</v>
      </c>
    </row>
    <row r="62" customFormat="false" ht="12.8" hidden="false" customHeight="false" outlineLevel="0" collapsed="false">
      <c r="A62" s="139" t="s">
        <v>199</v>
      </c>
      <c r="B62" s="118" t="n">
        <f aca="false">B28/B$31</f>
        <v>0.000688330455942212</v>
      </c>
      <c r="C62" s="118" t="n">
        <f aca="false">C28/C$31</f>
        <v>0.000706288764161866</v>
      </c>
      <c r="D62" s="117" t="n">
        <f aca="false">D28/D$31</f>
        <v>0.000696330109870007</v>
      </c>
      <c r="E62" s="79" t="n">
        <f aca="false">E28/E$31</f>
        <v>0.000623659491912681</v>
      </c>
      <c r="F62" s="117" t="n">
        <f aca="false">F28/F$31</f>
        <v>0.000651784959203396</v>
      </c>
      <c r="G62" s="79" t="n">
        <f aca="false">G28/G$31</f>
        <v>0.00069189324593323</v>
      </c>
      <c r="H62" s="117" t="n">
        <f aca="false">H28/H$31</f>
        <v>0.000695368144523973</v>
      </c>
      <c r="I62" s="176" t="n">
        <f aca="false">I28/I$31</f>
        <v>0.000732060022731247</v>
      </c>
      <c r="J62" s="177" t="n">
        <f aca="false">J28/J$31</f>
        <v>0.000801766549355376</v>
      </c>
      <c r="K62" s="79" t="n">
        <f aca="false">K28/K$31</f>
        <v>0.00080724986489613</v>
      </c>
      <c r="L62" s="117" t="n">
        <f aca="false">L28/L$31</f>
        <v>0.000825030802739792</v>
      </c>
      <c r="M62" s="79" t="n">
        <f aca="false">M28/M$31</f>
        <v>0.000825935933944571</v>
      </c>
      <c r="N62" s="79" t="n">
        <f aca="false">N28/N$31</f>
        <v>0.000833249826764157</v>
      </c>
      <c r="O62" s="117" t="n">
        <f aca="false">O28/O$31</f>
        <v>0.000853413629237166</v>
      </c>
      <c r="P62" s="178" t="n">
        <f aca="false">P28/P$31</f>
        <v>0.000840972868189817</v>
      </c>
      <c r="Q62" s="177" t="n">
        <f aca="false">Q28/Q$31</f>
        <v>0.000874170634323675</v>
      </c>
      <c r="R62" s="117" t="n">
        <f aca="false">R28/R$31</f>
        <v>0.000902104941473175</v>
      </c>
      <c r="S62" s="79" t="n">
        <f aca="false">S28/S$31</f>
        <v>0.000869173085668789</v>
      </c>
      <c r="T62" s="117" t="n">
        <f aca="false">T28/T$31</f>
        <v>0.000852376600213285</v>
      </c>
      <c r="U62" s="117" t="n">
        <f aca="false">U28/U$31</f>
        <v>0.000801969736706353</v>
      </c>
      <c r="V62" s="79" t="n">
        <f aca="false">V28/V$31</f>
        <v>0.000822879418775398</v>
      </c>
      <c r="W62" s="79" t="n">
        <f aca="false">W28/W$31</f>
        <v>0.000853525064138141</v>
      </c>
      <c r="X62" s="176" t="n">
        <f aca="false">X28/X$31</f>
        <v>0.000799411556726695</v>
      </c>
      <c r="Y62" s="177" t="n">
        <f aca="false">Y28/Y$31</f>
        <v>0.000827655789291138</v>
      </c>
      <c r="Z62" s="117" t="n">
        <f aca="false">Z28/Z$31</f>
        <v>0.000692864932228678</v>
      </c>
      <c r="AA62" s="79" t="n">
        <f aca="false">AA28/AA$31</f>
        <v>0.000674383425183719</v>
      </c>
      <c r="AB62" s="117" t="n">
        <f aca="false">AB28/AB$31</f>
        <v>0.000750431141187387</v>
      </c>
      <c r="AC62" s="178" t="n">
        <f aca="false">AC28/AC$31</f>
        <v>0.000801004695986396</v>
      </c>
      <c r="AD62" s="177" t="n">
        <f aca="false">AD28/AD$31</f>
        <v>0.00083950687921439</v>
      </c>
      <c r="AE62" s="117" t="n">
        <f aca="false">AE28/AE$31</f>
        <v>0.000706544427524126</v>
      </c>
      <c r="AF62" s="79" t="n">
        <f aca="false">AF28/AF$31</f>
        <v>0.000703030681989081</v>
      </c>
      <c r="AG62" s="117" t="n">
        <f aca="false">AG28/AG$31</f>
        <v>0.000751698213472255</v>
      </c>
      <c r="AH62" s="117" t="n">
        <f aca="false">AH28/AH$31</f>
        <v>0.000839897539136025</v>
      </c>
      <c r="AI62" s="176" t="n">
        <f aca="false">AI28/AI$31</f>
        <v>0.000661344479143208</v>
      </c>
      <c r="AJ62" s="177" t="n">
        <f aca="false">AJ28/AJ$31</f>
        <v>0.0006898772097318</v>
      </c>
      <c r="AK62" s="117" t="n">
        <f aca="false">AK28/AK$31</f>
        <v>0.000724673626703757</v>
      </c>
      <c r="AL62" s="117" t="n">
        <f aca="false">AL28/AL$31</f>
        <v>0.000747365809766019</v>
      </c>
      <c r="AM62" s="117" t="n">
        <f aca="false">AM28/AM$31</f>
        <v>0.000788026953794022</v>
      </c>
      <c r="AN62" s="178" t="n">
        <f aca="false">AN28/AN$31</f>
        <v>0.000780930471659711</v>
      </c>
      <c r="AO62" s="177" t="n">
        <f aca="false">AO28/AO$31</f>
        <v>0.000808629696336076</v>
      </c>
      <c r="AP62" s="117" t="n">
        <f aca="false">AP28/AP$31</f>
        <v>0.000796730967665548</v>
      </c>
      <c r="AQ62" s="117" t="n">
        <f aca="false">AQ28/AQ$31</f>
        <v>0.000814417911286381</v>
      </c>
    </row>
    <row r="63" customFormat="false" ht="12.8" hidden="false" customHeight="false" outlineLevel="0" collapsed="false">
      <c r="A63" s="139" t="s">
        <v>200</v>
      </c>
      <c r="B63" s="118" t="n">
        <f aca="false">B29/B$31</f>
        <v>0.000685791727432756</v>
      </c>
      <c r="C63" s="118" t="n">
        <f aca="false">C29/C$31</f>
        <v>0.000703683801086345</v>
      </c>
      <c r="D63" s="117" t="n">
        <f aca="false">D29/D$31</f>
        <v>0.000693761876710108</v>
      </c>
      <c r="E63" s="79" t="n">
        <f aca="false">E29/E$31</f>
        <v>0.000719298295703778</v>
      </c>
      <c r="F63" s="117" t="n">
        <f aca="false">F29/F$31</f>
        <v>0.000751736831395809</v>
      </c>
      <c r="G63" s="79" t="n">
        <f aca="false">G29/G$31</f>
        <v>0.000797995763814025</v>
      </c>
      <c r="H63" s="117" t="n">
        <f aca="false">H29/H$31</f>
        <v>0.000802003541562103</v>
      </c>
      <c r="I63" s="176" t="n">
        <f aca="false">I29/I$31</f>
        <v>0.000800461264599655</v>
      </c>
      <c r="J63" s="177" t="n">
        <f aca="false">J29/J$31</f>
        <v>0.000880684045399031</v>
      </c>
      <c r="K63" s="79" t="n">
        <f aca="false">K29/K$31</f>
        <v>0.000830280266803823</v>
      </c>
      <c r="L63" s="117" t="n">
        <f aca="false">L29/L$31</f>
        <v>0.000848568485184334</v>
      </c>
      <c r="M63" s="79" t="n">
        <f aca="false">M29/M$31</f>
        <v>0.000849499439292692</v>
      </c>
      <c r="N63" s="79" t="n">
        <f aca="false">N29/N$31</f>
        <v>0.000857021993517463</v>
      </c>
      <c r="O63" s="117" t="n">
        <f aca="false">O29/O$31</f>
        <v>0.000813846418193739</v>
      </c>
      <c r="P63" s="178" t="n">
        <f aca="false">P29/P$31</f>
        <v>0.000818777897969192</v>
      </c>
      <c r="Q63" s="177" t="n">
        <f aca="false">Q29/Q$31</f>
        <v>0.000872922572405542</v>
      </c>
      <c r="R63" s="117" t="n">
        <f aca="false">R29/R$31</f>
        <v>0.000900816997472993</v>
      </c>
      <c r="S63" s="79" t="n">
        <f aca="false">S29/S$31</f>
        <v>0.000885290801975475</v>
      </c>
      <c r="T63" s="117" t="n">
        <f aca="false">T29/T$31</f>
        <v>0.000808601671157168</v>
      </c>
      <c r="U63" s="117" t="n">
        <f aca="false">U29/U$31</f>
        <v>0.000740762899958676</v>
      </c>
      <c r="V63" s="79" t="n">
        <f aca="false">V29/V$31</f>
        <v>0.00076007674188779</v>
      </c>
      <c r="W63" s="79" t="n">
        <f aca="false">W29/W$31</f>
        <v>0.000788383492243786</v>
      </c>
      <c r="X63" s="176" t="n">
        <f aca="false">X29/X$31</f>
        <v>0.000834192389379057</v>
      </c>
      <c r="Y63" s="177" t="n">
        <f aca="false">Y29/Y$31</f>
        <v>0.000673576421711832</v>
      </c>
      <c r="Z63" s="117" t="n">
        <f aca="false">Z29/Z$31</f>
        <v>0.000835327434469347</v>
      </c>
      <c r="AA63" s="79" t="n">
        <f aca="false">AA29/AA$31</f>
        <v>0.00106419617397223</v>
      </c>
      <c r="AB63" s="117" t="n">
        <f aca="false">AB29/AB$31</f>
        <v>0.001184201626936</v>
      </c>
      <c r="AC63" s="178" t="n">
        <f aca="false">AC29/AC$31</f>
        <v>0.0012640081309387</v>
      </c>
      <c r="AD63" s="177" t="n">
        <f aca="false">AD29/AD$31</f>
        <v>0.00101212097050118</v>
      </c>
      <c r="AE63" s="117" t="n">
        <f aca="false">AE29/AE$31</f>
        <v>0.00103736448895311</v>
      </c>
      <c r="AF63" s="79" t="n">
        <f aca="false">AF29/AF$31</f>
        <v>0.00103220552838492</v>
      </c>
      <c r="AG63" s="117" t="n">
        <f aca="false">AG29/AG$31</f>
        <v>0.00115566523296557</v>
      </c>
      <c r="AH63" s="117" t="n">
        <f aca="false">AH29/AH$31</f>
        <v>0.00129126339245805</v>
      </c>
      <c r="AI63" s="176" t="n">
        <f aca="false">AI29/AI$31</f>
        <v>0.00101675487298167</v>
      </c>
      <c r="AJ63" s="177" t="n">
        <f aca="false">AJ29/AJ$31</f>
        <v>0.00124622998048381</v>
      </c>
      <c r="AK63" s="117" t="n">
        <f aca="false">AK29/AK$31</f>
        <v>0.00111411747509696</v>
      </c>
      <c r="AL63" s="117" t="n">
        <f aca="false">AL29/AL$31</f>
        <v>0.00114900457015071</v>
      </c>
      <c r="AM63" s="117" t="n">
        <f aca="false">AM29/AM$31</f>
        <v>0.00124180518223682</v>
      </c>
      <c r="AN63" s="178" t="n">
        <f aca="false">AN29/AN$31</f>
        <v>0.00126664046707357</v>
      </c>
      <c r="AO63" s="177" t="n">
        <f aca="false">AO29/AO$31</f>
        <v>0.00100076958248491</v>
      </c>
      <c r="AP63" s="117" t="n">
        <f aca="false">AP29/AP$31</f>
        <v>0.00145762963487017</v>
      </c>
      <c r="AQ63" s="117" t="n">
        <f aca="false">AQ29/AQ$31</f>
        <v>0.00143990449299475</v>
      </c>
    </row>
    <row r="64" customFormat="false" ht="12.8" hidden="false" customHeight="false" outlineLevel="0" collapsed="false">
      <c r="B64" s="118"/>
      <c r="C64" s="118"/>
      <c r="K64" s="40"/>
    </row>
    <row r="65" customFormat="false" ht="12.8" hidden="false" customHeight="false" outlineLevel="0" collapsed="false">
      <c r="A65" s="1" t="s">
        <v>205</v>
      </c>
      <c r="B65" s="44"/>
      <c r="C65" s="44"/>
      <c r="K65" s="40"/>
    </row>
    <row r="66" customFormat="false" ht="12.8" hidden="false" customHeight="false" outlineLevel="0" collapsed="false">
      <c r="A66" s="139" t="s">
        <v>24</v>
      </c>
      <c r="B66" s="65" t="n">
        <f aca="false">Ratio!B3*B36</f>
        <v>1.30325719309808</v>
      </c>
      <c r="C66" s="65" t="n">
        <f aca="false">Ratio!C3*C36</f>
        <v>1.27870073374484</v>
      </c>
      <c r="D66" s="53" t="n">
        <f aca="false">Ratio!D3*D36</f>
        <v>1.35005885987381</v>
      </c>
      <c r="E66" s="53" t="n">
        <f aca="false">Ratio!E3*E36</f>
        <v>1.30799857149172</v>
      </c>
      <c r="F66" s="53" t="n">
        <f aca="false">Ratio!F3*F36</f>
        <v>1.16871671154588</v>
      </c>
      <c r="G66" s="53" t="n">
        <f aca="false">Ratio!G3*G36</f>
        <v>0.854175434390467</v>
      </c>
      <c r="H66" s="53" t="n">
        <f aca="false">Ratio!H3*H36</f>
        <v>0.852989243782163</v>
      </c>
      <c r="I66" s="68" t="n">
        <f aca="false">Ratio!I3*I36</f>
        <v>1.00974198423684</v>
      </c>
      <c r="J66" s="67" t="n">
        <f aca="false">Ratio!J3*J36</f>
        <v>0.801724107762154</v>
      </c>
      <c r="K66" s="94" t="n">
        <f aca="false">Ratio!K3*K36</f>
        <v>0.672258365787867</v>
      </c>
      <c r="L66" s="53" t="n">
        <f aca="false">Ratio!L3*L36</f>
        <v>0.635928980196195</v>
      </c>
      <c r="M66" s="53" t="n">
        <f aca="false">Ratio!M3*M36</f>
        <v>0.631470018383768</v>
      </c>
      <c r="N66" s="53" t="n">
        <f aca="false">Ratio!N3*N36</f>
        <v>0.624037672570038</v>
      </c>
      <c r="O66" s="53" t="n">
        <f aca="false">Ratio!O3*O36</f>
        <v>0.577154417068115</v>
      </c>
      <c r="P66" s="68" t="n">
        <f aca="false">Ratio!P3*P36</f>
        <v>0.6382635352065</v>
      </c>
      <c r="Q66" s="67" t="n">
        <f aca="false">Ratio!Q3*Q36</f>
        <v>0.607523208465507</v>
      </c>
      <c r="R66" s="53" t="n">
        <f aca="false">Ratio!R3*R36</f>
        <v>0.56504291679379</v>
      </c>
      <c r="S66" s="53" t="n">
        <f aca="false">Ratio!S3*S36</f>
        <v>0.57539028415708</v>
      </c>
      <c r="T66" s="53" t="n">
        <f aca="false">Ratio!T3*T36</f>
        <v>0.589734138173302</v>
      </c>
      <c r="U66" s="53" t="n">
        <f aca="false">Ratio!U3*U36</f>
        <v>0.64964884716279</v>
      </c>
      <c r="V66" s="53" t="n">
        <f aca="false">Ratio!V3*V36</f>
        <v>0.636687567576607</v>
      </c>
      <c r="W66" s="53" t="n">
        <f aca="false">Ratio!W3*W36</f>
        <v>0.559512815509528</v>
      </c>
      <c r="X66" s="68" t="n">
        <f aca="false">Ratio!X3*X36</f>
        <v>0.646839240107302</v>
      </c>
      <c r="Y66" s="67" t="n">
        <f aca="false">Ratio!Y3*Y36</f>
        <v>0.596573806740202</v>
      </c>
      <c r="Z66" s="53" t="n">
        <f aca="false">Ratio!Z3*Z36</f>
        <v>0.481258184387163</v>
      </c>
      <c r="AA66" s="53" t="n">
        <f aca="false">Ratio!AA3*AA36</f>
        <v>0.506925192260632</v>
      </c>
      <c r="AB66" s="53" t="n">
        <f aca="false">Ratio!AB3*AB36</f>
        <v>0.385032966924585</v>
      </c>
      <c r="AC66" s="68" t="n">
        <f aca="false">Ratio!AC3*AC36</f>
        <v>0.337626177147338</v>
      </c>
      <c r="AD66" s="67" t="n">
        <f aca="false">Ratio!AD3*AD36</f>
        <v>0.347093705311764</v>
      </c>
      <c r="AE66" s="53" t="n">
        <f aca="false">Ratio!AE3*AE36</f>
        <v>0.318914988611458</v>
      </c>
      <c r="AF66" s="53" t="n">
        <f aca="false">Ratio!AF3*AF36</f>
        <v>0.332356833864093</v>
      </c>
      <c r="AG66" s="53" t="n">
        <f aca="false">Ratio!AG3*AG36</f>
        <v>0.239044272042583</v>
      </c>
      <c r="AH66" s="53" t="n">
        <f aca="false">Ratio!AH3*AH36</f>
        <v>0.261441188528191</v>
      </c>
      <c r="AI66" s="68" t="n">
        <f aca="false">Ratio!AI3*AI36</f>
        <v>0.354686396748396</v>
      </c>
      <c r="AJ66" s="67" t="n">
        <f aca="false">Ratio!AJ3*AJ36</f>
        <v>0.261264499645482</v>
      </c>
      <c r="AK66" s="53" t="n">
        <f aca="false">Ratio!AK3*AK36</f>
        <v>0.198219304916388</v>
      </c>
      <c r="AL66" s="63" t="n">
        <f aca="false">Ratio!AL3*AL36</f>
        <v>0.194261950602695</v>
      </c>
      <c r="AM66" s="53" t="n">
        <f aca="false">Ratio!AM3*AM36</f>
        <v>0.190887052100745</v>
      </c>
      <c r="AN66" s="68" t="n">
        <f aca="false">Ratio!AN3*AN36</f>
        <v>0.210559016797752</v>
      </c>
      <c r="AO66" s="67" t="n">
        <f aca="false">Ratio!AO3*AO36</f>
        <v>0.174232372698026</v>
      </c>
      <c r="AP66" s="63" t="n">
        <f aca="false">Ratio!AP3*AP36</f>
        <v>0.185969858891056</v>
      </c>
      <c r="AQ66" s="63" t="n">
        <f aca="false">Ratio!AQ3*AQ36</f>
        <v>0.18282360464966</v>
      </c>
    </row>
    <row r="67" customFormat="false" ht="12.8" hidden="false" customHeight="false" outlineLevel="0" collapsed="false">
      <c r="A67" s="139" t="s">
        <v>180</v>
      </c>
      <c r="B67" s="65" t="n">
        <f aca="false">Ratio!B4*B37</f>
        <v>0.485616163328836</v>
      </c>
      <c r="C67" s="65" t="n">
        <f aca="false">Ratio!C4*C37</f>
        <v>0.504842849828691</v>
      </c>
      <c r="D67" s="53" t="n">
        <f aca="false">Ratio!D4*D37</f>
        <v>0.511540973783047</v>
      </c>
      <c r="E67" s="53" t="n">
        <f aca="false">Ratio!E4*E37</f>
        <v>0.53575096594352</v>
      </c>
      <c r="F67" s="53" t="n">
        <f aca="false">Ratio!F4*F37</f>
        <v>0.562747786414117</v>
      </c>
      <c r="G67" s="53" t="n">
        <f aca="false">Ratio!G4*G37</f>
        <v>0.603286891850333</v>
      </c>
      <c r="H67" s="53" t="n">
        <f aca="false">Ratio!H4*H37</f>
        <v>0.606316782346629</v>
      </c>
      <c r="I67" s="68" t="n">
        <f aca="false">Ratio!I4*I37</f>
        <v>0.638309765787247</v>
      </c>
      <c r="J67" s="67" t="n">
        <f aca="false">Ratio!J4*J37</f>
        <v>0.583773116065301</v>
      </c>
      <c r="K67" s="94" t="n">
        <f aca="false">Ratio!K4*K37</f>
        <v>0.67402785076869</v>
      </c>
      <c r="L67" s="53" t="n">
        <f aca="false">Ratio!L4*L37</f>
        <v>0.652493760640321</v>
      </c>
      <c r="M67" s="53" t="n">
        <f aca="false">Ratio!M4*M37</f>
        <v>0.653209603566085</v>
      </c>
      <c r="N67" s="53" t="n">
        <f aca="false">Ratio!N4*N37</f>
        <v>0.655703105533897</v>
      </c>
      <c r="O67" s="53" t="n">
        <f aca="false">Ratio!O4*O37</f>
        <v>0.681503746833911</v>
      </c>
      <c r="P67" s="68" t="n">
        <f aca="false">Ratio!P4*P37</f>
        <v>0.647664577256173</v>
      </c>
      <c r="Q67" s="67" t="n">
        <f aca="false">Ratio!Q4*Q37</f>
        <v>0.605102076647348</v>
      </c>
      <c r="R67" s="53" t="n">
        <f aca="false">Ratio!R4*R37</f>
        <v>0.574169146569284</v>
      </c>
      <c r="S67" s="53" t="n">
        <f aca="false">Ratio!S4*S37</f>
        <v>0.612903658823354</v>
      </c>
      <c r="T67" s="53" t="n">
        <f aca="false">Ratio!T4*T37</f>
        <v>0.612040518403931</v>
      </c>
      <c r="U67" s="53" t="n">
        <f aca="false">Ratio!U4*U37</f>
        <v>0.545418177601445</v>
      </c>
      <c r="V67" s="53" t="n">
        <f aca="false">Ratio!V4*V37</f>
        <v>0.556534028496884</v>
      </c>
      <c r="W67" s="53" t="n">
        <f aca="false">Ratio!W4*W37</f>
        <v>0.549212960956602</v>
      </c>
      <c r="X67" s="68" t="n">
        <f aca="false">Ratio!X4*X37</f>
        <v>0.558885416996925</v>
      </c>
      <c r="Y67" s="67" t="n">
        <f aca="false">Ratio!Y4*Y37</f>
        <v>0.516957182596048</v>
      </c>
      <c r="Z67" s="53" t="n">
        <f aca="false">Ratio!Z4*Z37</f>
        <v>0.517460633272987</v>
      </c>
      <c r="AA67" s="53" t="n">
        <f aca="false">Ratio!AA4*AA37</f>
        <v>0.561840049014347</v>
      </c>
      <c r="AB67" s="53" t="n">
        <f aca="false">Ratio!AB4*AB37</f>
        <v>0.602851051778803</v>
      </c>
      <c r="AC67" s="68" t="n">
        <f aca="false">Ratio!AC4*AC37</f>
        <v>0.578751019277499</v>
      </c>
      <c r="AD67" s="67" t="n">
        <f aca="false">Ratio!AD4*AD37</f>
        <v>0.561908815050889</v>
      </c>
      <c r="AE67" s="53" t="n">
        <f aca="false">Ratio!AE4*AE37</f>
        <v>0.590690169124443</v>
      </c>
      <c r="AF67" s="53" t="n">
        <f aca="false">Ratio!AF4*AF37</f>
        <v>0.592011310556132</v>
      </c>
      <c r="AG67" s="53" t="n">
        <f aca="false">Ratio!AG4*AG37</f>
        <v>0.627745331645714</v>
      </c>
      <c r="AH67" s="53" t="n">
        <f aca="false">Ratio!AH4*AH37</f>
        <v>0.517771784127574</v>
      </c>
      <c r="AI67" s="68" t="n">
        <f aca="false">Ratio!AI4*AI37</f>
        <v>0.577675961864928</v>
      </c>
      <c r="AJ67" s="67" t="n">
        <f aca="false">Ratio!AJ4*AJ37</f>
        <v>0.602598937873968</v>
      </c>
      <c r="AK67" s="53" t="n">
        <f aca="false">Ratio!AK4*AK37</f>
        <v>0.59022285440933</v>
      </c>
      <c r="AL67" s="63" t="n">
        <f aca="false">Ratio!AL4*AL37</f>
        <v>0.573762740873902</v>
      </c>
      <c r="AM67" s="53" t="n">
        <f aca="false">Ratio!AM4*AM37</f>
        <v>0.581021683389049</v>
      </c>
      <c r="AN67" s="68" t="n">
        <f aca="false">Ratio!AN4*AN37</f>
        <v>0.581382164758623</v>
      </c>
      <c r="AO67" s="67" t="n">
        <f aca="false">Ratio!AO4*AO37</f>
        <v>0.593115853330362</v>
      </c>
      <c r="AP67" s="63" t="n">
        <f aca="false">Ratio!AP4*AP37</f>
        <v>0.575856216749977</v>
      </c>
      <c r="AQ67" s="63" t="n">
        <f aca="false">Ratio!AQ4*AQ37</f>
        <v>0.581076344960171</v>
      </c>
    </row>
    <row r="68" customFormat="false" ht="12.8" hidden="false" customHeight="false" outlineLevel="0" collapsed="false">
      <c r="A68" s="139" t="s">
        <v>181</v>
      </c>
      <c r="B68" s="65" t="n">
        <f aca="false">Ratio!B5*B38</f>
        <v>0.608898504898978</v>
      </c>
      <c r="C68" s="65" t="n">
        <f aca="false">Ratio!C5*C38</f>
        <v>0.590673320917559</v>
      </c>
      <c r="D68" s="53" t="n">
        <f aca="false">Ratio!D5*D38</f>
        <v>0.60502350096204</v>
      </c>
      <c r="E68" s="53" t="n">
        <f aca="false">Ratio!E5*E38</f>
        <v>0.581200307532642</v>
      </c>
      <c r="F68" s="53" t="n">
        <f aca="false">Ratio!F5*F38</f>
        <v>0.531964109216922</v>
      </c>
      <c r="G68" s="53" t="n">
        <f aca="false">Ratio!G5*G38</f>
        <v>0.624193358355217</v>
      </c>
      <c r="H68" s="53" t="n">
        <f aca="false">Ratio!H5*H38</f>
        <v>0.66518666653615</v>
      </c>
      <c r="I68" s="68" t="n">
        <f aca="false">Ratio!I5*I38</f>
        <v>0.586047593848409</v>
      </c>
      <c r="J68" s="67" t="n">
        <f aca="false">Ratio!J5*J38</f>
        <v>0.50733794402237</v>
      </c>
      <c r="K68" s="94" t="n">
        <f aca="false">Ratio!K5*K38</f>
        <v>0.484536315563361</v>
      </c>
      <c r="L68" s="53" t="n">
        <f aca="false">Ratio!L5*L38</f>
        <v>0.482964355031612</v>
      </c>
      <c r="M68" s="53" t="n">
        <f aca="false">Ratio!M5*M38</f>
        <v>0.483041890522463</v>
      </c>
      <c r="N68" s="53" t="n">
        <f aca="false">Ratio!N5*N38</f>
        <v>0.481045825872989</v>
      </c>
      <c r="O68" s="53" t="n">
        <f aca="false">Ratio!O5*O38</f>
        <v>0.469458723437254</v>
      </c>
      <c r="P68" s="68" t="n">
        <f aca="false">Ratio!P5*P38</f>
        <v>0.48791251166093</v>
      </c>
      <c r="Q68" s="67" t="n">
        <f aca="false">Ratio!Q5*Q38</f>
        <v>0.433030360964798</v>
      </c>
      <c r="R68" s="53" t="n">
        <f aca="false">Ratio!R5*R38</f>
        <v>0.401054934957687</v>
      </c>
      <c r="S68" s="53" t="n">
        <f aca="false">Ratio!S5*S38</f>
        <v>0.446969034769735</v>
      </c>
      <c r="T68" s="53" t="n">
        <f aca="false">Ratio!T5*T38</f>
        <v>0.43140566316258</v>
      </c>
      <c r="U68" s="53" t="n">
        <f aca="false">Ratio!U5*U38</f>
        <v>0.569227161032006</v>
      </c>
      <c r="V68" s="53" t="n">
        <f aca="false">Ratio!V5*V38</f>
        <v>0.560870719677191</v>
      </c>
      <c r="W68" s="53" t="n">
        <f aca="false">Ratio!W5*W38</f>
        <v>0.518781661681329</v>
      </c>
      <c r="X68" s="68" t="n">
        <f aca="false">Ratio!X5*X38</f>
        <v>0.579975437544528</v>
      </c>
      <c r="Y68" s="67" t="n">
        <f aca="false">Ratio!Y5*Y38</f>
        <v>0.623056445812447</v>
      </c>
      <c r="Z68" s="53" t="n">
        <f aca="false">Ratio!Z5*Z38</f>
        <v>0.545037375383144</v>
      </c>
      <c r="AA68" s="53" t="n">
        <f aca="false">Ratio!AA5*AA38</f>
        <v>0.57734000965505</v>
      </c>
      <c r="AB68" s="53" t="n">
        <f aca="false">Ratio!AB5*AB38</f>
        <v>0.454242175901727</v>
      </c>
      <c r="AC68" s="68" t="n">
        <f aca="false">Ratio!AC5*AC38</f>
        <v>0.373880793330631</v>
      </c>
      <c r="AD68" s="67" t="n">
        <f aca="false">Ratio!AD5*AD38</f>
        <v>0.359392246733661</v>
      </c>
      <c r="AE68" s="53" t="n">
        <f aca="false">Ratio!AE5*AE38</f>
        <v>0.332968174586034</v>
      </c>
      <c r="AF68" s="53" t="n">
        <f aca="false">Ratio!AF5*AF38</f>
        <v>0.336217659387598</v>
      </c>
      <c r="AG68" s="53" t="n">
        <f aca="false">Ratio!AG5*AG38</f>
        <v>0.307019243980781</v>
      </c>
      <c r="AH68" s="53" t="n">
        <f aca="false">Ratio!AH5*AH38</f>
        <v>0.227606343605515</v>
      </c>
      <c r="AI68" s="68" t="n">
        <f aca="false">Ratio!AI5*AI38</f>
        <v>0.323056004255603</v>
      </c>
      <c r="AJ68" s="67" t="n">
        <f aca="false">Ratio!AJ5*AJ38</f>
        <v>0.284194216129316</v>
      </c>
      <c r="AK68" s="53" t="n">
        <f aca="false">Ratio!AK5*AK38</f>
        <v>0.275213643076042</v>
      </c>
      <c r="AL68" s="63" t="n">
        <f aca="false">Ratio!AL5*AL38</f>
        <v>0.255349922045147</v>
      </c>
      <c r="AM68" s="53" t="n">
        <f aca="false">Ratio!AM5*AM38</f>
        <v>0.224961363323888</v>
      </c>
      <c r="AN68" s="68" t="n">
        <f aca="false">Ratio!AN5*AN38</f>
        <v>0.218845978982379</v>
      </c>
      <c r="AO68" s="67" t="n">
        <f aca="false">Ratio!AO5*AO38</f>
        <v>0.201480208678653</v>
      </c>
      <c r="AP68" s="63" t="n">
        <f aca="false">Ratio!AP5*AP38</f>
        <v>0.204717239200862</v>
      </c>
      <c r="AQ68" s="63" t="n">
        <f aca="false">Ratio!AQ5*AQ38</f>
        <v>0.197724651016227</v>
      </c>
    </row>
    <row r="69" customFormat="false" ht="12.8" hidden="false" customHeight="false" outlineLevel="0" collapsed="false">
      <c r="A69" s="139" t="s">
        <v>30</v>
      </c>
      <c r="B69" s="65" t="n">
        <f aca="false">Ratio!B6*B39</f>
        <v>0.251575154127022</v>
      </c>
      <c r="C69" s="65" t="n">
        <f aca="false">Ratio!C6*C39</f>
        <v>0.231678701819875</v>
      </c>
      <c r="D69" s="53" t="n">
        <f aca="false">Ratio!D6*D39</f>
        <v>0.231401197141076</v>
      </c>
      <c r="E69" s="53" t="n">
        <f aca="false">Ratio!E6*E39</f>
        <v>0.20754300218269</v>
      </c>
      <c r="F69" s="53" t="n">
        <f aca="false">Ratio!F6*F39</f>
        <v>0.200642962977896</v>
      </c>
      <c r="G69" s="53" t="n">
        <f aca="false">Ratio!G6*G39</f>
        <v>0.21199375069125</v>
      </c>
      <c r="H69" s="53" t="n">
        <f aca="false">Ratio!H6*H39</f>
        <v>0.237560469452481</v>
      </c>
      <c r="I69" s="68" t="n">
        <f aca="false">Ratio!I6*I39</f>
        <v>0.231479616412203</v>
      </c>
      <c r="J69" s="67" t="n">
        <f aca="false">Ratio!J6*J39</f>
        <v>0.212450665812367</v>
      </c>
      <c r="K69" s="94" t="n">
        <f aca="false">Ratio!K6*K39</f>
        <v>0.211960934513188</v>
      </c>
      <c r="L69" s="53" t="n">
        <f aca="false">Ratio!L6*L39</f>
        <v>0.208415031673006</v>
      </c>
      <c r="M69" s="53" t="n">
        <f aca="false">Ratio!M6*M39</f>
        <v>0.2081257636989</v>
      </c>
      <c r="N69" s="53" t="n">
        <f aca="false">Ratio!N6*N39</f>
        <v>0.207610747431428</v>
      </c>
      <c r="O69" s="53" t="n">
        <f aca="false">Ratio!O6*O39</f>
        <v>0.208526399758456</v>
      </c>
      <c r="P69" s="68" t="n">
        <f aca="false">Ratio!P6*P39</f>
        <v>0.245249850173604</v>
      </c>
      <c r="Q69" s="67" t="n">
        <f aca="false">Ratio!Q6*Q39</f>
        <v>0.249725219762099</v>
      </c>
      <c r="R69" s="53" t="n">
        <f aca="false">Ratio!R6*R39</f>
        <v>0.242095638792065</v>
      </c>
      <c r="S69" s="53" t="n">
        <f aca="false">Ratio!S6*S39</f>
        <v>0.254927633415617</v>
      </c>
      <c r="T69" s="53" t="n">
        <f aca="false">Ratio!T6*T39</f>
        <v>0.241913105365754</v>
      </c>
      <c r="U69" s="53" t="n">
        <f aca="false">Ratio!U6*U39</f>
        <v>0.28246376866211</v>
      </c>
      <c r="V69" s="53" t="n">
        <f aca="false">Ratio!V6*V39</f>
        <v>0.2639025704291</v>
      </c>
      <c r="W69" s="53" t="n">
        <f aca="false">Ratio!W6*W39</f>
        <v>0.248233157312464</v>
      </c>
      <c r="X69" s="68" t="n">
        <f aca="false">Ratio!X6*X39</f>
        <v>0.284767868275586</v>
      </c>
      <c r="Y69" s="67" t="n">
        <f aca="false">Ratio!Y6*Y39</f>
        <v>0.273408250244318</v>
      </c>
      <c r="Z69" s="53" t="n">
        <f aca="false">Ratio!Z6*Z39</f>
        <v>0.256178402383758</v>
      </c>
      <c r="AA69" s="53" t="n">
        <f aca="false">Ratio!AA6*AA39</f>
        <v>0.268481076565778</v>
      </c>
      <c r="AB69" s="53" t="n">
        <f aca="false">Ratio!AB6*AB39</f>
        <v>0.230191922059672</v>
      </c>
      <c r="AC69" s="68" t="n">
        <f aca="false">Ratio!AC6*AC39</f>
        <v>0.245949725771131</v>
      </c>
      <c r="AD69" s="67" t="n">
        <f aca="false">Ratio!AD6*AD39</f>
        <v>0.228772217298069</v>
      </c>
      <c r="AE69" s="53" t="n">
        <f aca="false">Ratio!AE6*AE39</f>
        <v>0.220721565831047</v>
      </c>
      <c r="AF69" s="53" t="n">
        <f aca="false">Ratio!AF6*AF39</f>
        <v>0.234127257105724</v>
      </c>
      <c r="AG69" s="53" t="n">
        <f aca="false">Ratio!AG6*AG39</f>
        <v>0.206217434640746</v>
      </c>
      <c r="AH69" s="53" t="n">
        <f aca="false">Ratio!AH6*AH39</f>
        <v>0.179853172960717</v>
      </c>
      <c r="AI69" s="68" t="n">
        <f aca="false">Ratio!AI6*AI39</f>
        <v>0.26835264954884</v>
      </c>
      <c r="AJ69" s="67" t="n">
        <f aca="false">Ratio!AJ6*AJ39</f>
        <v>0.245693033216589</v>
      </c>
      <c r="AK69" s="53" t="n">
        <f aca="false">Ratio!AK6*AK39</f>
        <v>0.242606656539711</v>
      </c>
      <c r="AL69" s="63" t="n">
        <f aca="false">Ratio!AL6*AL39</f>
        <v>0.223303838815789</v>
      </c>
      <c r="AM69" s="53" t="n">
        <f aca="false">Ratio!AM6*AM39</f>
        <v>0.183735007454286</v>
      </c>
      <c r="AN69" s="68" t="n">
        <f aca="false">Ratio!AN6*AN39</f>
        <v>0.209569972957221</v>
      </c>
      <c r="AO69" s="67" t="n">
        <f aca="false">Ratio!AO6*AO39</f>
        <v>0.21319828572453</v>
      </c>
      <c r="AP69" s="63" t="n">
        <f aca="false">Ratio!AP6*AP39</f>
        <v>0.206046976795657</v>
      </c>
      <c r="AQ69" s="63" t="n">
        <f aca="false">Ratio!AQ6*AQ39</f>
        <v>0.19921176384748</v>
      </c>
    </row>
    <row r="70" customFormat="false" ht="12.8" hidden="false" customHeight="false" outlineLevel="0" collapsed="false">
      <c r="A70" s="139" t="s">
        <v>182</v>
      </c>
      <c r="B70" s="65" t="n">
        <f aca="false">Ratio!B7*B40</f>
        <v>0.312229871136475</v>
      </c>
      <c r="C70" s="65" t="n">
        <f aca="false">Ratio!C7*C40</f>
        <v>0.297720339858317</v>
      </c>
      <c r="D70" s="53" t="n">
        <f aca="false">Ratio!D7*D40</f>
        <v>0.293522490351505</v>
      </c>
      <c r="E70" s="53" t="n">
        <f aca="false">Ratio!E7*E40</f>
        <v>0.265643659870297</v>
      </c>
      <c r="F70" s="53" t="n">
        <f aca="false">Ratio!F7*F40</f>
        <v>0.276015198401972</v>
      </c>
      <c r="G70" s="53" t="n">
        <f aca="false">Ratio!G7*G40</f>
        <v>0.320350918958147</v>
      </c>
      <c r="H70" s="53" t="n">
        <f aca="false">Ratio!H7*H40</f>
        <v>0.305803592683252</v>
      </c>
      <c r="I70" s="68" t="n">
        <f aca="false">Ratio!I7*I40</f>
        <v>0.292950318355083</v>
      </c>
      <c r="J70" s="67" t="n">
        <f aca="false">Ratio!J7*J40</f>
        <v>0.298729709785401</v>
      </c>
      <c r="K70" s="94" t="n">
        <f aca="false">Ratio!K7*K40</f>
        <v>0.290723931052844</v>
      </c>
      <c r="L70" s="53" t="n">
        <f aca="false">Ratio!L7*L40</f>
        <v>0.287709572358101</v>
      </c>
      <c r="M70" s="53" t="n">
        <f aca="false">Ratio!M7*M40</f>
        <v>0.288513845080323</v>
      </c>
      <c r="N70" s="53" t="n">
        <f aca="false">Ratio!N7*N40</f>
        <v>0.288122176989437</v>
      </c>
      <c r="O70" s="53" t="n">
        <f aca="false">Ratio!O7*O40</f>
        <v>0.286608606698169</v>
      </c>
      <c r="P70" s="68" t="n">
        <f aca="false">Ratio!P7*P40</f>
        <v>0.336175970928252</v>
      </c>
      <c r="Q70" s="67" t="n">
        <f aca="false">Ratio!Q7*Q40</f>
        <v>0.347243104242237</v>
      </c>
      <c r="R70" s="53" t="n">
        <f aca="false">Ratio!R7*R40</f>
        <v>0.353220000920883</v>
      </c>
      <c r="S70" s="53" t="n">
        <f aca="false">Ratio!S7*S40</f>
        <v>0.350825843420778</v>
      </c>
      <c r="T70" s="53" t="n">
        <f aca="false">Ratio!T7*T40</f>
        <v>0.415787869065258</v>
      </c>
      <c r="U70" s="53" t="n">
        <f aca="false">Ratio!U7*U40</f>
        <v>0.529081077976714</v>
      </c>
      <c r="V70" s="53" t="n">
        <f aca="false">Ratio!V7*V40</f>
        <v>0.493794494515081</v>
      </c>
      <c r="W70" s="53" t="n">
        <f aca="false">Ratio!W7*W40</f>
        <v>0.494404047752997</v>
      </c>
      <c r="X70" s="68" t="n">
        <f aca="false">Ratio!X7*X40</f>
        <v>0.513243799183207</v>
      </c>
      <c r="Y70" s="67" t="n">
        <f aca="false">Ratio!Y7*Y40</f>
        <v>0.428044127487139</v>
      </c>
      <c r="Z70" s="53" t="n">
        <f aca="false">Ratio!Z7*Z40</f>
        <v>0.432069670775177</v>
      </c>
      <c r="AA70" s="53" t="n">
        <f aca="false">Ratio!AA7*AA40</f>
        <v>0.412636696311012</v>
      </c>
      <c r="AB70" s="53" t="n">
        <f aca="false">Ratio!AB7*AB40</f>
        <v>0.354176289068646</v>
      </c>
      <c r="AC70" s="68" t="n">
        <f aca="false">Ratio!AC7*AC40</f>
        <v>0.358538336586688</v>
      </c>
      <c r="AD70" s="67" t="n">
        <f aca="false">Ratio!AD7*AD40</f>
        <v>0.323622340890606</v>
      </c>
      <c r="AE70" s="53" t="n">
        <f aca="false">Ratio!AE7*AE40</f>
        <v>0.317204310821679</v>
      </c>
      <c r="AF70" s="53" t="n">
        <f aca="false">Ratio!AF7*AF40</f>
        <v>0.327687100315637</v>
      </c>
      <c r="AG70" s="53" t="n">
        <f aca="false">Ratio!AG7*AG40</f>
        <v>0.304936157143111</v>
      </c>
      <c r="AH70" s="53" t="n">
        <f aca="false">Ratio!AH7*AH40</f>
        <v>0.262951461507795</v>
      </c>
      <c r="AI70" s="68" t="n">
        <f aca="false">Ratio!AI7*AI40</f>
        <v>0.305381120168593</v>
      </c>
      <c r="AJ70" s="67" t="n">
        <f aca="false">Ratio!AJ7*AJ40</f>
        <v>0.317610251481943</v>
      </c>
      <c r="AK70" s="53" t="n">
        <f aca="false">Ratio!AK7*AK40</f>
        <v>0.305986696796216</v>
      </c>
      <c r="AL70" s="63" t="n">
        <f aca="false">Ratio!AL7*AL40</f>
        <v>0.315554569972041</v>
      </c>
      <c r="AM70" s="53" t="n">
        <f aca="false">Ratio!AM7*AM40</f>
        <v>0.286327235441875</v>
      </c>
      <c r="AN70" s="68" t="n">
        <f aca="false">Ratio!AN7*AN40</f>
        <v>0.345921774137329</v>
      </c>
      <c r="AO70" s="67" t="n">
        <f aca="false">Ratio!AO7*AO40</f>
        <v>0.356996290023107</v>
      </c>
      <c r="AP70" s="63" t="n">
        <f aca="false">Ratio!AP7*AP40</f>
        <v>0.350537871015566</v>
      </c>
      <c r="AQ70" s="63" t="n">
        <f aca="false">Ratio!AQ7*AQ40</f>
        <v>0.351740376162523</v>
      </c>
    </row>
    <row r="71" customFormat="false" ht="12.8" hidden="false" customHeight="false" outlineLevel="0" collapsed="false">
      <c r="A71" s="139" t="s">
        <v>183</v>
      </c>
      <c r="B71" s="65" t="n">
        <f aca="false">Ratio!B8*B41</f>
        <v>0.125116573985739</v>
      </c>
      <c r="C71" s="65" t="n">
        <f aca="false">Ratio!C8*C41</f>
        <v>0.127912109186683</v>
      </c>
      <c r="D71" s="53" t="n">
        <f aca="false">Ratio!D8*D41</f>
        <v>0.126293995737242</v>
      </c>
      <c r="E71" s="53" t="n">
        <f aca="false">Ratio!E8*E41</f>
        <v>0.125719322142803</v>
      </c>
      <c r="F71" s="53" t="n">
        <f aca="false">Ratio!F8*F41</f>
        <v>0.127278451287085</v>
      </c>
      <c r="G71" s="53" t="n">
        <f aca="false">Ratio!G8*G41</f>
        <v>0.102039016325276</v>
      </c>
      <c r="H71" s="53" t="n">
        <f aca="false">Ratio!H8*H41</f>
        <v>0.0964600246743577</v>
      </c>
      <c r="I71" s="68" t="n">
        <f aca="false">Ratio!I8*I41</f>
        <v>0.095468859329467</v>
      </c>
      <c r="J71" s="67" t="n">
        <f aca="false">Ratio!J8*J41</f>
        <v>0.102376802101079</v>
      </c>
      <c r="K71" s="94" t="n">
        <f aca="false">Ratio!K8*K41</f>
        <v>0.105838365040443</v>
      </c>
      <c r="L71" s="53" t="n">
        <f aca="false">Ratio!L8*L41</f>
        <v>0.101556392412048</v>
      </c>
      <c r="M71" s="53" t="n">
        <f aca="false">Ratio!M8*M41</f>
        <v>0.10174571505509</v>
      </c>
      <c r="N71" s="53" t="n">
        <f aca="false">Ratio!N8*N41</f>
        <v>0.102647094691816</v>
      </c>
      <c r="O71" s="53" t="n">
        <f aca="false">Ratio!O8*O41</f>
        <v>0.107253902975313</v>
      </c>
      <c r="P71" s="68" t="n">
        <f aca="false">Ratio!P8*P41</f>
        <v>0.137200078431786</v>
      </c>
      <c r="Q71" s="67" t="n">
        <f aca="false">Ratio!Q8*Q41</f>
        <v>0.140265341883607</v>
      </c>
      <c r="R71" s="53" t="n">
        <f aca="false">Ratio!R8*R41</f>
        <v>0.139314386771234</v>
      </c>
      <c r="S71" s="53" t="n">
        <f aca="false">Ratio!S8*S41</f>
        <v>0.140622532455094</v>
      </c>
      <c r="T71" s="53" t="n">
        <f aca="false">Ratio!T8*T41</f>
        <v>0.173897146236671</v>
      </c>
      <c r="U71" s="53" t="n">
        <f aca="false">Ratio!U8*U41</f>
        <v>0.211994840911954</v>
      </c>
      <c r="V71" s="53" t="n">
        <f aca="false">Ratio!V8*V41</f>
        <v>0.198697494843476</v>
      </c>
      <c r="W71" s="53" t="n">
        <f aca="false">Ratio!W8*W41</f>
        <v>0.204325098461782</v>
      </c>
      <c r="X71" s="68" t="n">
        <f aca="false">Ratio!X8*X41</f>
        <v>0.212634314252978</v>
      </c>
      <c r="Y71" s="67" t="n">
        <f aca="false">Ratio!Y8*Y41</f>
        <v>0.199512786401221</v>
      </c>
      <c r="Z71" s="53" t="n">
        <f aca="false">Ratio!Z8*Z41</f>
        <v>0.203713121672598</v>
      </c>
      <c r="AA71" s="53" t="n">
        <f aca="false">Ratio!AA8*AA41</f>
        <v>0.19370238943752</v>
      </c>
      <c r="AB71" s="53" t="n">
        <f aca="false">Ratio!AB8*AB41</f>
        <v>0.183892052686376</v>
      </c>
      <c r="AC71" s="68" t="n">
        <f aca="false">Ratio!AC8*AC41</f>
        <v>0.187522200830303</v>
      </c>
      <c r="AD71" s="67" t="n">
        <f aca="false">Ratio!AD8*AD41</f>
        <v>0.180191499016509</v>
      </c>
      <c r="AE71" s="53" t="n">
        <f aca="false">Ratio!AE8*AE41</f>
        <v>0.168739247565248</v>
      </c>
      <c r="AF71" s="53" t="n">
        <f aca="false">Ratio!AF8*AF41</f>
        <v>0.161357651789737</v>
      </c>
      <c r="AG71" s="53" t="n">
        <f aca="false">Ratio!AG8*AG41</f>
        <v>0.163453261334638</v>
      </c>
      <c r="AH71" s="53" t="n">
        <f aca="false">Ratio!AH8*AH41</f>
        <v>0.145356922285605</v>
      </c>
      <c r="AI71" s="68" t="n">
        <f aca="false">Ratio!AI8*AI41</f>
        <v>0.182649525617698</v>
      </c>
      <c r="AJ71" s="67" t="n">
        <f aca="false">Ratio!AJ8*AJ41</f>
        <v>0.199573607525588</v>
      </c>
      <c r="AK71" s="53" t="n">
        <f aca="false">Ratio!AK8*AK41</f>
        <v>0.180531404275496</v>
      </c>
      <c r="AL71" s="63" t="n">
        <f aca="false">Ratio!AL8*AL41</f>
        <v>0.169109700275493</v>
      </c>
      <c r="AM71" s="53" t="n">
        <f aca="false">Ratio!AM8*AM41</f>
        <v>0.166319871357465</v>
      </c>
      <c r="AN71" s="68" t="n">
        <f aca="false">Ratio!AN8*AN41</f>
        <v>0.140700454952455</v>
      </c>
      <c r="AO71" s="67" t="n">
        <f aca="false">Ratio!AO8*AO41</f>
        <v>0.131503162996345</v>
      </c>
      <c r="AP71" s="63" t="n">
        <f aca="false">Ratio!AP8*AP41</f>
        <v>0.13646814303985</v>
      </c>
      <c r="AQ71" s="63" t="n">
        <f aca="false">Ratio!AQ8*AQ41</f>
        <v>0.134332156892278</v>
      </c>
    </row>
    <row r="72" customFormat="false" ht="12.8" hidden="false" customHeight="false" outlineLevel="0" collapsed="false">
      <c r="A72" s="139" t="s">
        <v>27</v>
      </c>
      <c r="B72" s="65" t="n">
        <f aca="false">Ratio!B9*B42</f>
        <v>0.00611565995941629</v>
      </c>
      <c r="C72" s="65" t="n">
        <f aca="false">Ratio!C9*C42</f>
        <v>0.0061092507852835</v>
      </c>
      <c r="D72" s="53" t="n">
        <f aca="false">Ratio!D9*D42</f>
        <v>0.00603196755600576</v>
      </c>
      <c r="E72" s="53" t="n">
        <f aca="false">Ratio!E9*E42</f>
        <v>0.00541863679736275</v>
      </c>
      <c r="F72" s="53" t="n">
        <f aca="false">Ratio!F9*F42</f>
        <v>0.00502567955180906</v>
      </c>
      <c r="G72" s="53" t="n">
        <f aca="false">Ratio!G9*G42</f>
        <v>0.00407406860427857</v>
      </c>
      <c r="H72" s="53" t="n">
        <f aca="false">Ratio!H9*H42</f>
        <v>0.00392275962253117</v>
      </c>
      <c r="I72" s="68" t="n">
        <f aca="false">Ratio!I9*I42</f>
        <v>0.00378776077078679</v>
      </c>
      <c r="J72" s="67" t="n">
        <f aca="false">Ratio!J9*J42</f>
        <v>0.00415209643802746</v>
      </c>
      <c r="K72" s="94" t="n">
        <f aca="false">Ratio!K9*K42</f>
        <v>0.00549028677679561</v>
      </c>
      <c r="L72" s="53" t="n">
        <f aca="false">Ratio!L9*L42</f>
        <v>0.00526816261896972</v>
      </c>
      <c r="M72" s="53" t="n">
        <f aca="false">Ratio!M9*M42</f>
        <v>0.00530192897541143</v>
      </c>
      <c r="N72" s="53" t="n">
        <f aca="false">Ratio!N9*N42</f>
        <v>0.00487906469219542</v>
      </c>
      <c r="O72" s="53" t="n">
        <f aca="false">Ratio!O9*O42</f>
        <v>0.00299342761709566</v>
      </c>
      <c r="P72" s="68" t="n">
        <f aca="false">Ratio!P9*P42</f>
        <v>0.00525520490975023</v>
      </c>
      <c r="Q72" s="67" t="n">
        <f aca="false">Ratio!Q9*Q42</f>
        <v>0.00577770341328135</v>
      </c>
      <c r="R72" s="53" t="n">
        <f aca="false">Ratio!R9*R42</f>
        <v>0.00551035103827168</v>
      </c>
      <c r="S72" s="53" t="n">
        <f aca="false">Ratio!S9*S42</f>
        <v>0.00617361231893836</v>
      </c>
      <c r="T72" s="53" t="n">
        <f aca="false">Ratio!T9*T42</f>
        <v>0.00553319923016331</v>
      </c>
      <c r="U72" s="53" t="n">
        <f aca="false">Ratio!U9*U42</f>
        <v>0.0077255382708758</v>
      </c>
      <c r="V72" s="53" t="n">
        <f aca="false">Ratio!V9*V42</f>
        <v>0.00746716842349741</v>
      </c>
      <c r="W72" s="53" t="n">
        <f aca="false">Ratio!W9*W42</f>
        <v>0.00767865706894652</v>
      </c>
      <c r="X72" s="68" t="n">
        <f aca="false">Ratio!X9*X42</f>
        <v>0.00799092227303941</v>
      </c>
      <c r="Y72" s="67" t="n">
        <f aca="false">Ratio!Y9*Y42</f>
        <v>0.00838607708526685</v>
      </c>
      <c r="Z72" s="53" t="n">
        <f aca="false">Ratio!Z9*Z42</f>
        <v>0.00857994311238299</v>
      </c>
      <c r="AA72" s="53" t="n">
        <f aca="false">Ratio!AA9*AA42</f>
        <v>0.00888465858559301</v>
      </c>
      <c r="AB72" s="53" t="n">
        <f aca="false">Ratio!AB9*AB42</f>
        <v>0.00885428552323461</v>
      </c>
      <c r="AC72" s="68" t="n">
        <f aca="false">Ratio!AC9*AC42</f>
        <v>0.00660120981553617</v>
      </c>
      <c r="AD72" s="67" t="n">
        <f aca="false">Ratio!AD9*AD42</f>
        <v>0.00707328426648598</v>
      </c>
      <c r="AE72" s="53" t="n">
        <f aca="false">Ratio!AE9*AE42</f>
        <v>0.00728015449101778</v>
      </c>
      <c r="AF72" s="53" t="n">
        <f aca="false">Ratio!AF9*AF42</f>
        <v>0.00610610761973884</v>
      </c>
      <c r="AG72" s="53" t="n">
        <f aca="false">Ratio!AG9*AG42</f>
        <v>0.00661045528792403</v>
      </c>
      <c r="AH72" s="53" t="n">
        <f aca="false">Ratio!AH9*AH42</f>
        <v>0.00539608944667522</v>
      </c>
      <c r="AI72" s="68" t="n">
        <f aca="false">Ratio!AI9*AI42</f>
        <v>0.00976405636135899</v>
      </c>
      <c r="AJ72" s="67" t="n">
        <f aca="false">Ratio!AJ9*AJ42</f>
        <v>0.0109331117070561</v>
      </c>
      <c r="AK72" s="53" t="n">
        <f aca="false">Ratio!AK9*AK42</f>
        <v>0.010736989527478</v>
      </c>
      <c r="AL72" s="63" t="n">
        <f aca="false">Ratio!AL9*AL42</f>
        <v>0.00947656590306376</v>
      </c>
      <c r="AM72" s="53" t="n">
        <f aca="false">Ratio!AM9*AM42</f>
        <v>0.00911429876781868</v>
      </c>
      <c r="AN72" s="68" t="n">
        <f aca="false">Ratio!AN9*AN42</f>
        <v>0.00838414400679394</v>
      </c>
      <c r="AO72" s="67" t="n">
        <f aca="false">Ratio!AO9*AO42</f>
        <v>0.00760431601506959</v>
      </c>
      <c r="AP72" s="63" t="n">
        <f aca="false">Ratio!AP9*AP42</f>
        <v>0.00940985651995065</v>
      </c>
      <c r="AQ72" s="63" t="n">
        <f aca="false">Ratio!AQ9*AQ42</f>
        <v>0.00823894199009384</v>
      </c>
    </row>
    <row r="73" customFormat="false" ht="12.8" hidden="false" customHeight="false" outlineLevel="0" collapsed="false">
      <c r="A73" s="139" t="s">
        <v>31</v>
      </c>
      <c r="B73" s="65" t="n">
        <f aca="false">Ratio!B10*B43</f>
        <v>0.00191841778454178</v>
      </c>
      <c r="C73" s="65" t="n">
        <f aca="false">Ratio!C10*C43</f>
        <v>0.00173911925378063</v>
      </c>
      <c r="D73" s="53" t="n">
        <f aca="false">Ratio!D10*D43</f>
        <v>0.00171416917256528</v>
      </c>
      <c r="E73" s="53" t="n">
        <f aca="false">Ratio!E10*E43</f>
        <v>0.00160600953987402</v>
      </c>
      <c r="F73" s="53" t="n">
        <f aca="false">Ratio!F10*F43</f>
        <v>0.00143086652957642</v>
      </c>
      <c r="G73" s="53" t="n">
        <f aca="false">Ratio!G10*G43</f>
        <v>0.00134887604331461</v>
      </c>
      <c r="H73" s="53" t="n">
        <f aca="false">Ratio!H10*H43</f>
        <v>0.00120829719333184</v>
      </c>
      <c r="I73" s="68" t="n">
        <f aca="false">Ratio!I10*I43</f>
        <v>0.00115497618157855</v>
      </c>
      <c r="J73" s="67" t="n">
        <f aca="false">Ratio!J10*J43</f>
        <v>0.00129520480102266</v>
      </c>
      <c r="K73" s="94" t="n">
        <f aca="false">Ratio!K10*K43</f>
        <v>0.00150667728412184</v>
      </c>
      <c r="L73" s="53" t="n">
        <f aca="false">Ratio!L10*L43</f>
        <v>0.00153381473569693</v>
      </c>
      <c r="M73" s="53" t="n">
        <f aca="false">Ratio!M10*M43</f>
        <v>0.00153472103972617</v>
      </c>
      <c r="N73" s="53" t="n">
        <f aca="false">Ratio!N10*N43</f>
        <v>0.00141231136901945</v>
      </c>
      <c r="O73" s="53" t="n">
        <f aca="false">Ratio!O10*O43</f>
        <v>0.000888622803171694</v>
      </c>
      <c r="P73" s="68" t="n">
        <f aca="false">Ratio!P10*P43</f>
        <v>0.0021311243819858</v>
      </c>
      <c r="Q73" s="67" t="n">
        <f aca="false">Ratio!Q10*Q43</f>
        <v>0.00245720103840499</v>
      </c>
      <c r="R73" s="53" t="n">
        <f aca="false">Ratio!R10*R43</f>
        <v>0.0028143626981001</v>
      </c>
      <c r="S73" s="53" t="n">
        <f aca="false">Ratio!S10*S43</f>
        <v>0.00275903439367058</v>
      </c>
      <c r="T73" s="53" t="n">
        <f aca="false">Ratio!T10*T43</f>
        <v>0.0023123923424302</v>
      </c>
      <c r="U73" s="53" t="n">
        <f aca="false">Ratio!U10*U43</f>
        <v>0.00406380793529782</v>
      </c>
      <c r="V73" s="53" t="n">
        <f aca="false">Ratio!V10*V43</f>
        <v>0.00381192433075772</v>
      </c>
      <c r="W73" s="53" t="n">
        <f aca="false">Ratio!W10*W43</f>
        <v>0.00395388787793679</v>
      </c>
      <c r="X73" s="68" t="n">
        <f aca="false">Ratio!X10*X43</f>
        <v>0.00411351170241554</v>
      </c>
      <c r="Y73" s="67" t="n">
        <f aca="false">Ratio!Y10*Y43</f>
        <v>0.00443787787877824</v>
      </c>
      <c r="Z73" s="53" t="n">
        <f aca="false">Ratio!Z10*Z43</f>
        <v>0.00440890256591751</v>
      </c>
      <c r="AA73" s="53" t="n">
        <f aca="false">Ratio!AA10*AA43</f>
        <v>0.00445130882122631</v>
      </c>
      <c r="AB73" s="53" t="n">
        <f aca="false">Ratio!AB10*AB43</f>
        <v>0.00414745940590336</v>
      </c>
      <c r="AC73" s="68" t="n">
        <f aca="false">Ratio!AC10*AC43</f>
        <v>0.00215692031344475</v>
      </c>
      <c r="AD73" s="67" t="n">
        <f aca="false">Ratio!AD10*AD43</f>
        <v>0.00240135236807981</v>
      </c>
      <c r="AE73" s="53" t="n">
        <f aca="false">Ratio!AE10*AE43</f>
        <v>0.00239434314879939</v>
      </c>
      <c r="AF73" s="53" t="n">
        <f aca="false">Ratio!AF10*AF43</f>
        <v>0.00208902955736155</v>
      </c>
      <c r="AG73" s="53" t="n">
        <f aca="false">Ratio!AG10*AG43</f>
        <v>0.00211529788558508</v>
      </c>
      <c r="AH73" s="53" t="n">
        <f aca="false">Ratio!AH10*AH43</f>
        <v>0.0018356653692422</v>
      </c>
      <c r="AI73" s="68" t="n">
        <f aca="false">Ratio!AI10*AI43</f>
        <v>0.00329983368139835</v>
      </c>
      <c r="AJ73" s="67" t="n">
        <f aca="false">Ratio!AJ10*AJ43</f>
        <v>0.00343565545879631</v>
      </c>
      <c r="AK73" s="53" t="n">
        <f aca="false">Ratio!AK10*AK43</f>
        <v>0.00327061248247927</v>
      </c>
      <c r="AL73" s="63" t="n">
        <f aca="false">Ratio!AL10*AL43</f>
        <v>0.00291000688970625</v>
      </c>
      <c r="AM73" s="53" t="n">
        <f aca="false">Ratio!AM10*AM43</f>
        <v>0.00278306120150391</v>
      </c>
      <c r="AN73" s="68" t="n">
        <f aca="false">Ratio!AN10*AN43</f>
        <v>0.00296563974295007</v>
      </c>
      <c r="AO73" s="67" t="n">
        <f aca="false">Ratio!AO10*AO43</f>
        <v>0.00284716769656259</v>
      </c>
      <c r="AP73" s="63" t="n">
        <f aca="false">Ratio!AP10*AP43</f>
        <v>0.00373862292036587</v>
      </c>
      <c r="AQ73" s="63" t="n">
        <f aca="false">Ratio!AQ10*AQ43</f>
        <v>0.00320198954787048</v>
      </c>
    </row>
    <row r="74" customFormat="false" ht="12.8" hidden="false" customHeight="false" outlineLevel="0" collapsed="false">
      <c r="A74" s="139" t="s">
        <v>184</v>
      </c>
      <c r="B74" s="65" t="n">
        <f aca="false">Ratio!B11*B44</f>
        <v>0.0142673966088721</v>
      </c>
      <c r="C74" s="65" t="n">
        <f aca="false">Ratio!C11*C44</f>
        <v>0.0129183107328706</v>
      </c>
      <c r="D74" s="53" t="n">
        <f aca="false">Ratio!D11*D44</f>
        <v>0.0130785890696444</v>
      </c>
      <c r="E74" s="53" t="n">
        <f aca="false">Ratio!E11*E44</f>
        <v>0.0131073654691024</v>
      </c>
      <c r="F74" s="53" t="n">
        <f aca="false">Ratio!F11*F44</f>
        <v>0.0123803659228147</v>
      </c>
      <c r="G74" s="53" t="n">
        <f aca="false">Ratio!G11*G44</f>
        <v>0.0156075202613928</v>
      </c>
      <c r="H74" s="53" t="n">
        <f aca="false">Ratio!H11*H44</f>
        <v>0.0135840929431969</v>
      </c>
      <c r="I74" s="68" t="n">
        <f aca="false">Ratio!I11*I44</f>
        <v>0.0139276649703043</v>
      </c>
      <c r="J74" s="67" t="n">
        <f aca="false">Ratio!J11*J44</f>
        <v>0.0122720585585386</v>
      </c>
      <c r="K74" s="94" t="n">
        <f aca="false">Ratio!K11*K44</f>
        <v>0.0103616063293912</v>
      </c>
      <c r="L74" s="53" t="n">
        <f aca="false">Ratio!L11*L44</f>
        <v>0.0105438898630245</v>
      </c>
      <c r="M74" s="53" t="n">
        <f aca="false">Ratio!M11*M44</f>
        <v>0.0105024719913762</v>
      </c>
      <c r="N74" s="53" t="n">
        <f aca="false">Ratio!N11*N44</f>
        <v>0.0105975934019485</v>
      </c>
      <c r="O74" s="53" t="n">
        <f aca="false">Ratio!O11*O44</f>
        <v>0.0115738766170222</v>
      </c>
      <c r="P74" s="68" t="n">
        <f aca="false">Ratio!P11*P44</f>
        <v>0.0114104733734577</v>
      </c>
      <c r="Q74" s="67" t="n">
        <f aca="false">Ratio!Q11*Q44</f>
        <v>0.0102939917363083</v>
      </c>
      <c r="R74" s="53" t="n">
        <f aca="false">Ratio!R11*R44</f>
        <v>0.00988722336522451</v>
      </c>
      <c r="S74" s="53" t="n">
        <f aca="false">Ratio!S11*S44</f>
        <v>0.00792937469281484</v>
      </c>
      <c r="T74" s="53" t="n">
        <f aca="false">Ratio!T11*T44</f>
        <v>0.00804173455501492</v>
      </c>
      <c r="U74" s="53" t="n">
        <f aca="false">Ratio!U11*U44</f>
        <v>0.00760069363861343</v>
      </c>
      <c r="V74" s="53" t="n">
        <f aca="false">Ratio!V11*V44</f>
        <v>0.00752324459046077</v>
      </c>
      <c r="W74" s="53" t="n">
        <f aca="false">Ratio!W11*W44</f>
        <v>0.00777708497234506</v>
      </c>
      <c r="X74" s="68" t="n">
        <f aca="false">Ratio!X11*X44</f>
        <v>0.00809105645684495</v>
      </c>
      <c r="Y74" s="67" t="n">
        <f aca="false">Ratio!Y11*Y44</f>
        <v>0.00825453795502012</v>
      </c>
      <c r="Z74" s="53" t="n">
        <f aca="false">Ratio!Z11*Z44</f>
        <v>0.00875523529463304</v>
      </c>
      <c r="AA74" s="53" t="n">
        <f aca="false">Ratio!AA11*AA44</f>
        <v>0.00851616229648798</v>
      </c>
      <c r="AB74" s="53" t="n">
        <f aca="false">Ratio!AB11*AB44</f>
        <v>0.00881023264318883</v>
      </c>
      <c r="AC74" s="68" t="n">
        <f aca="false">Ratio!AC11*AC44</f>
        <v>0.00605239504156001</v>
      </c>
      <c r="AD74" s="67" t="n">
        <f aca="false">Ratio!AD11*AD44</f>
        <v>0.00627452938234274</v>
      </c>
      <c r="AE74" s="53" t="n">
        <f aca="false">Ratio!AE11*AE44</f>
        <v>0.00591979483344706</v>
      </c>
      <c r="AF74" s="53" t="n">
        <f aca="false">Ratio!AF11*AF44</f>
        <v>0.00588886796938458</v>
      </c>
      <c r="AG74" s="53" t="n">
        <f aca="false">Ratio!AG11*AG44</f>
        <v>0.00488681365260376</v>
      </c>
      <c r="AH74" s="53" t="n">
        <f aca="false">Ratio!AH11*AH44</f>
        <v>0.00488513123282097</v>
      </c>
      <c r="AI74" s="68" t="n">
        <f aca="false">Ratio!AI11*AI44</f>
        <v>0.00696481773098713</v>
      </c>
      <c r="AJ74" s="67" t="n">
        <f aca="false">Ratio!AJ11*AJ44</f>
        <v>0.00742411093240748</v>
      </c>
      <c r="AK74" s="53" t="n">
        <f aca="false">Ratio!AK11*AK44</f>
        <v>0.00635345351488476</v>
      </c>
      <c r="AL74" s="63" t="n">
        <f aca="false">Ratio!AL11*AL44</f>
        <v>0.00601352447774347</v>
      </c>
      <c r="AM74" s="53" t="n">
        <f aca="false">Ratio!AM11*AM44</f>
        <v>0.00589366411727426</v>
      </c>
      <c r="AN74" s="68" t="n">
        <f aca="false">Ratio!AN11*AN44</f>
        <v>0.00454829475484103</v>
      </c>
      <c r="AO74" s="67" t="n">
        <f aca="false">Ratio!AO11*AO44</f>
        <v>0.00410841195687432</v>
      </c>
      <c r="AP74" s="63" t="n">
        <f aca="false">Ratio!AP11*AP44</f>
        <v>0.00492238220609878</v>
      </c>
      <c r="AQ74" s="63" t="n">
        <f aca="false">Ratio!AQ11*AQ44</f>
        <v>0.00480922592769158</v>
      </c>
    </row>
    <row r="75" customFormat="false" ht="12.8" hidden="false" customHeight="false" outlineLevel="0" collapsed="false">
      <c r="A75" s="139" t="s">
        <v>29</v>
      </c>
      <c r="B75" s="65" t="n">
        <f aca="false">Ratio!B12*B45</f>
        <v>0.0262755170063394</v>
      </c>
      <c r="C75" s="65" t="n">
        <f aca="false">Ratio!C12*C45</f>
        <v>0.0245458222471961</v>
      </c>
      <c r="D75" s="53" t="n">
        <f aca="false">Ratio!D12*D45</f>
        <v>0.0241997267541448</v>
      </c>
      <c r="E75" s="53" t="n">
        <f aca="false">Ratio!E12*E45</f>
        <v>0.027154273295552</v>
      </c>
      <c r="F75" s="53" t="n">
        <f aca="false">Ratio!F12*F45</f>
        <v>0.0172874185811598</v>
      </c>
      <c r="G75" s="53" t="n">
        <f aca="false">Ratio!G12*G45</f>
        <v>0.018314767212796</v>
      </c>
      <c r="H75" s="53" t="n">
        <f aca="false">Ratio!H12*H45</f>
        <v>0.0166220778721831</v>
      </c>
      <c r="I75" s="68" t="n">
        <f aca="false">Ratio!I12*I45</f>
        <v>0.0158536679334172</v>
      </c>
      <c r="J75" s="67" t="n">
        <f aca="false">Ratio!J12*J45</f>
        <v>0.0154498101133608</v>
      </c>
      <c r="K75" s="94" t="n">
        <f aca="false">Ratio!K12*K45</f>
        <v>0.0136130613636949</v>
      </c>
      <c r="L75" s="53" t="n">
        <f aca="false">Ratio!L12*L45</f>
        <v>0.0132805888202008</v>
      </c>
      <c r="M75" s="53" t="n">
        <f aca="false">Ratio!M12*M45</f>
        <v>0.0132951587917934</v>
      </c>
      <c r="N75" s="53" t="n">
        <f aca="false">Ratio!N12*N45</f>
        <v>0.0118813153237728</v>
      </c>
      <c r="O75" s="53" t="n">
        <f aca="false">Ratio!O12*O45</f>
        <v>0.0121597487923622</v>
      </c>
      <c r="P75" s="68" t="n">
        <f aca="false">Ratio!P12*P45</f>
        <v>0.0140285275280562</v>
      </c>
      <c r="Q75" s="67" t="n">
        <f aca="false">Ratio!Q12*Q45</f>
        <v>0.0166230577419596</v>
      </c>
      <c r="R75" s="53" t="n">
        <f aca="false">Ratio!R12*R45</f>
        <v>0.0185328514944175</v>
      </c>
      <c r="S75" s="53" t="n">
        <f aca="false">Ratio!S12*S45</f>
        <v>0.0178562991721771</v>
      </c>
      <c r="T75" s="53" t="n">
        <f aca="false">Ratio!T12*T45</f>
        <v>0.015643423885157</v>
      </c>
      <c r="U75" s="53" t="n">
        <f aca="false">Ratio!U12*U45</f>
        <v>0.0145148750968024</v>
      </c>
      <c r="V75" s="53" t="n">
        <f aca="false">Ratio!V12*V45</f>
        <v>0.0182965038448896</v>
      </c>
      <c r="W75" s="53" t="n">
        <f aca="false">Ratio!W12*W45</f>
        <v>0.018977901575122</v>
      </c>
      <c r="X75" s="68" t="n">
        <f aca="false">Ratio!X12*X45</f>
        <v>0.0177747022073611</v>
      </c>
      <c r="Y75" s="67" t="n">
        <f aca="false">Ratio!Y12*Y45</f>
        <v>0.0225537436105803</v>
      </c>
      <c r="Z75" s="53" t="n">
        <f aca="false">Ratio!Z12*Z45</f>
        <v>0.0258542776702309</v>
      </c>
      <c r="AA75" s="53" t="n">
        <f aca="false">Ratio!AA12*AA45</f>
        <v>0.0243795184353258</v>
      </c>
      <c r="AB75" s="53" t="n">
        <f aca="false">Ratio!AB12*AB45</f>
        <v>0.02906902437679</v>
      </c>
      <c r="AC75" s="68" t="n">
        <f aca="false">Ratio!AC12*AC45</f>
        <v>0.0284707938998826</v>
      </c>
      <c r="AD75" s="67" t="n">
        <f aca="false">Ratio!AD12*AD45</f>
        <v>0.0323388429088257</v>
      </c>
      <c r="AE75" s="53" t="n">
        <f aca="false">Ratio!AE12*AE45</f>
        <v>0.0242737438816059</v>
      </c>
      <c r="AF75" s="53" t="n">
        <f aca="false">Ratio!AF12*AF45</f>
        <v>0.0219157145629599</v>
      </c>
      <c r="AG75" s="53" t="n">
        <f aca="false">Ratio!AG12*AG45</f>
        <v>0.021922286601381</v>
      </c>
      <c r="AH75" s="53" t="n">
        <f aca="false">Ratio!AH12*AH45</f>
        <v>0.0288959971215351</v>
      </c>
      <c r="AI75" s="68" t="n">
        <f aca="false">Ratio!AI12*AI45</f>
        <v>0.0224813477135499</v>
      </c>
      <c r="AJ75" s="67" t="n">
        <f aca="false">Ratio!AJ12*AJ45</f>
        <v>0.0200405536699809</v>
      </c>
      <c r="AK75" s="53" t="n">
        <f aca="false">Ratio!AK12*AK45</f>
        <v>0.0214830705944494</v>
      </c>
      <c r="AL75" s="63" t="n">
        <f aca="false">Ratio!AL12*AL45</f>
        <v>0.0220644084118785</v>
      </c>
      <c r="AM75" s="53" t="n">
        <f aca="false">Ratio!AM12*AM45</f>
        <v>0.0212932982643639</v>
      </c>
      <c r="AN75" s="68" t="n">
        <f aca="false">Ratio!AN12*AN45</f>
        <v>0.0257321880783486</v>
      </c>
      <c r="AO75" s="67" t="n">
        <f aca="false">Ratio!AO12*AO45</f>
        <v>0.0226297170883155</v>
      </c>
      <c r="AP75" s="63" t="n">
        <f aca="false">Ratio!AP12*AP45</f>
        <v>0.0204032084468971</v>
      </c>
      <c r="AQ75" s="63" t="n">
        <f aca="false">Ratio!AQ12*AQ45</f>
        <v>0.0199327435692852</v>
      </c>
    </row>
    <row r="76" customFormat="false" ht="12.8" hidden="false" customHeight="false" outlineLevel="0" collapsed="false">
      <c r="A76" s="139" t="s">
        <v>185</v>
      </c>
      <c r="B76" s="65" t="n">
        <f aca="false">Ratio!B13*B46</f>
        <v>0.035227989317386</v>
      </c>
      <c r="C76" s="65" t="n">
        <f aca="false">Ratio!C13*C46</f>
        <v>0.0344483551964012</v>
      </c>
      <c r="D76" s="53" t="n">
        <f aca="false">Ratio!D13*D46</f>
        <v>0.0348844771602094</v>
      </c>
      <c r="E76" s="53" t="n">
        <f aca="false">Ratio!E13*E46</f>
        <v>0.0363706693600477</v>
      </c>
      <c r="F76" s="53" t="n">
        <f aca="false">Ratio!F13*F46</f>
        <v>0.0288134088987327</v>
      </c>
      <c r="G76" s="53" t="n">
        <f aca="false">Ratio!G13*G46</f>
        <v>0.038704733737189</v>
      </c>
      <c r="H76" s="53" t="n">
        <f aca="false">Ratio!H13*H46</f>
        <v>0.0359160775641382</v>
      </c>
      <c r="I76" s="68" t="n">
        <f aca="false">Ratio!I13*I46</f>
        <v>0.0367579918070803</v>
      </c>
      <c r="J76" s="67" t="n">
        <f aca="false">Ratio!J13*J46</f>
        <v>0.0303862598753092</v>
      </c>
      <c r="K76" s="94" t="n">
        <f aca="false">Ratio!K13*K46</f>
        <v>0.0252703398840116</v>
      </c>
      <c r="L76" s="53" t="n">
        <f aca="false">Ratio!L13*L46</f>
        <v>0.0252228435532147</v>
      </c>
      <c r="M76" s="53" t="n">
        <f aca="false">Ratio!M13*M46</f>
        <v>0.0252505152264388</v>
      </c>
      <c r="N76" s="53" t="n">
        <f aca="false">Ratio!N13*N46</f>
        <v>0.0239804333150595</v>
      </c>
      <c r="O76" s="53" t="n">
        <f aca="false">Ratio!O13*O46</f>
        <v>0.0252830586714257</v>
      </c>
      <c r="P76" s="68" t="n">
        <f aca="false">Ratio!P13*P46</f>
        <v>0.0249135967872037</v>
      </c>
      <c r="Q76" s="67" t="n">
        <f aca="false">Ratio!Q13*Q46</f>
        <v>0.0226029152388097</v>
      </c>
      <c r="R76" s="53" t="n">
        <f aca="false">Ratio!R13*R46</f>
        <v>0.0191867859530129</v>
      </c>
      <c r="S76" s="53" t="n">
        <f aca="false">Ratio!S13*S46</f>
        <v>0.0166202302628657</v>
      </c>
      <c r="T76" s="53" t="n">
        <f aca="false">Ratio!T13*T46</f>
        <v>0.0167566297835618</v>
      </c>
      <c r="U76" s="53" t="n">
        <f aca="false">Ratio!U13*U46</f>
        <v>0.0131115071731341</v>
      </c>
      <c r="V76" s="53" t="n">
        <f aca="false">Ratio!V13*V46</f>
        <v>0.0157909815510825</v>
      </c>
      <c r="W76" s="53" t="n">
        <f aca="false">Ratio!W13*W46</f>
        <v>0.0163237820920004</v>
      </c>
      <c r="X76" s="68" t="n">
        <f aca="false">Ratio!X13*X46</f>
        <v>0.0152888539565153</v>
      </c>
      <c r="Y76" s="67" t="n">
        <f aca="false">Ratio!Y13*Y46</f>
        <v>0.016307713158777</v>
      </c>
      <c r="Z76" s="53" t="n">
        <f aca="false">Ratio!Z13*Z46</f>
        <v>0.0192125477234843</v>
      </c>
      <c r="AA76" s="53" t="n">
        <f aca="false">Ratio!AA13*AA46</f>
        <v>0.0184506421312751</v>
      </c>
      <c r="AB76" s="53" t="n">
        <f aca="false">Ratio!AB13*AB46</f>
        <v>0.0214215883582964</v>
      </c>
      <c r="AC76" s="68" t="n">
        <f aca="false">Ratio!AC13*AC46</f>
        <v>0.0222800016019769</v>
      </c>
      <c r="AD76" s="67" t="n">
        <f aca="false">Ratio!AD13*AD46</f>
        <v>0.0226314503587399</v>
      </c>
      <c r="AE76" s="53" t="n">
        <f aca="false">Ratio!AE13*AE46</f>
        <v>0.019850342671216</v>
      </c>
      <c r="AF76" s="53" t="n">
        <f aca="false">Ratio!AF13*AF46</f>
        <v>0.0188145937416534</v>
      </c>
      <c r="AG76" s="53" t="n">
        <f aca="false">Ratio!AG13*AG46</f>
        <v>0.0167013105372228</v>
      </c>
      <c r="AH76" s="53" t="n">
        <f aca="false">Ratio!AH13*AH46</f>
        <v>0.0187133616725692</v>
      </c>
      <c r="AI76" s="68" t="n">
        <f aca="false">Ratio!AI13*AI46</f>
        <v>0.0174868874384727</v>
      </c>
      <c r="AJ76" s="67" t="n">
        <f aca="false">Ratio!AJ13*AJ46</f>
        <v>0.0183498568946017</v>
      </c>
      <c r="AK76" s="53" t="n">
        <f aca="false">Ratio!AK13*AK46</f>
        <v>0.0174526906191417</v>
      </c>
      <c r="AL76" s="63" t="n">
        <f aca="false">Ratio!AL13*AL46</f>
        <v>0.0180029592028391</v>
      </c>
      <c r="AM76" s="53" t="n">
        <f aca="false">Ratio!AM13*AM46</f>
        <v>0.0181603053031674</v>
      </c>
      <c r="AN76" s="68" t="n">
        <f aca="false">Ratio!AN13*AN46</f>
        <v>0.020146711360509</v>
      </c>
      <c r="AO76" s="67" t="n">
        <f aca="false">Ratio!AO13*AO46</f>
        <v>0.0171800909742662</v>
      </c>
      <c r="AP76" s="63" t="n">
        <f aca="false">Ratio!AP13*AP46</f>
        <v>0.0182303811878172</v>
      </c>
      <c r="AQ76" s="63" t="n">
        <f aca="false">Ratio!AQ13*AQ46</f>
        <v>0.0184854150020846</v>
      </c>
    </row>
    <row r="77" customFormat="false" ht="12.8" hidden="false" customHeight="false" outlineLevel="0" collapsed="false">
      <c r="A77" s="139" t="s">
        <v>186</v>
      </c>
      <c r="B77" s="65" t="n">
        <f aca="false">Ratio!B14*B47</f>
        <v>0.144784801420806</v>
      </c>
      <c r="C77" s="65" t="n">
        <f aca="false">Ratio!C14*C47</f>
        <v>0.132263659665709</v>
      </c>
      <c r="D77" s="53" t="n">
        <f aca="false">Ratio!D14*D47</f>
        <v>0.122929561311826</v>
      </c>
      <c r="E77" s="53" t="n">
        <f aca="false">Ratio!E14*E47</f>
        <v>0.150994186937952</v>
      </c>
      <c r="F77" s="53" t="n">
        <f aca="false">Ratio!F14*F47</f>
        <v>0.104239178959214</v>
      </c>
      <c r="G77" s="53" t="n">
        <f aca="false">Ratio!G14*G47</f>
        <v>0.085697374253056</v>
      </c>
      <c r="H77" s="53" t="n">
        <f aca="false">Ratio!H14*H47</f>
        <v>0.0924373802836278</v>
      </c>
      <c r="I77" s="68" t="n">
        <f aca="false">Ratio!I14*I47</f>
        <v>0.0917286663062928</v>
      </c>
      <c r="J77" s="67" t="n">
        <f aca="false">Ratio!J14*J47</f>
        <v>0.0915910366523292</v>
      </c>
      <c r="K77" s="94" t="n">
        <f aca="false">Ratio!K14*K47</f>
        <v>0.0783306469368239</v>
      </c>
      <c r="L77" s="53" t="n">
        <f aca="false">Ratio!L14*L47</f>
        <v>0.0800560016566004</v>
      </c>
      <c r="M77" s="53" t="n">
        <f aca="false">Ratio!M14*M47</f>
        <v>0.0801438301170513</v>
      </c>
      <c r="N77" s="53" t="n">
        <f aca="false">Ratio!N14*N47</f>
        <v>0.0790263867210792</v>
      </c>
      <c r="O77" s="53" t="n">
        <f aca="false">Ratio!O14*O47</f>
        <v>0.0839431778346835</v>
      </c>
      <c r="P77" s="68" t="n">
        <f aca="false">Ratio!P14*P47</f>
        <v>0.182564259693234</v>
      </c>
      <c r="Q77" s="67" t="n">
        <f aca="false">Ratio!Q14*Q47</f>
        <v>0.177464932705136</v>
      </c>
      <c r="R77" s="53" t="n">
        <f aca="false">Ratio!R14*R47</f>
        <v>0.183135862091006</v>
      </c>
      <c r="S77" s="53" t="n">
        <f aca="false">Ratio!S14*S47</f>
        <v>0.175814932630716</v>
      </c>
      <c r="T77" s="53" t="n">
        <f aca="false">Ratio!T14*T47</f>
        <v>0.185772611238863</v>
      </c>
      <c r="U77" s="53" t="n">
        <f aca="false">Ratio!U14*U47</f>
        <v>0.333500395826888</v>
      </c>
      <c r="V77" s="53" t="n">
        <f aca="false">Ratio!V14*V47</f>
        <v>0.357235513519116</v>
      </c>
      <c r="W77" s="53" t="n">
        <f aca="false">Ratio!W14*W47</f>
        <v>0.370539665510882</v>
      </c>
      <c r="X77" s="68" t="n">
        <f aca="false">Ratio!X14*X47</f>
        <v>0.347047442753365</v>
      </c>
      <c r="Y77" s="67" t="n">
        <f aca="false">Ratio!Y14*Y47</f>
        <v>0.382609672367442</v>
      </c>
      <c r="Z77" s="53" t="n">
        <f aca="false">Ratio!Z14*Z47</f>
        <v>0.38027019661089</v>
      </c>
      <c r="AA77" s="53" t="n">
        <f aca="false">Ratio!AA14*AA47</f>
        <v>0.418717539801735</v>
      </c>
      <c r="AB77" s="53" t="n">
        <f aca="false">Ratio!AB14*AB47</f>
        <v>0.377558166007289</v>
      </c>
      <c r="AC77" s="68" t="n">
        <f aca="false">Ratio!AC14*AC47</f>
        <v>0.0721725288516688</v>
      </c>
      <c r="AD77" s="67" t="n">
        <f aca="false">Ratio!AD14*AD47</f>
        <v>0.0758559689080821</v>
      </c>
      <c r="AE77" s="53" t="n">
        <f aca="false">Ratio!AE14*AE47</f>
        <v>0.0716447917775601</v>
      </c>
      <c r="AF77" s="53" t="n">
        <f aca="false">Ratio!AF14*AF47</f>
        <v>0.0712884920780497</v>
      </c>
      <c r="AG77" s="53" t="n">
        <f aca="false">Ratio!AG14*AG47</f>
        <v>0.0956147101310931</v>
      </c>
      <c r="AH77" s="53" t="n">
        <f aca="false">Ratio!AH14*AH47</f>
        <v>0.0993739841670619</v>
      </c>
      <c r="AI77" s="68" t="n">
        <f aca="false">Ratio!AI14*AI47</f>
        <v>0.131316253664886</v>
      </c>
      <c r="AJ77" s="67" t="n">
        <f aca="false">Ratio!AJ14*AJ47</f>
        <v>0.133648340005963</v>
      </c>
      <c r="AK77" s="53" t="n">
        <f aca="false">Ratio!AK14*AK47</f>
        <v>0.124921186193064</v>
      </c>
      <c r="AL77" s="63" t="n">
        <f aca="false">Ratio!AL14*AL47</f>
        <v>0.128784414720581</v>
      </c>
      <c r="AM77" s="53" t="n">
        <f aca="false">Ratio!AM14*AM47</f>
        <v>0.13707269777475</v>
      </c>
      <c r="AN77" s="68" t="n">
        <f aca="false">Ratio!AN14*AN47</f>
        <v>0.127993577196898</v>
      </c>
      <c r="AO77" s="67" t="n">
        <f aca="false">Ratio!AO14*AO47</f>
        <v>0.129857720784409</v>
      </c>
      <c r="AP77" s="63" t="n">
        <f aca="false">Ratio!AP14*AP47</f>
        <v>0.121662962097355</v>
      </c>
      <c r="AQ77" s="63" t="n">
        <f aca="false">Ratio!AQ14*AQ47</f>
        <v>0.118003190297116</v>
      </c>
    </row>
    <row r="78" customFormat="false" ht="12.8" hidden="false" customHeight="false" outlineLevel="0" collapsed="false">
      <c r="A78" s="139" t="s">
        <v>187</v>
      </c>
      <c r="B78" s="65" t="n">
        <f aca="false">Ratio!B15*B48</f>
        <v>0.00185257477171512</v>
      </c>
      <c r="C78" s="65" t="n">
        <f aca="false">Ratio!C15*C48</f>
        <v>0.00195697306074132</v>
      </c>
      <c r="D78" s="53" t="n">
        <f aca="false">Ratio!D15*D48</f>
        <v>0.00192937978847182</v>
      </c>
      <c r="E78" s="53" t="n">
        <f aca="false">Ratio!E15*E48</f>
        <v>0.00190525184249026</v>
      </c>
      <c r="F78" s="53" t="n">
        <f aca="false">Ratio!F15*F48</f>
        <v>0.00206085127791064</v>
      </c>
      <c r="G78" s="53" t="n">
        <f aca="false">Ratio!G15*G48</f>
        <v>0.00197287545928801</v>
      </c>
      <c r="H78" s="53" t="n">
        <f aca="false">Ratio!H15*H48</f>
        <v>0.00149973840618358</v>
      </c>
      <c r="I78" s="68" t="n">
        <f aca="false">Ratio!I15*I48</f>
        <v>0.00187663639839869</v>
      </c>
      <c r="J78" s="67" t="n">
        <f aca="false">Ratio!J15*J48</f>
        <v>0.00157671360455673</v>
      </c>
      <c r="K78" s="94" t="n">
        <f aca="false">Ratio!K15*K48</f>
        <v>0.00165801282611843</v>
      </c>
      <c r="L78" s="53" t="n">
        <f aca="false">Ratio!L15*L48</f>
        <v>0.00159701389055619</v>
      </c>
      <c r="M78" s="53" t="n">
        <f aca="false">Ratio!M15*M48</f>
        <v>0.0015987659549664</v>
      </c>
      <c r="N78" s="53" t="n">
        <f aca="false">Ratio!N15*N48</f>
        <v>0.00158742310814095</v>
      </c>
      <c r="O78" s="53" t="n">
        <f aca="false">Ratio!O15*O48</f>
        <v>0.00175850545140514</v>
      </c>
      <c r="P78" s="68" t="n">
        <f aca="false">Ratio!P15*P48</f>
        <v>0.00289247757015728</v>
      </c>
      <c r="Q78" s="67" t="n">
        <f aca="false">Ratio!Q15*Q48</f>
        <v>0.00291757812574345</v>
      </c>
      <c r="R78" s="53" t="n">
        <f aca="false">Ratio!R15*R48</f>
        <v>0.00240602145044327</v>
      </c>
      <c r="S78" s="53" t="n">
        <f aca="false">Ratio!S15*S48</f>
        <v>0.00245653384048668</v>
      </c>
      <c r="T78" s="53" t="n">
        <f aca="false">Ratio!T15*T48</f>
        <v>0.00238571653149464</v>
      </c>
      <c r="U78" s="53" t="n">
        <f aca="false">Ratio!U15*U48</f>
        <v>0.00332501901407443</v>
      </c>
      <c r="V78" s="53" t="n">
        <f aca="false">Ratio!V15*V48</f>
        <v>0.00259854025579771</v>
      </c>
      <c r="W78" s="53" t="n">
        <f aca="false">Ratio!W15*W48</f>
        <v>0.00225966891810241</v>
      </c>
      <c r="X78" s="68" t="n">
        <f aca="false">Ratio!X15*X48</f>
        <v>0.00226831826523716</v>
      </c>
      <c r="Y78" s="67" t="n">
        <f aca="false">Ratio!Y15*Y48</f>
        <v>0.00277952720600312</v>
      </c>
      <c r="Z78" s="53" t="n">
        <f aca="false">Ratio!Z15*Z48</f>
        <v>0.00244791498238238</v>
      </c>
      <c r="AA78" s="53" t="n">
        <f aca="false">Ratio!AA15*AA48</f>
        <v>0.00280566040985017</v>
      </c>
      <c r="AB78" s="53" t="n">
        <f aca="false">Ratio!AB15*AB48</f>
        <v>0.00281159530790932</v>
      </c>
      <c r="AC78" s="68" t="n">
        <f aca="false">Ratio!AC15*AC48</f>
        <v>0.00100484336792126</v>
      </c>
      <c r="AD78" s="67" t="n">
        <f aca="false">Ratio!AD15*AD48</f>
        <v>0.0011369611615328</v>
      </c>
      <c r="AE78" s="53" t="n">
        <f aca="false">Ratio!AE15*AE48</f>
        <v>0.0014556874415051</v>
      </c>
      <c r="AF78" s="53" t="n">
        <f aca="false">Ratio!AF15*AF48</f>
        <v>0.00161173450049389</v>
      </c>
      <c r="AG78" s="53" t="n">
        <f aca="false">Ratio!AG15*AG48</f>
        <v>0.00141104231041538</v>
      </c>
      <c r="AH78" s="53" t="n">
        <f aca="false">Ratio!AH15*AH48</f>
        <v>0.0014561456467643</v>
      </c>
      <c r="AI78" s="68" t="n">
        <f aca="false">Ratio!AI15*AI48</f>
        <v>0.00177222335304992</v>
      </c>
      <c r="AJ78" s="67" t="n">
        <f aca="false">Ratio!AJ15*AJ48</f>
        <v>0.00188462432309875</v>
      </c>
      <c r="AK78" s="53" t="n">
        <f aca="false">Ratio!AK15*AK48</f>
        <v>0.00267611661919439</v>
      </c>
      <c r="AL78" s="63" t="n">
        <f aca="false">Ratio!AL15*AL48</f>
        <v>0.00272616593202835</v>
      </c>
      <c r="AM78" s="53" t="n">
        <f aca="false">Ratio!AM15*AM48</f>
        <v>0.00316975425900171</v>
      </c>
      <c r="AN78" s="68" t="n">
        <f aca="false">Ratio!AN15*AN48</f>
        <v>0.00344749514305204</v>
      </c>
      <c r="AO78" s="67" t="n">
        <f aca="false">Ratio!AO15*AO48</f>
        <v>0.00383411656868318</v>
      </c>
      <c r="AP78" s="63" t="n">
        <f aca="false">Ratio!AP15*AP48</f>
        <v>0.0060074995856491</v>
      </c>
      <c r="AQ78" s="63" t="n">
        <f aca="false">Ratio!AQ15*AQ48</f>
        <v>0.00541527825347182</v>
      </c>
    </row>
    <row r="79" customFormat="false" ht="12.8" hidden="false" customHeight="false" outlineLevel="0" collapsed="false">
      <c r="A79" s="139" t="s">
        <v>188</v>
      </c>
      <c r="B79" s="65" t="n">
        <f aca="false">Ratio!B16*B49</f>
        <v>0.0050241660588872</v>
      </c>
      <c r="C79" s="65" t="n">
        <f aca="false">Ratio!C16*C49</f>
        <v>0.00515524484793878</v>
      </c>
      <c r="D79" s="53" t="n">
        <f aca="false">Ratio!D16*D49</f>
        <v>0.00508255602173122</v>
      </c>
      <c r="E79" s="53" t="n">
        <f aca="false">Ratio!E16*E49</f>
        <v>0.0052696379074428</v>
      </c>
      <c r="F79" s="53" t="n">
        <f aca="false">Ratio!F16*F49</f>
        <v>0.00550728526232415</v>
      </c>
      <c r="G79" s="53" t="n">
        <f aca="false">Ratio!G16*G49</f>
        <v>0.0055023655203322</v>
      </c>
      <c r="H79" s="53" t="n">
        <f aca="false">Ratio!H16*H49</f>
        <v>0.00610537352703673</v>
      </c>
      <c r="I79" s="68" t="n">
        <f aca="false">Ratio!I16*I49</f>
        <v>0.00566079067240863</v>
      </c>
      <c r="J79" s="67" t="n">
        <f aca="false">Ratio!J16*J49</f>
        <v>0.00620184228246543</v>
      </c>
      <c r="K79" s="94" t="n">
        <f aca="false">Ratio!K16*K49</f>
        <v>0.00556768255926915</v>
      </c>
      <c r="L79" s="53" t="n">
        <f aca="false">Ratio!L16*L49</f>
        <v>0.00569031945501189</v>
      </c>
      <c r="M79" s="53" t="n">
        <f aca="false">Ratio!M16*M49</f>
        <v>0.00569656223490179</v>
      </c>
      <c r="N79" s="53" t="n">
        <f aca="false">Ratio!N16*N49</f>
        <v>0.00562594753724888</v>
      </c>
      <c r="O79" s="53" t="n">
        <f aca="false">Ratio!O16*O49</f>
        <v>0.0057661340547812</v>
      </c>
      <c r="P79" s="68" t="n">
        <f aca="false">Ratio!P16*P49</f>
        <v>0.00665118844725652</v>
      </c>
      <c r="Q79" s="67" t="n">
        <f aca="false">Ratio!Q16*Q49</f>
        <v>0.00639009274915781</v>
      </c>
      <c r="R79" s="53" t="n">
        <f aca="false">Ratio!R16*R49</f>
        <v>0.00586761423921986</v>
      </c>
      <c r="S79" s="53" t="n">
        <f aca="false">Ratio!S16*S49</f>
        <v>0.00565341363221931</v>
      </c>
      <c r="T79" s="53" t="n">
        <f aca="false">Ratio!T16*T49</f>
        <v>0.00516626580452201</v>
      </c>
      <c r="U79" s="53" t="n">
        <f aca="false">Ratio!U16*U49</f>
        <v>0.00764874264989993</v>
      </c>
      <c r="V79" s="53" t="n">
        <f aca="false">Ratio!V16*V49</f>
        <v>0.00784816760288405</v>
      </c>
      <c r="W79" s="53" t="n">
        <f aca="false">Ratio!W16*W49</f>
        <v>0.00814044877509185</v>
      </c>
      <c r="X79" s="68" t="n">
        <f aca="false">Ratio!X16*X49</f>
        <v>0.00762434414778576</v>
      </c>
      <c r="Y79" s="67" t="n">
        <f aca="false">Ratio!Y16*Y49</f>
        <v>0.0078937219763265</v>
      </c>
      <c r="Z79" s="53" t="n">
        <f aca="false">Ratio!Z16*Z49</f>
        <v>0.00814592033511176</v>
      </c>
      <c r="AA79" s="53" t="n">
        <f aca="false">Ratio!AA16*AA49</f>
        <v>0.0077399863768106</v>
      </c>
      <c r="AB79" s="53" t="n">
        <f aca="false">Ratio!AB16*AB49</f>
        <v>0.00808815577616169</v>
      </c>
      <c r="AC79" s="68" t="n">
        <f aca="false">Ratio!AC16*AC49</f>
        <v>0.00716637865842875</v>
      </c>
      <c r="AD79" s="67" t="n">
        <f aca="false">Ratio!AD16*AD49</f>
        <v>0.00608649074575529</v>
      </c>
      <c r="AE79" s="53" t="n">
        <f aca="false">Ratio!AE16*AE49</f>
        <v>0.00624106743781925</v>
      </c>
      <c r="AF79" s="53" t="n">
        <f aca="false">Ratio!AF16*AF49</f>
        <v>0.00621002972527173</v>
      </c>
      <c r="AG79" s="53" t="n">
        <f aca="false">Ratio!AG16*AG49</f>
        <v>0.00785426633979921</v>
      </c>
      <c r="AH79" s="53" t="n">
        <f aca="false">Ratio!AH16*AH49</f>
        <v>0.00963374753150475</v>
      </c>
      <c r="AI79" s="68" t="n">
        <f aca="false">Ratio!AI16*AI49</f>
        <v>0.00928886869902046</v>
      </c>
      <c r="AJ79" s="67" t="n">
        <f aca="false">Ratio!AJ16*AJ49</f>
        <v>0.0105237241240468</v>
      </c>
      <c r="AK79" s="53" t="n">
        <f aca="false">Ratio!AK16*AK49</f>
        <v>0.0102205303945513</v>
      </c>
      <c r="AL79" s="63" t="n">
        <f aca="false">Ratio!AL16*AL49</f>
        <v>0.00969424509892935</v>
      </c>
      <c r="AM79" s="53" t="n">
        <f aca="false">Ratio!AM16*AM49</f>
        <v>0.0116582338656663</v>
      </c>
      <c r="AN79" s="68" t="n">
        <f aca="false">Ratio!AN16*AN49</f>
        <v>0.0115532470400927</v>
      </c>
      <c r="AO79" s="67" t="n">
        <f aca="false">Ratio!AO16*AO49</f>
        <v>0.0091420778681297</v>
      </c>
      <c r="AP79" s="63" t="n">
        <f aca="false">Ratio!AP16*AP49</f>
        <v>0.00900755510136687</v>
      </c>
      <c r="AQ79" s="63" t="n">
        <f aca="false">Ratio!AQ16*AQ49</f>
        <v>0.00956325614389741</v>
      </c>
    </row>
    <row r="80" customFormat="false" ht="12.8" hidden="false" customHeight="false" outlineLevel="0" collapsed="false">
      <c r="A80" s="139" t="s">
        <v>189</v>
      </c>
      <c r="B80" s="65" t="n">
        <f aca="false">Ratio!B17*B50</f>
        <v>0.012927212261032</v>
      </c>
      <c r="C80" s="65" t="n">
        <f aca="false">Ratio!C17*C50</f>
        <v>0.0141121948633945</v>
      </c>
      <c r="D80" s="53" t="n">
        <f aca="false">Ratio!D17*D50</f>
        <v>0.0144280407996218</v>
      </c>
      <c r="E80" s="53" t="n">
        <f aca="false">Ratio!E17*E50</f>
        <v>0.0106965673114818</v>
      </c>
      <c r="F80" s="53" t="n">
        <f aca="false">Ratio!F17*F50</f>
        <v>0.00995244025969877</v>
      </c>
      <c r="G80" s="53" t="n">
        <f aca="false">Ratio!G17*G50</f>
        <v>0.0103850499841986</v>
      </c>
      <c r="H80" s="53" t="n">
        <f aca="false">Ratio!H17*H50</f>
        <v>0.0105093117096287</v>
      </c>
      <c r="I80" s="68" t="n">
        <f aca="false">Ratio!I17*I50</f>
        <v>0.0130448354251009</v>
      </c>
      <c r="J80" s="67" t="n">
        <f aca="false">Ratio!J17*J50</f>
        <v>0.0143066871352327</v>
      </c>
      <c r="K80" s="94" t="n">
        <f aca="false">Ratio!K17*K50</f>
        <v>0.0107054270236298</v>
      </c>
      <c r="L80" s="53" t="n">
        <f aca="false">Ratio!L17*L50</f>
        <v>0.0109433315244523</v>
      </c>
      <c r="M80" s="53" t="n">
        <f aca="false">Ratio!M17*M50</f>
        <v>0.0109527085118852</v>
      </c>
      <c r="N80" s="53" t="n">
        <f aca="false">Ratio!N17*N50</f>
        <v>0.011048813839287</v>
      </c>
      <c r="O80" s="53" t="n">
        <f aca="false">Ratio!O17*O50</f>
        <v>0.0112989892007524</v>
      </c>
      <c r="P80" s="68" t="n">
        <f aca="false">Ratio!P17*P50</f>
        <v>0.0130271023451279</v>
      </c>
      <c r="Q80" s="67" t="n">
        <f aca="false">Ratio!Q17*Q50</f>
        <v>0.0144190699210295</v>
      </c>
      <c r="R80" s="53" t="n">
        <f aca="false">Ratio!R17*R50</f>
        <v>0.0154339709562195</v>
      </c>
      <c r="S80" s="53" t="n">
        <f aca="false">Ratio!S17*S50</f>
        <v>0.0144426381538298</v>
      </c>
      <c r="T80" s="53" t="n">
        <f aca="false">Ratio!T17*T50</f>
        <v>0.0154567102237463</v>
      </c>
      <c r="U80" s="53" t="n">
        <f aca="false">Ratio!U17*U50</f>
        <v>0.0139203458223592</v>
      </c>
      <c r="V80" s="53" t="n">
        <f aca="false">Ratio!V17*V50</f>
        <v>0.0153108760520494</v>
      </c>
      <c r="W80" s="53" t="n">
        <f aca="false">Ratio!W17*W50</f>
        <v>0.0140338748537356</v>
      </c>
      <c r="X80" s="68" t="n">
        <f aca="false">Ratio!X17*X50</f>
        <v>0.0131441268863742</v>
      </c>
      <c r="Y80" s="67" t="n">
        <f aca="false">Ratio!Y17*Y50</f>
        <v>0.0162158814748855</v>
      </c>
      <c r="Z80" s="53" t="n">
        <f aca="false">Ratio!Z17*Z50</f>
        <v>0.0166851769774957</v>
      </c>
      <c r="AA80" s="53" t="n">
        <f aca="false">Ratio!AA17*AA50</f>
        <v>0.0171282114789288</v>
      </c>
      <c r="AB80" s="53" t="n">
        <f aca="false">Ratio!AB17*AB50</f>
        <v>0.019380619289013</v>
      </c>
      <c r="AC80" s="68" t="n">
        <f aca="false">Ratio!AC17*AC50</f>
        <v>0.0190166995360976</v>
      </c>
      <c r="AD80" s="67" t="n">
        <f aca="false">Ratio!AD17*AD50</f>
        <v>0.0168712237436484</v>
      </c>
      <c r="AE80" s="53" t="n">
        <f aca="false">Ratio!AE17*AE50</f>
        <v>0.0159461301437461</v>
      </c>
      <c r="AF80" s="53" t="n">
        <f aca="false">Ratio!AF17*AF50</f>
        <v>0.0167319445092175</v>
      </c>
      <c r="AG80" s="53" t="n">
        <f aca="false">Ratio!AG17*AG50</f>
        <v>0.0137418234860496</v>
      </c>
      <c r="AH80" s="53" t="n">
        <f aca="false">Ratio!AH17*AH50</f>
        <v>0.015249392185337</v>
      </c>
      <c r="AI80" s="68" t="n">
        <f aca="false">Ratio!AI17*AI50</f>
        <v>0.0247200154876417</v>
      </c>
      <c r="AJ80" s="67" t="n">
        <f aca="false">Ratio!AJ17*AJ50</f>
        <v>0.0215027479924647</v>
      </c>
      <c r="AK80" s="53" t="n">
        <f aca="false">Ratio!AK17*AK50</f>
        <v>0.0190234945375969</v>
      </c>
      <c r="AL80" s="63" t="n">
        <f aca="false">Ratio!AL17*AL50</f>
        <v>0.0210151465892147</v>
      </c>
      <c r="AM80" s="53" t="n">
        <f aca="false">Ratio!AM17*AM50</f>
        <v>0.016834346421163</v>
      </c>
      <c r="AN80" s="68" t="n">
        <f aca="false">Ratio!AN17*AN50</f>
        <v>0.0190917750632586</v>
      </c>
      <c r="AO80" s="67" t="n">
        <f aca="false">Ratio!AO17*AO50</f>
        <v>0.0176953382518613</v>
      </c>
      <c r="AP80" s="63" t="n">
        <f aca="false">Ratio!AP17*AP50</f>
        <v>0.0154412202710421</v>
      </c>
      <c r="AQ80" s="63" t="n">
        <f aca="false">Ratio!AQ17*AQ50</f>
        <v>0.0135753871706915</v>
      </c>
    </row>
    <row r="81" customFormat="false" ht="12.8" hidden="false" customHeight="false" outlineLevel="0" collapsed="false">
      <c r="A81" s="139" t="s">
        <v>190</v>
      </c>
      <c r="B81" s="65" t="n">
        <f aca="false">Ratio!B18*B51</f>
        <v>0.00335357998981986</v>
      </c>
      <c r="C81" s="65" t="n">
        <f aca="false">Ratio!C18*C51</f>
        <v>0.00344306944775121</v>
      </c>
      <c r="D81" s="53" t="n">
        <f aca="false">Ratio!D18*D51</f>
        <v>0.00339452225278952</v>
      </c>
      <c r="E81" s="53" t="n">
        <f aca="false">Ratio!E18*E51</f>
        <v>0.0035194699408084</v>
      </c>
      <c r="F81" s="53" t="n">
        <f aca="false">Ratio!F18*F51</f>
        <v>0.00367818914252741</v>
      </c>
      <c r="G81" s="53" t="n">
        <f aca="false">Ratio!G18*G51</f>
        <v>0.00385939175635169</v>
      </c>
      <c r="H81" s="53" t="n">
        <f aca="false">Ratio!H18*H51</f>
        <v>0.00415645319239397</v>
      </c>
      <c r="I81" s="68" t="n">
        <f aca="false">Ratio!I18*I51</f>
        <v>0.0043757730958301</v>
      </c>
      <c r="J81" s="67" t="n">
        <f aca="false">Ratio!J18*J51</f>
        <v>0.00391564519765616</v>
      </c>
      <c r="K81" s="94" t="n">
        <f aca="false">Ratio!K18*K51</f>
        <v>0.003942424461747</v>
      </c>
      <c r="L81" s="53" t="n">
        <f aca="false">Ratio!L18*L51</f>
        <v>0.00402926251196665</v>
      </c>
      <c r="M81" s="53" t="n">
        <f aca="false">Ratio!M18*M51</f>
        <v>0.0040336829665966</v>
      </c>
      <c r="N81" s="53" t="n">
        <f aca="false">Ratio!N18*N51</f>
        <v>0.00406940235314149</v>
      </c>
      <c r="O81" s="53" t="n">
        <f aca="false">Ratio!O18*O51</f>
        <v>0.00413995514933585</v>
      </c>
      <c r="P81" s="68" t="n">
        <f aca="false">Ratio!P18*P51</f>
        <v>0.00509544533190171</v>
      </c>
      <c r="Q81" s="67" t="n">
        <f aca="false">Ratio!Q18*Q51</f>
        <v>0.00529659023071449</v>
      </c>
      <c r="R81" s="53" t="n">
        <f aca="false">Ratio!R18*R51</f>
        <v>0.00581209231078584</v>
      </c>
      <c r="S81" s="53" t="n">
        <f aca="false">Ratio!S18*S51</f>
        <v>0.0056005974031941</v>
      </c>
      <c r="T81" s="53" t="n">
        <f aca="false">Ratio!T18*T51</f>
        <v>0.00549236769109654</v>
      </c>
      <c r="U81" s="53" t="n">
        <f aca="false">Ratio!U18*U51</f>
        <v>0.00547328890067011</v>
      </c>
      <c r="V81" s="53" t="n">
        <f aca="false">Ratio!V18*V51</f>
        <v>0.0070599587094961</v>
      </c>
      <c r="W81" s="53" t="n">
        <f aca="false">Ratio!W18*W51</f>
        <v>0.00732288543478569</v>
      </c>
      <c r="X81" s="68" t="n">
        <f aca="false">Ratio!X18*X51</f>
        <v>0.00685861434082716</v>
      </c>
      <c r="Y81" s="67" t="n">
        <f aca="false">Ratio!Y18*Y51</f>
        <v>0.00709710012994817</v>
      </c>
      <c r="Z81" s="53" t="n">
        <f aca="false">Ratio!Z18*Z51</f>
        <v>0.00788440561578941</v>
      </c>
      <c r="AA81" s="53" t="n">
        <f aca="false">Ratio!AA18*AA51</f>
        <v>0.00636001366377116</v>
      </c>
      <c r="AB81" s="53" t="n">
        <f aca="false">Ratio!AB18*AB51</f>
        <v>0.0070767985454369</v>
      </c>
      <c r="AC81" s="68" t="n">
        <f aca="false">Ratio!AC18*AC51</f>
        <v>0.00644303502257133</v>
      </c>
      <c r="AD81" s="67" t="n">
        <f aca="false">Ratio!AD18*AD51</f>
        <v>0.00617830549393421</v>
      </c>
      <c r="AE81" s="53" t="n">
        <f aca="false">Ratio!AE18*AE51</f>
        <v>0.00612119211085394</v>
      </c>
      <c r="AF81" s="53" t="n">
        <f aca="false">Ratio!AF18*AF51</f>
        <v>0.00609075055529029</v>
      </c>
      <c r="AG81" s="53" t="n">
        <f aca="false">Ratio!AG18*AG51</f>
        <v>0.00613854724946123</v>
      </c>
      <c r="AH81" s="53" t="n">
        <f aca="false">Ratio!AH18*AH51</f>
        <v>0.0101350658651972</v>
      </c>
      <c r="AI81" s="68" t="n">
        <f aca="false">Ratio!AI18*AI51</f>
        <v>0.00798046135793645</v>
      </c>
      <c r="AJ81" s="67" t="n">
        <f aca="false">Ratio!AJ18*AJ51</f>
        <v>0.00977838416851845</v>
      </c>
      <c r="AK81" s="53" t="n">
        <f aca="false">Ratio!AK18*AK51</f>
        <v>0.00953376036273743</v>
      </c>
      <c r="AL81" s="63" t="n">
        <f aca="false">Ratio!AL18*AL51</f>
        <v>0.0102171313605321</v>
      </c>
      <c r="AM81" s="53" t="n">
        <f aca="false">Ratio!AM18*AM51</f>
        <v>0.0112252123723296</v>
      </c>
      <c r="AN81" s="68" t="n">
        <f aca="false">Ratio!AN18*AN51</f>
        <v>0.0135498332609287</v>
      </c>
      <c r="AO81" s="67" t="n">
        <f aca="false">Ratio!AO18*AO51</f>
        <v>0.0150052928224302</v>
      </c>
      <c r="AP81" s="63" t="n">
        <f aca="false">Ratio!AP18*AP51</f>
        <v>0.0150945150040063</v>
      </c>
      <c r="AQ81" s="63" t="n">
        <f aca="false">Ratio!AQ18*AQ51</f>
        <v>0.0141308699085479</v>
      </c>
    </row>
    <row r="82" customFormat="false" ht="12.8" hidden="false" customHeight="false" outlineLevel="0" collapsed="false">
      <c r="A82" s="139" t="s">
        <v>26</v>
      </c>
      <c r="B82" s="65" t="n">
        <f aca="false">Ratio!B19*B52</f>
        <v>0.00700878691969102</v>
      </c>
      <c r="C82" s="65" t="n">
        <f aca="false">Ratio!C19*C52</f>
        <v>0.0078814160553418</v>
      </c>
      <c r="D82" s="53" t="n">
        <f aca="false">Ratio!D19*D52</f>
        <v>0.00657007316845402</v>
      </c>
      <c r="E82" s="53" t="n">
        <f aca="false">Ratio!E19*E52</f>
        <v>0.0068987356790915</v>
      </c>
      <c r="F82" s="53" t="n">
        <f aca="false">Ratio!F19*F52</f>
        <v>0.00675220198181418</v>
      </c>
      <c r="G82" s="53" t="n">
        <f aca="false">Ratio!G19*G52</f>
        <v>0.00669782302760217</v>
      </c>
      <c r="H82" s="53" t="n">
        <f aca="false">Ratio!H19*H52</f>
        <v>0.00653327763319587</v>
      </c>
      <c r="I82" s="68" t="n">
        <f aca="false">Ratio!I19*I52</f>
        <v>0.00638315649247374</v>
      </c>
      <c r="J82" s="67" t="n">
        <f aca="false">Ratio!J19*J52</f>
        <v>0.00619268310295784</v>
      </c>
      <c r="K82" s="94" t="n">
        <f aca="false">Ratio!K19*K52</f>
        <v>0.00837781319439646</v>
      </c>
      <c r="L82" s="53" t="n">
        <f aca="false">Ratio!L19*L52</f>
        <v>0.00807100788867628</v>
      </c>
      <c r="M82" s="53" t="n">
        <f aca="false">Ratio!M19*M52</f>
        <v>0.00637936255432024</v>
      </c>
      <c r="N82" s="53" t="n">
        <f aca="false">Ratio!N19*N52</f>
        <v>0.00643585358717402</v>
      </c>
      <c r="O82" s="53" t="n">
        <f aca="false">Ratio!O19*O52</f>
        <v>0.00653677921155987</v>
      </c>
      <c r="P82" s="68" t="n">
        <f aca="false">Ratio!P19*P52</f>
        <v>0.00816347179387024</v>
      </c>
      <c r="Q82" s="67" t="n">
        <f aca="false">Ratio!Q19*Q52</f>
        <v>0.00741233393256388</v>
      </c>
      <c r="R82" s="53" t="n">
        <f aca="false">Ratio!R19*R52</f>
        <v>0.00943645877253487</v>
      </c>
      <c r="S82" s="53" t="n">
        <f aca="false">Ratio!S19*S52</f>
        <v>0.00909197545877132</v>
      </c>
      <c r="T82" s="53" t="n">
        <f aca="false">Ratio!T19*T52</f>
        <v>0.0110109866892179</v>
      </c>
      <c r="U82" s="53" t="n">
        <f aca="false">Ratio!U19*U52</f>
        <v>0.0110965391053517</v>
      </c>
      <c r="V82" s="53" t="n">
        <f aca="false">Ratio!V19*V52</f>
        <v>0.0110650900135116</v>
      </c>
      <c r="W82" s="53" t="n">
        <f aca="false">Ratio!W19*W52</f>
        <v>0.0114771756930459</v>
      </c>
      <c r="X82" s="68" t="n">
        <f aca="false">Ratio!X19*X52</f>
        <v>0.0129487602975699</v>
      </c>
      <c r="Y82" s="67" t="n">
        <f aca="false">Ratio!Y19*Y52</f>
        <v>0.0118304982108902</v>
      </c>
      <c r="Z82" s="53" t="n">
        <f aca="false">Ratio!Z19*Z52</f>
        <v>0.0117259020416775</v>
      </c>
      <c r="AA82" s="53" t="n">
        <f aca="false">Ratio!AA19*AA52</f>
        <v>0.0114131248594139</v>
      </c>
      <c r="AB82" s="53" t="n">
        <f aca="false">Ratio!AB19*AB52</f>
        <v>0.0140019050027067</v>
      </c>
      <c r="AC82" s="68" t="n">
        <f aca="false">Ratio!AC19*AC52</f>
        <v>0.0129787330217906</v>
      </c>
      <c r="AD82" s="67" t="n">
        <f aca="false">Ratio!AD19*AD52</f>
        <v>0.0127419992354464</v>
      </c>
      <c r="AE82" s="53" t="n">
        <f aca="false">Ratio!AE19*AE52</f>
        <v>0.0133506148216913</v>
      </c>
      <c r="AF82" s="53" t="n">
        <f aca="false">Ratio!AF19*AF52</f>
        <v>0.01180495547696</v>
      </c>
      <c r="AG82" s="53" t="n">
        <f aca="false">Ratio!AG19*AG52</f>
        <v>0.0112511957836197</v>
      </c>
      <c r="AH82" s="53" t="n">
        <f aca="false">Ratio!AH19*AH52</f>
        <v>0.0091543042071392</v>
      </c>
      <c r="AI82" s="68" t="n">
        <f aca="false">Ratio!AI19*AI52</f>
        <v>0.0141009675605111</v>
      </c>
      <c r="AJ82" s="67" t="n">
        <f aca="false">Ratio!AJ19*AJ52</f>
        <v>0.0136596177229948</v>
      </c>
      <c r="AK82" s="53" t="n">
        <f aca="false">Ratio!AK19*AK52</f>
        <v>0.0105057260497103</v>
      </c>
      <c r="AL82" s="63" t="n">
        <f aca="false">Ratio!AL19*AL52</f>
        <v>0.00989499048237461</v>
      </c>
      <c r="AM82" s="53" t="n">
        <f aca="false">Ratio!AM19*AM52</f>
        <v>0.00920162621835948</v>
      </c>
      <c r="AN82" s="68" t="n">
        <f aca="false">Ratio!AN19*AN52</f>
        <v>0.0120789692968758</v>
      </c>
      <c r="AO82" s="67" t="n">
        <f aca="false">Ratio!AO19*AO52</f>
        <v>0.00816634235718767</v>
      </c>
      <c r="AP82" s="63" t="n">
        <f aca="false">Ratio!AP19*AP52</f>
        <v>0.0104688169568456</v>
      </c>
      <c r="AQ82" s="63" t="n">
        <f aca="false">Ratio!AQ19*AQ52</f>
        <v>0.00950065041656283</v>
      </c>
    </row>
    <row r="83" customFormat="false" ht="12.8" hidden="false" customHeight="false" outlineLevel="0" collapsed="false">
      <c r="A83" s="139" t="s">
        <v>191</v>
      </c>
      <c r="B83" s="65" t="n">
        <f aca="false">Ratio!B20*B53</f>
        <v>0.0646622967082913</v>
      </c>
      <c r="C83" s="65" t="n">
        <f aca="false">Ratio!C20*C53</f>
        <v>0.0788642345340054</v>
      </c>
      <c r="D83" s="53" t="n">
        <f aca="false">Ratio!D20*D53</f>
        <v>0.0777522507568767</v>
      </c>
      <c r="E83" s="53" t="n">
        <f aca="false">Ratio!E20*E53</f>
        <v>0.0763070652949198</v>
      </c>
      <c r="F83" s="53" t="n">
        <f aca="false">Ratio!F20*F53</f>
        <v>0.081367535083542</v>
      </c>
      <c r="G83" s="53" t="n">
        <f aca="false">Ratio!G20*G53</f>
        <v>0.0796580963999557</v>
      </c>
      <c r="H83" s="53" t="n">
        <f aca="false">Ratio!H20*H53</f>
        <v>0.0756197383128599</v>
      </c>
      <c r="I83" s="68" t="n">
        <f aca="false">Ratio!I20*I53</f>
        <v>0.079609898417391</v>
      </c>
      <c r="J83" s="67" t="n">
        <f aca="false">Ratio!J20*J53</f>
        <v>0.24077151820511</v>
      </c>
      <c r="K83" s="94" t="n">
        <f aca="false">Ratio!K20*K53</f>
        <v>0.260757444892133</v>
      </c>
      <c r="L83" s="53" t="n">
        <f aca="false">Ratio!L20*L53</f>
        <v>0.266501034481331</v>
      </c>
      <c r="M83" s="53" t="n">
        <f aca="false">Ratio!M20*M53</f>
        <v>0.266793409507347</v>
      </c>
      <c r="N83" s="53" t="n">
        <f aca="false">Ratio!N20*N53</f>
        <v>0.2674222503413</v>
      </c>
      <c r="O83" s="53" t="n">
        <f aca="false">Ratio!O20*O53</f>
        <v>0.275669240805186</v>
      </c>
      <c r="P83" s="68" t="n">
        <f aca="false">Ratio!P20*P53</f>
        <v>0.190109097832334</v>
      </c>
      <c r="Q83" s="67" t="n">
        <f aca="false">Ratio!Q20*Q53</f>
        <v>0.224371451672708</v>
      </c>
      <c r="R83" s="53" t="n">
        <f aca="false">Ratio!R20*R53</f>
        <v>0.190393215750511</v>
      </c>
      <c r="S83" s="53" t="n">
        <f aca="false">Ratio!S20*S53</f>
        <v>0.18555272251353</v>
      </c>
      <c r="T83" s="53" t="n">
        <f aca="false">Ratio!T20*T53</f>
        <v>0.178842374374709</v>
      </c>
      <c r="U83" s="53" t="n">
        <f aca="false">Ratio!U20*U53</f>
        <v>0.181880052826515</v>
      </c>
      <c r="V83" s="53" t="n">
        <f aca="false">Ratio!V20*V53</f>
        <v>0.179543392437226</v>
      </c>
      <c r="W83" s="53" t="n">
        <f aca="false">Ratio!W20*W53</f>
        <v>0.102457339560538</v>
      </c>
      <c r="X83" s="68" t="n">
        <f aca="false">Ratio!X20*X53</f>
        <v>0.0959615420302517</v>
      </c>
      <c r="Y83" s="67" t="n">
        <f aca="false">Ratio!Y20*Y53</f>
        <v>0.103269106170733</v>
      </c>
      <c r="Z83" s="53" t="n">
        <f aca="false">Ratio!Z20*Z53</f>
        <v>0.0978877542810899</v>
      </c>
      <c r="AA83" s="53" t="n">
        <f aca="false">Ratio!AA20*AA53</f>
        <v>0.0969980070441704</v>
      </c>
      <c r="AB83" s="53" t="n">
        <f aca="false">Ratio!AB20*AB53</f>
        <v>0.0892033986013776</v>
      </c>
      <c r="AC83" s="68" t="n">
        <f aca="false">Ratio!AC20*AC53</f>
        <v>0.0825947574867884</v>
      </c>
      <c r="AD83" s="67" t="n">
        <f aca="false">Ratio!AD20*AD53</f>
        <v>0.0318955101105786</v>
      </c>
      <c r="AE83" s="53" t="n">
        <f aca="false">Ratio!AE20*AE53</f>
        <v>0.0345266719047569</v>
      </c>
      <c r="AF83" s="53" t="n">
        <f aca="false">Ratio!AF20*AF53</f>
        <v>0.0304605602866093</v>
      </c>
      <c r="AG83" s="53" t="n">
        <f aca="false">Ratio!AG20*AG53</f>
        <v>0.0185580933074537</v>
      </c>
      <c r="AH83" s="53" t="n">
        <f aca="false">Ratio!AH20*AH53</f>
        <v>0.0349328107278629</v>
      </c>
      <c r="AI83" s="68" t="n">
        <f aca="false">Ratio!AI20*AI53</f>
        <v>0.0349804503945361</v>
      </c>
      <c r="AJ83" s="67" t="n">
        <f aca="false">Ratio!AJ20*AJ53</f>
        <v>0.0381372077090876</v>
      </c>
      <c r="AK83" s="53" t="n">
        <f aca="false">Ratio!AK20*AK53</f>
        <v>0.043620070338735</v>
      </c>
      <c r="AL83" s="63" t="n">
        <f aca="false">Ratio!AL20*AL53</f>
        <v>0.0431677990403385</v>
      </c>
      <c r="AM83" s="53" t="n">
        <f aca="false">Ratio!AM20*AM53</f>
        <v>0.0468274877116723</v>
      </c>
      <c r="AN83" s="68" t="n">
        <f aca="false">Ratio!AN20*AN53</f>
        <v>0.0354696517571704</v>
      </c>
      <c r="AO83" s="67" t="n">
        <f aca="false">Ratio!AO20*AO53</f>
        <v>0.038864145807303</v>
      </c>
      <c r="AP83" s="63" t="n">
        <f aca="false">Ratio!AP20*AP53</f>
        <v>0.0384603103746097</v>
      </c>
      <c r="AQ83" s="63" t="n">
        <f aca="false">Ratio!AQ20*AQ53</f>
        <v>0.0376233764002888</v>
      </c>
    </row>
    <row r="84" customFormat="false" ht="12.8" hidden="false" customHeight="false" outlineLevel="0" collapsed="false">
      <c r="A84" s="139" t="s">
        <v>192</v>
      </c>
      <c r="B84" s="65" t="n">
        <f aca="false">Ratio!B21*B54</f>
        <v>0.000761819413130178</v>
      </c>
      <c r="C84" s="65" t="n">
        <f aca="false">Ratio!C21*C54</f>
        <v>0.000781665834636204</v>
      </c>
      <c r="D84" s="53" t="n">
        <f aca="false">Ratio!D21*D54</f>
        <v>0.000770644365495127</v>
      </c>
      <c r="E84" s="53" t="n">
        <f aca="false">Ratio!E21*E54</f>
        <v>0.000799010722991905</v>
      </c>
      <c r="F84" s="53" t="n">
        <f aca="false">Ratio!F21*F54</f>
        <v>0.000835044087745993</v>
      </c>
      <c r="G84" s="53" t="n">
        <f aca="false">Ratio!G21*G54</f>
        <v>0.000835609020406718</v>
      </c>
      <c r="H84" s="53" t="n">
        <f aca="false">Ratio!H21*H54</f>
        <v>0.000769069968207601</v>
      </c>
      <c r="I84" s="68" t="n">
        <f aca="false">Ratio!I21*I54</f>
        <v>0.000838766804189442</v>
      </c>
      <c r="J84" s="67" t="n">
        <f aca="false">Ratio!J21*J54</f>
        <v>0.000918633917202294</v>
      </c>
      <c r="K84" s="94" t="n">
        <f aca="false">Ratio!K21*K54</f>
        <v>0.000925384409400521</v>
      </c>
      <c r="L84" s="53" t="n">
        <f aca="false">Ratio!L21*L54</f>
        <v>0.000945657075181232</v>
      </c>
      <c r="M84" s="53" t="n">
        <f aca="false">Ratio!M21*M54</f>
        <v>0.000946694543994425</v>
      </c>
      <c r="N84" s="53" t="n">
        <f aca="false">Ratio!N21*N54</f>
        <v>0.000955077787952094</v>
      </c>
      <c r="O84" s="53" t="n">
        <f aca="false">Ratio!O21*O54</f>
        <v>0.000978189703783401</v>
      </c>
      <c r="P84" s="68" t="n">
        <f aca="false">Ratio!P21*P54</f>
        <v>0.0010476752198081</v>
      </c>
      <c r="Q84" s="67" t="n">
        <f aca="false">Ratio!Q21*Q54</f>
        <v>0.00108698077575466</v>
      </c>
      <c r="R84" s="53" t="n">
        <f aca="false">Ratio!R21*R54</f>
        <v>0.00116444369089089</v>
      </c>
      <c r="S84" s="53" t="n">
        <f aca="false">Ratio!S21*S54</f>
        <v>0.00112193500929768</v>
      </c>
      <c r="T84" s="53" t="n">
        <f aca="false">Ratio!T21*T54</f>
        <v>0.00116222816503049</v>
      </c>
      <c r="U84" s="53" t="n">
        <f aca="false">Ratio!U21*U54</f>
        <v>0.00160205289359942</v>
      </c>
      <c r="V84" s="53" t="n">
        <f aca="false">Ratio!V21*V54</f>
        <v>0.00179118024636677</v>
      </c>
      <c r="W84" s="53" t="n">
        <f aca="false">Ratio!W21*W54</f>
        <v>0.0018578873159063</v>
      </c>
      <c r="X84" s="68" t="n">
        <f aca="false">Ratio!X21*X54</f>
        <v>0.00174009722014568</v>
      </c>
      <c r="Y84" s="67" t="n">
        <f aca="false">Ratio!Y21*Y54</f>
        <v>0.00182283444290069</v>
      </c>
      <c r="Z84" s="53" t="n">
        <f aca="false">Ratio!Z21*Z54</f>
        <v>0.00207561327137892</v>
      </c>
      <c r="AA84" s="53" t="n">
        <f aca="false">Ratio!AA21*AA54</f>
        <v>0.0020202482795699</v>
      </c>
      <c r="AB84" s="53" t="n">
        <f aca="false">Ratio!AB21*AB54</f>
        <v>0.00254093268860335</v>
      </c>
      <c r="AC84" s="68" t="n">
        <f aca="false">Ratio!AC21*AC54</f>
        <v>0.00240006186292747</v>
      </c>
      <c r="AD84" s="67" t="n">
        <f aca="false">Ratio!AD21*AD54</f>
        <v>0.00202414073251742</v>
      </c>
      <c r="AE84" s="53" t="n">
        <f aca="false">Ratio!AE21*AE54</f>
        <v>0.00207462524515952</v>
      </c>
      <c r="AF84" s="53" t="n">
        <f aca="false">Ratio!AF21*AF54</f>
        <v>0.00213254483648981</v>
      </c>
      <c r="AG84" s="53" t="n">
        <f aca="false">Ratio!AG21*AG54</f>
        <v>0.00209999355735815</v>
      </c>
      <c r="AH84" s="53" t="n">
        <f aca="false">Ratio!AH21*AH54</f>
        <v>0.00201595258651102</v>
      </c>
      <c r="AI84" s="68" t="n">
        <f aca="false">Ratio!AI21*AI54</f>
        <v>0.00304149612800365</v>
      </c>
      <c r="AJ84" s="67" t="n">
        <f aca="false">Ratio!AJ21*AJ54</f>
        <v>0.00317271698542882</v>
      </c>
      <c r="AK84" s="53" t="n">
        <f aca="false">Ratio!AK21*AK54</f>
        <v>0.00346922490496445</v>
      </c>
      <c r="AL84" s="63" t="n">
        <f aca="false">Ratio!AL21*AL54</f>
        <v>0.00357785903173086</v>
      </c>
      <c r="AM84" s="53" t="n">
        <f aca="false">Ratio!AM21*AM54</f>
        <v>0.00393410479726945</v>
      </c>
      <c r="AN84" s="68" t="n">
        <f aca="false">Ratio!AN21*AN54</f>
        <v>0.00407149008748964</v>
      </c>
      <c r="AO84" s="67" t="n">
        <f aca="false">Ratio!AO21*AO54</f>
        <v>0.00336513942766522</v>
      </c>
      <c r="AP84" s="63" t="n">
        <f aca="false">Ratio!AP21*AP54</f>
        <v>0.00283898502284781</v>
      </c>
      <c r="AQ84" s="63" t="n">
        <f aca="false">Ratio!AQ21*AQ54</f>
        <v>0.00274437569825888</v>
      </c>
    </row>
    <row r="85" customFormat="false" ht="12.8" hidden="false" customHeight="false" outlineLevel="0" collapsed="false">
      <c r="A85" s="139" t="s">
        <v>193</v>
      </c>
      <c r="B85" s="65" t="n">
        <f aca="false">Ratio!B22*B55</f>
        <v>0.00274965038829182</v>
      </c>
      <c r="C85" s="65" t="n">
        <f aca="false">Ratio!C22*C55</f>
        <v>0.00282138783466363</v>
      </c>
      <c r="D85" s="53" t="n">
        <f aca="false">Ratio!D22*D55</f>
        <v>0.00278160633523398</v>
      </c>
      <c r="E85" s="53" t="n">
        <f aca="false">Ratio!E22*E55</f>
        <v>0.00288399343264674</v>
      </c>
      <c r="F85" s="53" t="n">
        <f aca="false">Ratio!F22*F55</f>
        <v>0.00301405424950015</v>
      </c>
      <c r="G85" s="53" t="n">
        <f aca="false">Ratio!G22*G55</f>
        <v>0.00339987326840121</v>
      </c>
      <c r="H85" s="53" t="n">
        <f aca="false">Ratio!H22*H55</f>
        <v>0.00391050422083239</v>
      </c>
      <c r="I85" s="68" t="n">
        <f aca="false">Ratio!I22*I55</f>
        <v>0.0041168463515868</v>
      </c>
      <c r="J85" s="67" t="n">
        <f aca="false">Ratio!J22*J55</f>
        <v>0.00450885117483022</v>
      </c>
      <c r="K85" s="94" t="n">
        <f aca="false">Ratio!K22*K55</f>
        <v>0.00453968739983582</v>
      </c>
      <c r="L85" s="53" t="n">
        <f aca="false">Ratio!L22*L55</f>
        <v>0.00463968109818909</v>
      </c>
      <c r="M85" s="53" t="n">
        <f aca="false">Ratio!M22*M55</f>
        <v>0.00464477123558547</v>
      </c>
      <c r="N85" s="53" t="n">
        <f aca="false">Ratio!N22*N55</f>
        <v>0.00468590197901532</v>
      </c>
      <c r="O85" s="53" t="n">
        <f aca="false">Ratio!O22*O55</f>
        <v>0.00479929606429185</v>
      </c>
      <c r="P85" s="68" t="n">
        <f aca="false">Ratio!P22*P55</f>
        <v>0.00510136658383523</v>
      </c>
      <c r="Q85" s="67" t="n">
        <f aca="false">Ratio!Q22*Q55</f>
        <v>0.00499834595778874</v>
      </c>
      <c r="R85" s="53" t="n">
        <f aca="false">Ratio!R22*R55</f>
        <v>0.00515806915797649</v>
      </c>
      <c r="S85" s="53" t="n">
        <f aca="false">Ratio!S22*S55</f>
        <v>0.00496977089917066</v>
      </c>
      <c r="T85" s="53" t="n">
        <f aca="false">Ratio!T22*T55</f>
        <v>0.00487373170283398</v>
      </c>
      <c r="U85" s="53" t="n">
        <f aca="false">Ratio!U22*U55</f>
        <v>0.00430308946495083</v>
      </c>
      <c r="V85" s="53" t="n">
        <f aca="false">Ratio!V22*V55</f>
        <v>0.0044152835148115</v>
      </c>
      <c r="W85" s="53" t="n">
        <f aca="false">Ratio!W22*W55</f>
        <v>0.00457971734276194</v>
      </c>
      <c r="X85" s="68" t="n">
        <f aca="false">Ratio!X22*X55</f>
        <v>0.00428936316479751</v>
      </c>
      <c r="Y85" s="67" t="n">
        <f aca="false">Ratio!Y22*Y55</f>
        <v>0.00444091185052824</v>
      </c>
      <c r="Z85" s="53" t="n">
        <f aca="false">Ratio!Z22*Z55</f>
        <v>0.0058425336428558</v>
      </c>
      <c r="AA85" s="53" t="n">
        <f aca="false">Ratio!AA22*AA55</f>
        <v>0.00568668966568477</v>
      </c>
      <c r="AB85" s="53" t="n">
        <f aca="false">Ratio!AB22*AB55</f>
        <v>0.00632795655414541</v>
      </c>
      <c r="AC85" s="68" t="n">
        <f aca="false">Ratio!AC22*AC55</f>
        <v>0.00634466506813959</v>
      </c>
      <c r="AD85" s="67" t="n">
        <f aca="false">Ratio!AD22*AD55</f>
        <v>0.00664963638503423</v>
      </c>
      <c r="AE85" s="53" t="n">
        <f aca="false">Ratio!AE22*AE55</f>
        <v>0.0116831734722369</v>
      </c>
      <c r="AF85" s="53" t="n">
        <f aca="false">Ratio!AF22*AF55</f>
        <v>0.0116250713953908</v>
      </c>
      <c r="AG85" s="53" t="n">
        <f aca="false">Ratio!AG22*AG55</f>
        <v>0.0124298208076477</v>
      </c>
      <c r="AH85" s="53" t="n">
        <f aca="false">Ratio!AH22*AH55</f>
        <v>0.0133914826289121</v>
      </c>
      <c r="AI85" s="68" t="n">
        <f aca="false">Ratio!AI22*AI55</f>
        <v>0.0105445994201668</v>
      </c>
      <c r="AJ85" s="67" t="n">
        <f aca="false">Ratio!AJ22*AJ55</f>
        <v>0.00970741509575209</v>
      </c>
      <c r="AK85" s="53" t="n">
        <f aca="false">Ratio!AK22*AK55</f>
        <v>0.0101970431898922</v>
      </c>
      <c r="AL85" s="63" t="n">
        <f aca="false">Ratio!AL22*AL55</f>
        <v>0.0105163499263762</v>
      </c>
      <c r="AM85" s="53" t="n">
        <f aca="false">Ratio!AM22*AM55</f>
        <v>0.0103712665827554</v>
      </c>
      <c r="AN85" s="68" t="n">
        <f aca="false">Ratio!AN22*AN55</f>
        <v>0.010750790837872</v>
      </c>
      <c r="AO85" s="67" t="n">
        <f aca="false">Ratio!AO22*AO55</f>
        <v>0.0118866262651358</v>
      </c>
      <c r="AP85" s="63" t="n">
        <f aca="false">Ratio!AP22*AP55</f>
        <v>0.0117117183420435</v>
      </c>
      <c r="AQ85" s="63" t="n">
        <f aca="false">Ratio!AQ22*AQ55</f>
        <v>0.0119871637291536</v>
      </c>
    </row>
    <row r="86" customFormat="false" ht="12.8" hidden="false" customHeight="false" outlineLevel="0" collapsed="false">
      <c r="A86" s="139" t="s">
        <v>194</v>
      </c>
      <c r="B86" s="65" t="n">
        <f aca="false">Ratio!B23*B56</f>
        <v>0.00274947616963147</v>
      </c>
      <c r="C86" s="65" t="n">
        <f aca="false">Ratio!C23*C56</f>
        <v>0.0028212090706975</v>
      </c>
      <c r="D86" s="53" t="n">
        <f aca="false">Ratio!D23*D56</f>
        <v>0.0027814300918354</v>
      </c>
      <c r="E86" s="53" t="n">
        <f aca="false">Ratio!E23*E56</f>
        <v>0.00288381070197145</v>
      </c>
      <c r="F86" s="53" t="n">
        <f aca="false">Ratio!F23*F56</f>
        <v>0.00321559823787778</v>
      </c>
      <c r="G86" s="53" t="n">
        <f aca="false">Ratio!G23*G56</f>
        <v>0.0034134735252891</v>
      </c>
      <c r="H86" s="53" t="n">
        <f aca="false">Ratio!H23*H56</f>
        <v>0.00343061702887478</v>
      </c>
      <c r="I86" s="68" t="n">
        <f aca="false">Ratio!I23*I56</f>
        <v>0.00321073334217906</v>
      </c>
      <c r="J86" s="67" t="n">
        <f aca="false">Ratio!J23*J56</f>
        <v>0.00351645836779181</v>
      </c>
      <c r="K86" s="94" t="n">
        <f aca="false">Ratio!K23*K56</f>
        <v>0.00333726795755539</v>
      </c>
      <c r="L86" s="53" t="n">
        <f aca="false">Ratio!L23*L56</f>
        <v>0.00341077649153152</v>
      </c>
      <c r="M86" s="53" t="n">
        <f aca="false">Ratio!M23*M56</f>
        <v>0.00341451841271162</v>
      </c>
      <c r="N86" s="53" t="n">
        <f aca="false">Ratio!N23*N56</f>
        <v>0.00344475492461855</v>
      </c>
      <c r="O86" s="53" t="n">
        <f aca="false">Ratio!O23*O56</f>
        <v>0.00352811450734739</v>
      </c>
      <c r="P86" s="68" t="n">
        <f aca="false">Ratio!P23*P56</f>
        <v>0.00348014847678388</v>
      </c>
      <c r="Q86" s="67" t="n">
        <f aca="false">Ratio!Q23*Q56</f>
        <v>0.00361752883661886</v>
      </c>
      <c r="R86" s="53" t="n">
        <f aca="false">Ratio!R23*R56</f>
        <v>0.00373312773422135</v>
      </c>
      <c r="S86" s="53" t="n">
        <f aca="false">Ratio!S23*S56</f>
        <v>0.00359684777543744</v>
      </c>
      <c r="T86" s="53" t="n">
        <f aca="false">Ratio!T23*T56</f>
        <v>0.00352733986919651</v>
      </c>
      <c r="U86" s="53" t="n">
        <f aca="false">Ratio!U23*U56</f>
        <v>0.00348170857031365</v>
      </c>
      <c r="V86" s="53" t="n">
        <f aca="false">Ratio!V23*V56</f>
        <v>0.00357248683279687</v>
      </c>
      <c r="W86" s="53" t="n">
        <f aca="false">Ratio!W23*W56</f>
        <v>0.00370553325739197</v>
      </c>
      <c r="X86" s="68" t="n">
        <f aca="false">Ratio!X23*X56</f>
        <v>0.0034706023692291</v>
      </c>
      <c r="Y86" s="67" t="n">
        <f aca="false">Ratio!Y23*Y56</f>
        <v>0.00359322318904385</v>
      </c>
      <c r="Z86" s="53" t="n">
        <f aca="false">Ratio!Z23*Z56</f>
        <v>0.00380284215562679</v>
      </c>
      <c r="AA86" s="53" t="n">
        <f aca="false">Ratio!AA23*AA56</f>
        <v>0.00370140499115087</v>
      </c>
      <c r="AB86" s="53" t="n">
        <f aca="false">Ratio!AB23*AB56</f>
        <v>0.00533661188794292</v>
      </c>
      <c r="AC86" s="68" t="n">
        <f aca="false">Ratio!AC23*AC56</f>
        <v>0.00593478085346203</v>
      </c>
      <c r="AD86" s="67" t="n">
        <f aca="false">Ratio!AD23*AD56</f>
        <v>0.00622005011715417</v>
      </c>
      <c r="AE86" s="53" t="n">
        <f aca="false">Ratio!AE23*AE56</f>
        <v>0.00530071897842103</v>
      </c>
      <c r="AF86" s="53" t="n">
        <f aca="false">Ratio!AF23*AF56</f>
        <v>0.00527435775198234</v>
      </c>
      <c r="AG86" s="53" t="n">
        <f aca="false">Ratio!AG23*AG56</f>
        <v>0.00563947691182025</v>
      </c>
      <c r="AH86" s="53" t="n">
        <f aca="false">Ratio!AH23*AH56</f>
        <v>0.00622430415675032</v>
      </c>
      <c r="AI86" s="68" t="n">
        <f aca="false">Ratio!AI23*AI56</f>
        <v>0.0049010849523495</v>
      </c>
      <c r="AJ86" s="67" t="n">
        <f aca="false">Ratio!AJ23*AJ56</f>
        <v>0.00511253502254341</v>
      </c>
      <c r="AK86" s="53" t="n">
        <f aca="false">Ratio!AK23*AK56</f>
        <v>0.00537040395620092</v>
      </c>
      <c r="AL86" s="63" t="n">
        <f aca="false">Ratio!AL23*AL56</f>
        <v>0.00553857095607743</v>
      </c>
      <c r="AM86" s="53" t="n">
        <f aca="false">Ratio!AM23*AM56</f>
        <v>0.0058399021494657</v>
      </c>
      <c r="AN86" s="68" t="n">
        <f aca="false">Ratio!AN23*AN56</f>
        <v>0.00634416929040993</v>
      </c>
      <c r="AO86" s="67" t="n">
        <f aca="false">Ratio!AO23*AO56</f>
        <v>0.00778156367575949</v>
      </c>
      <c r="AP86" s="63" t="n">
        <f aca="false">Ratio!AP23*AP56</f>
        <v>0.00766706044241321</v>
      </c>
      <c r="AQ86" s="63" t="n">
        <f aca="false">Ratio!AQ23*AQ56</f>
        <v>0.00783726452796522</v>
      </c>
    </row>
    <row r="87" customFormat="false" ht="12.8" hidden="false" customHeight="false" outlineLevel="0" collapsed="false">
      <c r="A87" s="139" t="s">
        <v>195</v>
      </c>
      <c r="B87" s="65" t="n">
        <f aca="false">Ratio!B24*B57</f>
        <v>0.000698435048779267</v>
      </c>
      <c r="C87" s="65" t="n">
        <f aca="false">Ratio!C24*C57</f>
        <v>0.000701856971307939</v>
      </c>
      <c r="D87" s="53" t="n">
        <f aca="false">Ratio!D24*D57</f>
        <v>0.000691960805186875</v>
      </c>
      <c r="E87" s="53" t="n">
        <f aca="false">Ratio!E24*E57</f>
        <v>0.00071585518163447</v>
      </c>
      <c r="F87" s="53" t="n">
        <f aca="false">Ratio!F24*F57</f>
        <v>0.00090508293133804</v>
      </c>
      <c r="G87" s="53" t="n">
        <f aca="false">Ratio!G24*G57</f>
        <v>0.000795765089284525</v>
      </c>
      <c r="H87" s="53" t="n">
        <f aca="false">Ratio!H24*H57</f>
        <v>0.00070982910746468</v>
      </c>
      <c r="I87" s="68" t="n">
        <f aca="false">Ratio!I24*I57</f>
        <v>0.00074758297806737</v>
      </c>
      <c r="J87" s="67" t="n">
        <f aca="false">Ratio!J24*J57</f>
        <v>0.000937032169908469</v>
      </c>
      <c r="K87" s="94" t="n">
        <f aca="false">Ratio!K24*K57</f>
        <v>0.000970077586072365</v>
      </c>
      <c r="L87" s="53" t="n">
        <f aca="false">Ratio!L24*L57</f>
        <v>0.000991445058538529</v>
      </c>
      <c r="M87" s="53" t="n">
        <f aca="false">Ratio!M24*M57</f>
        <v>0.000992532760788344</v>
      </c>
      <c r="N87" s="53" t="n">
        <f aca="false">Ratio!N24*N57</f>
        <v>0.00100132191492729</v>
      </c>
      <c r="O87" s="53" t="n">
        <f aca="false">Ratio!O24*O57</f>
        <v>0.00105410520428241</v>
      </c>
      <c r="P87" s="68" t="n">
        <f aca="false">Ratio!P24*P57</f>
        <v>0.00134303091706839</v>
      </c>
      <c r="Q87" s="67" t="n">
        <f aca="false">Ratio!Q24*Q57</f>
        <v>0.00171725397413438</v>
      </c>
      <c r="R87" s="53" t="n">
        <f aca="false">Ratio!R24*R57</f>
        <v>0.00177212918737497</v>
      </c>
      <c r="S87" s="53" t="n">
        <f aca="false">Ratio!S24*S57</f>
        <v>0.00170743659986949</v>
      </c>
      <c r="T87" s="53" t="n">
        <f aca="false">Ratio!T24*T57</f>
        <v>0.00167444094631236</v>
      </c>
      <c r="U87" s="53" t="n">
        <f aca="false">Ratio!U24*U57</f>
        <v>0.00187681217992885</v>
      </c>
      <c r="V87" s="53" t="n">
        <f aca="false">Ratio!V24*V57</f>
        <v>0.00192574612866711</v>
      </c>
      <c r="W87" s="53" t="n">
        <f aca="false">Ratio!W24*W57</f>
        <v>0.00199746469589733</v>
      </c>
      <c r="X87" s="68" t="n">
        <f aca="false">Ratio!X24*X57</f>
        <v>0.00187082539124529</v>
      </c>
      <c r="Y87" s="67" t="n">
        <f aca="false">Ratio!Y24*Y57</f>
        <v>0.00193692404467752</v>
      </c>
      <c r="Z87" s="53" t="n">
        <f aca="false">Ratio!Z24*Z57</f>
        <v>0.00253151408263116</v>
      </c>
      <c r="AA87" s="53" t="n">
        <f aca="false">Ratio!AA24*AA57</f>
        <v>0.00246398837426248</v>
      </c>
      <c r="AB87" s="53" t="n">
        <f aca="false">Ratio!AB24*AB57</f>
        <v>0.00274103098108532</v>
      </c>
      <c r="AC87" s="68" t="n">
        <f aca="false">Ratio!AC24*AC57</f>
        <v>0.00285207023373076</v>
      </c>
      <c r="AD87" s="67" t="n">
        <f aca="false">Ratio!AD24*AD57</f>
        <v>0.00298916172803589</v>
      </c>
      <c r="AE87" s="53" t="n">
        <f aca="false">Ratio!AE24*AE57</f>
        <v>0.0035204122404194</v>
      </c>
      <c r="AF87" s="53" t="n">
        <f aca="false">Ratio!AF24*AF57</f>
        <v>0.00350290473160691</v>
      </c>
      <c r="AG87" s="53" t="n">
        <f aca="false">Ratio!AG24*AG57</f>
        <v>0.00374539447021364</v>
      </c>
      <c r="AH87" s="53" t="n">
        <f aca="false">Ratio!AH24*AH57</f>
        <v>0.00445761281518705</v>
      </c>
      <c r="AI87" s="68" t="n">
        <f aca="false">Ratio!AI24*AI57</f>
        <v>0.00351097015119783</v>
      </c>
      <c r="AJ87" s="67" t="n">
        <f aca="false">Ratio!AJ24*AJ57</f>
        <v>0.00315302802394794</v>
      </c>
      <c r="AK87" s="53" t="n">
        <f aca="false">Ratio!AK24*AK57</f>
        <v>0.00276580676566036</v>
      </c>
      <c r="AL87" s="63" t="n">
        <f aca="false">Ratio!AL24*AL57</f>
        <v>0.00245542499552774</v>
      </c>
      <c r="AM87" s="53" t="n">
        <f aca="false">Ratio!AM24*AM57</f>
        <v>0.00243797206933924</v>
      </c>
      <c r="AN87" s="68" t="n">
        <f aca="false">Ratio!AN24*AN57</f>
        <v>0.00326629656162729</v>
      </c>
      <c r="AO87" s="67" t="n">
        <f aca="false">Ratio!AO24*AO57</f>
        <v>0.00259007687842779</v>
      </c>
      <c r="AP87" s="63" t="n">
        <f aca="false">Ratio!AP24*AP57</f>
        <v>0.00242267791152199</v>
      </c>
      <c r="AQ87" s="63" t="n">
        <f aca="false">Ratio!AQ24*AQ57</f>
        <v>0.00225422264571093</v>
      </c>
    </row>
    <row r="88" customFormat="false" ht="12.8" hidden="false" customHeight="false" outlineLevel="0" collapsed="false">
      <c r="A88" s="139" t="s">
        <v>196</v>
      </c>
      <c r="B88" s="65" t="n">
        <f aca="false">Ratio!B25*B58</f>
        <v>0.00139912966307605</v>
      </c>
      <c r="C88" s="65" t="n">
        <f aca="false">Ratio!C25*C58</f>
        <v>0.00144842201740284</v>
      </c>
      <c r="D88" s="53" t="n">
        <f aca="false">Ratio!D25*D58</f>
        <v>0.00142799930240022</v>
      </c>
      <c r="E88" s="53" t="n">
        <f aca="false">Ratio!E25*E58</f>
        <v>0.00119345747065456</v>
      </c>
      <c r="F88" s="53" t="n">
        <f aca="false">Ratio!F25*F58</f>
        <v>0.00124727938708336</v>
      </c>
      <c r="G88" s="53" t="n">
        <f aca="false">Ratio!G25*G58</f>
        <v>0.00132403206230694</v>
      </c>
      <c r="H88" s="53" t="n">
        <f aca="false">Ratio!H25*H58</f>
        <v>0.00132186445079612</v>
      </c>
      <c r="I88" s="68" t="n">
        <f aca="false">Ratio!I25*I58</f>
        <v>0.00138852677830973</v>
      </c>
      <c r="J88" s="67" t="n">
        <f aca="false">Ratio!J25*J58</f>
        <v>0.00152074186427966</v>
      </c>
      <c r="K88" s="94" t="n">
        <f aca="false">Ratio!K25*K58</f>
        <v>0.00153114228258669</v>
      </c>
      <c r="L88" s="53" t="n">
        <f aca="false">Ratio!L25*L58</f>
        <v>0.00156486808043489</v>
      </c>
      <c r="M88" s="53" t="n">
        <f aca="false">Ratio!M25*M58</f>
        <v>0.00156658487806991</v>
      </c>
      <c r="N88" s="53" t="n">
        <f aca="false">Ratio!N25*N58</f>
        <v>0.00158045742365135</v>
      </c>
      <c r="O88" s="53" t="n">
        <f aca="false">Ratio!O25*O58</f>
        <v>0.00161870289371794</v>
      </c>
      <c r="P88" s="68" t="n">
        <f aca="false">Ratio!P25*P58</f>
        <v>0.00204393056269871</v>
      </c>
      <c r="Q88" s="67" t="n">
        <f aca="false">Ratio!Q25*Q58</f>
        <v>0.00190803088332914</v>
      </c>
      <c r="R88" s="53" t="n">
        <f aca="false">Ratio!R25*R58</f>
        <v>0.0020597870654844</v>
      </c>
      <c r="S88" s="53" t="n">
        <f aca="false">Ratio!S25*S58</f>
        <v>0.00198459336294521</v>
      </c>
      <c r="T88" s="53" t="n">
        <f aca="false">Ratio!T25*T58</f>
        <v>0.00205904432844578</v>
      </c>
      <c r="U88" s="53" t="n">
        <f aca="false">Ratio!U25*U58</f>
        <v>0.00174307535583937</v>
      </c>
      <c r="V88" s="53" t="n">
        <f aca="false">Ratio!V25*V58</f>
        <v>0.00178852239684952</v>
      </c>
      <c r="W88" s="53" t="n">
        <f aca="false">Ratio!W25*W58</f>
        <v>0.00185513048285408</v>
      </c>
      <c r="X88" s="68" t="n">
        <f aca="false">Ratio!X25*X58</f>
        <v>0.00173751517036822</v>
      </c>
      <c r="Y88" s="67" t="n">
        <f aca="false">Ratio!Y25*Y58</f>
        <v>0.00179890380322345</v>
      </c>
      <c r="Z88" s="53" t="n">
        <f aca="false">Ratio!Z25*Z58</f>
        <v>0.00190596356906738</v>
      </c>
      <c r="AA88" s="53" t="n">
        <f aca="false">Ratio!AA25*AA58</f>
        <v>0.00185512382023517</v>
      </c>
      <c r="AB88" s="53" t="n">
        <f aca="false">Ratio!AB25*AB58</f>
        <v>0.00213251841511101</v>
      </c>
      <c r="AC88" s="68" t="n">
        <f aca="false">Ratio!AC25*AC58</f>
        <v>0.00256946124377386</v>
      </c>
      <c r="AD88" s="67" t="n">
        <f aca="false">Ratio!AD25*AD58</f>
        <v>0.00148224832560658</v>
      </c>
      <c r="AE88" s="53" t="n">
        <f aca="false">Ratio!AE25*AE58</f>
        <v>0.00118475682604484</v>
      </c>
      <c r="AF88" s="53" t="n">
        <f aca="false">Ratio!AF25*AF58</f>
        <v>0.00104959740794435</v>
      </c>
      <c r="AG88" s="53" t="n">
        <f aca="false">Ratio!AG25*AG58</f>
        <v>0.0011222561356563</v>
      </c>
      <c r="AH88" s="53" t="n">
        <f aca="false">Ratio!AH25*AH58</f>
        <v>0.001266110261798</v>
      </c>
      <c r="AI88" s="68" t="n">
        <f aca="false">Ratio!AI25*AI58</f>
        <v>0.000996949023672587</v>
      </c>
      <c r="AJ88" s="67" t="n">
        <f aca="false">Ratio!AJ25*AJ58</f>
        <v>0.000267211836457663</v>
      </c>
      <c r="AK88" s="53" t="n">
        <f aca="false">Ratio!AK25*AK58</f>
        <v>0.000351498507180309</v>
      </c>
      <c r="AL88" s="63" t="n">
        <f aca="false">Ratio!AL25*AL58</f>
        <v>0.000458981612800456</v>
      </c>
      <c r="AM88" s="53" t="n">
        <f aca="false">Ratio!AM25*AM58</f>
        <v>0.000780056430048492</v>
      </c>
      <c r="AN88" s="68" t="n">
        <f aca="false">Ratio!AN25*AN58</f>
        <v>0.000613913077319553</v>
      </c>
      <c r="AO88" s="67" t="n">
        <f aca="false">Ratio!AO25*AO58</f>
        <v>0.000635688276108112</v>
      </c>
      <c r="AP88" s="63" t="n">
        <f aca="false">Ratio!AP25*AP58</f>
        <v>0.00092315373690847</v>
      </c>
      <c r="AQ88" s="63" t="n">
        <f aca="false">Ratio!AQ25*AQ58</f>
        <v>0.000943647189228896</v>
      </c>
    </row>
    <row r="89" customFormat="false" ht="12.8" hidden="false" customHeight="false" outlineLevel="0" collapsed="false">
      <c r="A89" s="139" t="s">
        <v>197</v>
      </c>
      <c r="B89" s="65" t="n">
        <f aca="false">Ratio!B26*B59</f>
        <v>0.00225700713245967</v>
      </c>
      <c r="C89" s="65" t="n">
        <f aca="false">Ratio!C26*C59</f>
        <v>0.00192327372940635</v>
      </c>
      <c r="D89" s="53" t="n">
        <f aca="false">Ratio!D26*D59</f>
        <v>0.00189615561688406</v>
      </c>
      <c r="E89" s="53" t="n">
        <f aca="false">Ratio!E26*E59</f>
        <v>0.00196595049310235</v>
      </c>
      <c r="F89" s="53" t="n">
        <f aca="false">Ratio!F26*F59</f>
        <v>0.00233768947824951</v>
      </c>
      <c r="G89" s="53" t="n">
        <f aca="false">Ratio!G26*G59</f>
        <v>0.00139586721090508</v>
      </c>
      <c r="H89" s="53" t="n">
        <f aca="false">Ratio!H26*H59</f>
        <v>0.00170693710274943</v>
      </c>
      <c r="I89" s="68" t="n">
        <f aca="false">Ratio!I26*I59</f>
        <v>0.00179700554890241</v>
      </c>
      <c r="J89" s="67" t="n">
        <f aca="false">Ratio!J26*J59</f>
        <v>0.00136674712206557</v>
      </c>
      <c r="K89" s="94" t="n">
        <f aca="false">Ratio!K26*K59</f>
        <v>0.00137609436377917</v>
      </c>
      <c r="L89" s="53" t="n">
        <f aca="false">Ratio!L26*L59</f>
        <v>0.00105230737311229</v>
      </c>
      <c r="M89" s="53" t="n">
        <f aca="false">Ratio!M26*M59</f>
        <v>0.00105346184666316</v>
      </c>
      <c r="N89" s="53" t="n">
        <f aca="false">Ratio!N26*N59</f>
        <v>0.00106279054483376</v>
      </c>
      <c r="O89" s="53" t="n">
        <f aca="false">Ratio!O26*O59</f>
        <v>0.000758357881314271</v>
      </c>
      <c r="P89" s="68" t="n">
        <f aca="false">Ratio!P26*P59</f>
        <v>0.000743781416495059</v>
      </c>
      <c r="Q89" s="67" t="n">
        <f aca="false">Ratio!Q26*Q59</f>
        <v>0.0010465108343987</v>
      </c>
      <c r="R89" s="53" t="n">
        <f aca="false">Ratio!R26*R59</f>
        <v>0.0010166260238939</v>
      </c>
      <c r="S89" s="53" t="n">
        <f aca="false">Ratio!S26*S59</f>
        <v>0.00097951351060782</v>
      </c>
      <c r="T89" s="53" t="n">
        <f aca="false">Ratio!T26*T59</f>
        <v>0.000937156718445208</v>
      </c>
      <c r="U89" s="53" t="n">
        <f aca="false">Ratio!U26*U59</f>
        <v>0.000871910909593785</v>
      </c>
      <c r="V89" s="53" t="n">
        <f aca="false">Ratio!V26*V59</f>
        <v>0.000871255783847066</v>
      </c>
      <c r="W89" s="53" t="n">
        <f aca="false">Ratio!W26*W59</f>
        <v>0.000903703060036997</v>
      </c>
      <c r="X89" s="68" t="n">
        <f aca="false">Ratio!X26*X59</f>
        <v>0.000806268200971499</v>
      </c>
      <c r="Y89" s="67" t="n">
        <f aca="false">Ratio!Y26*Y59</f>
        <v>0.000763365950194741</v>
      </c>
      <c r="Z89" s="53" t="n">
        <f aca="false">Ratio!Z26*Z59</f>
        <v>0.000807898664469861</v>
      </c>
      <c r="AA89" s="53" t="n">
        <f aca="false">Ratio!AA26*AA59</f>
        <v>0.000682204073584451</v>
      </c>
      <c r="AB89" s="53" t="n">
        <f aca="false">Ratio!AB26*AB59</f>
        <v>0.000780236020337375</v>
      </c>
      <c r="AC89" s="68" t="n">
        <f aca="false">Ratio!AC26*AC59</f>
        <v>0.00128661190449547</v>
      </c>
      <c r="AD89" s="67" t="n">
        <f aca="false">Ratio!AD26*AD59</f>
        <v>0.00110523284903945</v>
      </c>
      <c r="AE89" s="53" t="n">
        <f aca="false">Ratio!AE26*AE59</f>
        <v>0.000938404625450008</v>
      </c>
      <c r="AF89" s="53" t="n">
        <f aca="false">Ratio!AF26*AF59</f>
        <v>0.000933737806302775</v>
      </c>
      <c r="AG89" s="53" t="n">
        <f aca="false">Ratio!AG26*AG59</f>
        <v>0.000998376114771332</v>
      </c>
      <c r="AH89" s="53" t="n">
        <f aca="false">Ratio!AH26*AH59</f>
        <v>0.00123767241156392</v>
      </c>
      <c r="AI89" s="68" t="n">
        <f aca="false">Ratio!AI26*AI59</f>
        <v>0.000974556750359874</v>
      </c>
      <c r="AJ89" s="67" t="n">
        <f aca="false">Ratio!AJ26*AJ59</f>
        <v>0.00101660256170064</v>
      </c>
      <c r="AK89" s="53" t="n">
        <f aca="false">Ratio!AK26*AK59</f>
        <v>0.00106787853680561</v>
      </c>
      <c r="AL89" s="63" t="n">
        <f aca="false">Ratio!AL26*AL59</f>
        <v>0.00116563963185816</v>
      </c>
      <c r="AM89" s="53" t="n">
        <f aca="false">Ratio!AM26*AM59</f>
        <v>0.00122905735894227</v>
      </c>
      <c r="AN89" s="68" t="n">
        <f aca="false">Ratio!AN26*AN59</f>
        <v>0.00127516183480514</v>
      </c>
      <c r="AO89" s="67" t="n">
        <f aca="false">Ratio!AO26*AO59</f>
        <v>0.00120457653670608</v>
      </c>
      <c r="AP89" s="63" t="n">
        <f aca="false">Ratio!AP26*AP59</f>
        <v>0.000854445946554152</v>
      </c>
      <c r="AQ89" s="63" t="n">
        <f aca="false">Ratio!AQ26*AQ59</f>
        <v>0.000917630717868087</v>
      </c>
    </row>
    <row r="90" customFormat="false" ht="12.8" hidden="false" customHeight="false" outlineLevel="0" collapsed="false">
      <c r="A90" s="139" t="s">
        <v>198</v>
      </c>
      <c r="B90" s="65" t="n">
        <f aca="false">Ratio!B27*B60</f>
        <v>0.0169281723219558</v>
      </c>
      <c r="C90" s="65" t="n">
        <f aca="false">Ratio!C27*C60</f>
        <v>0.0173698225984018</v>
      </c>
      <c r="D90" s="53" t="n">
        <f aca="false">Ratio!D27*D60</f>
        <v>0.0171249085248024</v>
      </c>
      <c r="E90" s="53" t="n">
        <f aca="false">Ratio!E27*E60</f>
        <v>0.0177552528172726</v>
      </c>
      <c r="F90" s="53" t="n">
        <f aca="false">Ratio!F27*F60</f>
        <v>0.018555969857302</v>
      </c>
      <c r="G90" s="53" t="n">
        <f aca="false">Ratio!G27*G60</f>
        <v>0.0196978313701795</v>
      </c>
      <c r="H90" s="53" t="n">
        <f aca="false">Ratio!H27*H60</f>
        <v>0.0206867391213654</v>
      </c>
      <c r="I90" s="68" t="n">
        <f aca="false">Ratio!I27*I60</f>
        <v>0.0217782980579146</v>
      </c>
      <c r="J90" s="67" t="n">
        <f aca="false">Ratio!J27*J60</f>
        <v>0.0116874901891171</v>
      </c>
      <c r="K90" s="94" t="n">
        <f aca="false">Ratio!K27*K60</f>
        <v>0.0240151457790687</v>
      </c>
      <c r="L90" s="53" t="n">
        <f aca="false">Ratio!L27*L60</f>
        <v>0.0245441168362011</v>
      </c>
      <c r="M90" s="53" t="n">
        <f aca="false">Ratio!M27*M60</f>
        <v>0.0245710438866438</v>
      </c>
      <c r="N90" s="53" t="n">
        <f aca="false">Ratio!N27*N60</f>
        <v>0.0247886273263109</v>
      </c>
      <c r="O90" s="53" t="n">
        <f aca="false">Ratio!O27*O60</f>
        <v>0.0253884870189625</v>
      </c>
      <c r="P90" s="68" t="n">
        <f aca="false">Ratio!P27*P60</f>
        <v>0.0212311170182815</v>
      </c>
      <c r="Q90" s="67" t="n">
        <f aca="false">Ratio!Q27*Q60</f>
        <v>0.0220692245056855</v>
      </c>
      <c r="R90" s="53" t="n">
        <f aca="false">Ratio!R27*R60</f>
        <v>0.0227744512333827</v>
      </c>
      <c r="S90" s="53" t="n">
        <f aca="false">Ratio!S27*S60</f>
        <v>0.0219430568915925</v>
      </c>
      <c r="T90" s="53" t="n">
        <f aca="false">Ratio!T27*T60</f>
        <v>0.0225559284616216</v>
      </c>
      <c r="U90" s="53" t="n">
        <f aca="false">Ratio!U27*U60</f>
        <v>0.0306603663492564</v>
      </c>
      <c r="V90" s="53" t="n">
        <f aca="false">Ratio!V27*V60</f>
        <v>0.031459771218468</v>
      </c>
      <c r="W90" s="53" t="n">
        <f aca="false">Ratio!W27*W60</f>
        <v>0.0326313948731086</v>
      </c>
      <c r="X90" s="68" t="n">
        <f aca="false">Ratio!X27*X60</f>
        <v>0.0305625637367965</v>
      </c>
      <c r="Y90" s="67" t="n">
        <f aca="false">Ratio!Y27*Y60</f>
        <v>0.0273811817814385</v>
      </c>
      <c r="Z90" s="53" t="n">
        <f aca="false">Ratio!Z27*Z60</f>
        <v>0.028978526206451</v>
      </c>
      <c r="AA90" s="53" t="n">
        <f aca="false">Ratio!AA27*AA60</f>
        <v>0.0282337644371436</v>
      </c>
      <c r="AB90" s="53" t="n">
        <f aca="false">Ratio!AB27*AB60</f>
        <v>0.0314175812681183</v>
      </c>
      <c r="AC90" s="68" t="n">
        <f aca="false">Ratio!AC27*AC60</f>
        <v>0.0371944051706563</v>
      </c>
      <c r="AD90" s="67" t="n">
        <f aca="false">Ratio!AD27*AD60</f>
        <v>0.0351463184205298</v>
      </c>
      <c r="AE90" s="53" t="n">
        <f aca="false">Ratio!AE27*AE60</f>
        <v>0.0323667443087908</v>
      </c>
      <c r="AF90" s="53" t="n">
        <f aca="false">Ratio!AF27*AF60</f>
        <v>0.0322057799039091</v>
      </c>
      <c r="AG90" s="53" t="n">
        <f aca="false">Ratio!AG27*AG60</f>
        <v>0.0344352356695936</v>
      </c>
      <c r="AH90" s="53" t="n">
        <f aca="false">Ratio!AH27*AH60</f>
        <v>0.0447257215103695</v>
      </c>
      <c r="AI90" s="68" t="n">
        <f aca="false">Ratio!AI27*AI60</f>
        <v>0.0352175207311675</v>
      </c>
      <c r="AJ90" s="67" t="n">
        <f aca="false">Ratio!AJ27*AJ60</f>
        <v>0.0367369286384087</v>
      </c>
      <c r="AK90" s="53" t="n">
        <f aca="false">Ratio!AK27*AK60</f>
        <v>0.0385898866273646</v>
      </c>
      <c r="AL90" s="63" t="n">
        <f aca="false">Ratio!AL27*AL60</f>
        <v>0.0397982771902766</v>
      </c>
      <c r="AM90" s="53" t="n">
        <f aca="false">Ratio!AM27*AM60</f>
        <v>0.0419635401174192</v>
      </c>
      <c r="AN90" s="68" t="n">
        <f aca="false">Ratio!AN27*AN60</f>
        <v>0.0051540515975447</v>
      </c>
      <c r="AO90" s="67" t="n">
        <f aca="false">Ratio!AO27*AO60</f>
        <v>0.0053368633053406</v>
      </c>
      <c r="AP90" s="63" t="n">
        <f aca="false">Ratio!AP27*AP60</f>
        <v>0.00468509614575749</v>
      </c>
      <c r="AQ90" s="63" t="n">
        <f aca="false">Ratio!AQ27*AQ60</f>
        <v>0.00478910243489546</v>
      </c>
    </row>
    <row r="91" customFormat="false" ht="12.8" hidden="false" customHeight="false" outlineLevel="0" collapsed="false">
      <c r="A91" s="139" t="s">
        <v>28</v>
      </c>
      <c r="B91" s="65" t="n">
        <f aca="false">Ratio!B28*B61</f>
        <v>0.00201682869979201</v>
      </c>
      <c r="C91" s="65" t="n">
        <f aca="false">Ratio!C28*C61</f>
        <v>0.00206944707677132</v>
      </c>
      <c r="D91" s="53" t="n">
        <f aca="false">Ratio!D28*D61</f>
        <v>0.00204026792362803</v>
      </c>
      <c r="E91" s="53" t="n">
        <f aca="false">Ratio!E28*E61</f>
        <v>0.00211536737533642</v>
      </c>
      <c r="F91" s="53" t="n">
        <f aca="false">Ratio!F28*F61</f>
        <v>0.00221076509908533</v>
      </c>
      <c r="G91" s="53" t="n">
        <f aca="false">Ratio!G28*G61</f>
        <v>0.00234680690126928</v>
      </c>
      <c r="H91" s="53" t="n">
        <f aca="false">Ratio!H28*H61</f>
        <v>0.00260621744327828</v>
      </c>
      <c r="I91" s="68" t="n">
        <f aca="false">Ratio!I28*I61</f>
        <v>0.00258623567048942</v>
      </c>
      <c r="J91" s="67" t="n">
        <f aca="false">Ratio!J28*J61</f>
        <v>0.00283249622293516</v>
      </c>
      <c r="K91" s="94" t="n">
        <f aca="false">Ratio!K28*K61</f>
        <v>0.00285186778510726</v>
      </c>
      <c r="L91" s="53" t="n">
        <f aca="false">Ratio!L28*L61</f>
        <v>0.00291468462290489</v>
      </c>
      <c r="M91" s="53" t="n">
        <f aca="false">Ratio!M28*M61</f>
        <v>0.00291788228776239</v>
      </c>
      <c r="N91" s="53" t="n">
        <f aca="false">Ratio!N28*N61</f>
        <v>0.00124372210070271</v>
      </c>
      <c r="O91" s="53" t="n">
        <f aca="false">Ratio!O28*O61</f>
        <v>0.0012738189167648</v>
      </c>
      <c r="P91" s="68" t="n">
        <f aca="false">Ratio!P28*P61</f>
        <v>0.00523399697581565</v>
      </c>
      <c r="Q91" s="67" t="n">
        <f aca="false">Ratio!Q28*Q61</f>
        <v>0.00544061126043872</v>
      </c>
      <c r="R91" s="53" t="n">
        <f aca="false">Ratio!R28*R61</f>
        <v>0.00561446714173094</v>
      </c>
      <c r="S91" s="53" t="n">
        <f aca="false">Ratio!S28*S61</f>
        <v>0.00540950781401902</v>
      </c>
      <c r="T91" s="53" t="n">
        <f aca="false">Ratio!T28*T61</f>
        <v>0.0053049708457008</v>
      </c>
      <c r="U91" s="53" t="n">
        <f aca="false">Ratio!U28*U61</f>
        <v>0.00869476924977087</v>
      </c>
      <c r="V91" s="53" t="n">
        <f aca="false">Ratio!V28*V61</f>
        <v>0.00892146715663089</v>
      </c>
      <c r="W91" s="53" t="n">
        <f aca="false">Ratio!W28*W61</f>
        <v>0.00925372011175321</v>
      </c>
      <c r="X91" s="68" t="n">
        <f aca="false">Ratio!X28*X61</f>
        <v>0.00866703405777489</v>
      </c>
      <c r="Y91" s="67" t="n">
        <f aca="false">Ratio!Y28*Y61</f>
        <v>0.00897325145419843</v>
      </c>
      <c r="Z91" s="53" t="n">
        <f aca="false">Ratio!Z28*Z61</f>
        <v>0.00625680367735284</v>
      </c>
      <c r="AA91" s="53" t="n">
        <f aca="false">Ratio!AA28*AA61</f>
        <v>0.00608990944463425</v>
      </c>
      <c r="AB91" s="53" t="n">
        <f aca="false">Ratio!AB28*AB61</f>
        <v>0.00677664593108843</v>
      </c>
      <c r="AC91" s="68" t="n">
        <f aca="false">Ratio!AC28*AC61</f>
        <v>0.00204578702009308</v>
      </c>
      <c r="AD91" s="67" t="n">
        <f aca="false">Ratio!AD28*AD61</f>
        <v>0.00214412260674789</v>
      </c>
      <c r="AE91" s="53" t="n">
        <f aca="false">Ratio!AE28*AE61</f>
        <v>0.00297751892407621</v>
      </c>
      <c r="AF91" s="53" t="n">
        <f aca="false">Ratio!AF28*AF61</f>
        <v>0.00314880571860796</v>
      </c>
      <c r="AG91" s="53" t="n">
        <f aca="false">Ratio!AG28*AG61</f>
        <v>0.00383065069331804</v>
      </c>
      <c r="AH91" s="53" t="n">
        <f aca="false">Ratio!AH28*AH61</f>
        <v>0.00461585528001084</v>
      </c>
      <c r="AI91" s="68" t="n">
        <f aca="false">Ratio!AI28*AI61</f>
        <v>0.00363457477098859</v>
      </c>
      <c r="AJ91" s="67" t="n">
        <f aca="false">Ratio!AJ28*AJ61</f>
        <v>0.00298866562593896</v>
      </c>
      <c r="AK91" s="53" t="n">
        <f aca="false">Ratio!AK28*AK61</f>
        <v>0.00336358415948374</v>
      </c>
      <c r="AL91" s="63" t="n">
        <f aca="false">Ratio!AL28*AL61</f>
        <v>0.00349246818486435</v>
      </c>
      <c r="AM91" s="53" t="n">
        <f aca="false">Ratio!AM28*AM61</f>
        <v>0.00597364738403928</v>
      </c>
      <c r="AN91" s="68" t="n">
        <f aca="false">Ratio!AN28*AN61</f>
        <v>0.00761349309756279</v>
      </c>
      <c r="AO91" s="67" t="n">
        <f aca="false">Ratio!AO28*AO61</f>
        <v>0.00675191668152095</v>
      </c>
      <c r="AP91" s="63" t="n">
        <f aca="false">Ratio!AP28*AP61</f>
        <v>0.00628811061779865</v>
      </c>
      <c r="AQ91" s="63" t="n">
        <f aca="false">Ratio!AQ28*AQ61</f>
        <v>0.00488111884128747</v>
      </c>
    </row>
    <row r="92" customFormat="false" ht="12.8" hidden="false" customHeight="false" outlineLevel="0" collapsed="false">
      <c r="A92" s="139" t="s">
        <v>199</v>
      </c>
      <c r="B92" s="65" t="n">
        <f aca="false">Ratio!B29*B62</f>
        <v>0.000168257843869911</v>
      </c>
      <c r="C92" s="65" t="n">
        <f aca="false">Ratio!C29*C62</f>
        <v>0.000172647633969282</v>
      </c>
      <c r="D92" s="53" t="n">
        <f aca="false">Ratio!D29*D62</f>
        <v>0.000170213306554987</v>
      </c>
      <c r="E92" s="53" t="n">
        <f aca="false">Ratio!E29*E62</f>
        <v>0.000131692072245534</v>
      </c>
      <c r="F92" s="53" t="n">
        <f aca="false">Ratio!F29*F62</f>
        <v>0.000137631051958693</v>
      </c>
      <c r="G92" s="53" t="n">
        <f aca="false">Ratio!G29*G62</f>
        <v>0.000146100326397972</v>
      </c>
      <c r="H92" s="53" t="n">
        <f aca="false">Ratio!H29*H62</f>
        <v>0.000162891904855574</v>
      </c>
      <c r="I92" s="68" t="n">
        <f aca="false">Ratio!I29*I62</f>
        <v>0.000171487078478321</v>
      </c>
      <c r="J92" s="67" t="n">
        <f aca="false">Ratio!J29*J62</f>
        <v>0.000187816024507972</v>
      </c>
      <c r="K92" s="94" t="n">
        <f aca="false">Ratio!K29*K62</f>
        <v>0.000189100506289876</v>
      </c>
      <c r="L92" s="53" t="n">
        <f aca="false">Ratio!L29*L62</f>
        <v>0.000193265739998498</v>
      </c>
      <c r="M92" s="53" t="n">
        <f aca="false">Ratio!M29*M62</f>
        <v>0.000193477769478496</v>
      </c>
      <c r="N92" s="53" t="n">
        <f aca="false">Ratio!N29*N62</f>
        <v>0.000195191069034528</v>
      </c>
      <c r="O92" s="53" t="n">
        <f aca="false">Ratio!O29*O62</f>
        <v>0.000199914495351689</v>
      </c>
      <c r="P92" s="68" t="n">
        <f aca="false">Ratio!P29*P62</f>
        <v>0.000248801392006583</v>
      </c>
      <c r="Q92" s="67" t="n">
        <f aca="false">Ratio!Q29*Q62</f>
        <v>0.000258622934101504</v>
      </c>
      <c r="R92" s="53" t="n">
        <f aca="false">Ratio!R29*R62</f>
        <v>0.000266887284553731</v>
      </c>
      <c r="S92" s="53" t="n">
        <f aca="false">Ratio!S29*S62</f>
        <v>0.000257144411893489</v>
      </c>
      <c r="T92" s="53" t="n">
        <f aca="false">Ratio!T29*T62</f>
        <v>0.000252175180280651</v>
      </c>
      <c r="U92" s="53" t="n">
        <f aca="false">Ratio!U29*U62</f>
        <v>0.000283004766476063</v>
      </c>
      <c r="V92" s="53" t="n">
        <f aca="false">Ratio!V29*V62</f>
        <v>0.000290383523329584</v>
      </c>
      <c r="W92" s="53" t="n">
        <f aca="false">Ratio!W29*W62</f>
        <v>0.000301197975936001</v>
      </c>
      <c r="X92" s="68" t="n">
        <f aca="false">Ratio!X29*X62</f>
        <v>0.000282102017787914</v>
      </c>
      <c r="Y92" s="67" t="n">
        <f aca="false">Ratio!Y29*Y62</f>
        <v>0.000292069042820584</v>
      </c>
      <c r="Z92" s="53" t="n">
        <f aca="false">Ratio!Z29*Z62</f>
        <v>0.000193401157645084</v>
      </c>
      <c r="AA92" s="53" t="n">
        <f aca="false">Ratio!AA29*AA62</f>
        <v>0.000188242367394258</v>
      </c>
      <c r="AB92" s="53" t="n">
        <f aca="false">Ratio!AB29*AB62</f>
        <v>0.000209469760537197</v>
      </c>
      <c r="AC92" s="68" t="n">
        <f aca="false">Ratio!AC29*AC62</f>
        <v>0.000234683393411396</v>
      </c>
      <c r="AD92" s="67" t="n">
        <f aca="false">Ratio!AD29*AD62</f>
        <v>0.000245964005196781</v>
      </c>
      <c r="AE92" s="53" t="n">
        <f aca="false">Ratio!AE29*AE62</f>
        <v>0.000169982039177384</v>
      </c>
      <c r="AF92" s="53" t="n">
        <f aca="false">Ratio!AF29*AF62</f>
        <v>0.000169136694415003</v>
      </c>
      <c r="AG92" s="53" t="n">
        <f aca="false">Ratio!AG29*AG62</f>
        <v>0.000143575470656317</v>
      </c>
      <c r="AH92" s="53" t="n">
        <f aca="false">Ratio!AH29*AH62</f>
        <v>0.000160421672319151</v>
      </c>
      <c r="AI92" s="68" t="n">
        <f aca="false">Ratio!AI29*AI62</f>
        <v>0.000126317773751697</v>
      </c>
      <c r="AJ92" s="67" t="n">
        <f aca="false">Ratio!AJ29*AJ62</f>
        <v>0.000131767567498636</v>
      </c>
      <c r="AK92" s="53" t="n">
        <f aca="false">Ratio!AK29*AK62</f>
        <v>0.000138413734609803</v>
      </c>
      <c r="AL92" s="63" t="n">
        <f aca="false">Ratio!AL29*AL62</f>
        <v>0.0001427479751401</v>
      </c>
      <c r="AM92" s="53" t="n">
        <f aca="false">Ratio!AM29*AM62</f>
        <v>0.000150514313793851</v>
      </c>
      <c r="AN92" s="68" t="n">
        <f aca="false">Ratio!AN29*AN62</f>
        <v>0.000217677274865371</v>
      </c>
      <c r="AO92" s="67" t="n">
        <f aca="false">Ratio!AO29*AO62</f>
        <v>0.000225398182119278</v>
      </c>
      <c r="AP92" s="63" t="n">
        <f aca="false">Ratio!AP29*AP62</f>
        <v>0.000222081519592513</v>
      </c>
      <c r="AQ92" s="63" t="n">
        <f aca="false">Ratio!AQ29*AQ62</f>
        <v>0.000227011594455513</v>
      </c>
    </row>
    <row r="93" customFormat="false" ht="12.8" hidden="false" customHeight="false" outlineLevel="0" collapsed="false">
      <c r="A93" s="139" t="s">
        <v>200</v>
      </c>
      <c r="B93" s="65" t="n">
        <f aca="false">Ratio!B30*B63</f>
        <v>0.0025670120887338</v>
      </c>
      <c r="C93" s="65" t="n">
        <f aca="false">Ratio!C30*C63</f>
        <v>0.00263398456379298</v>
      </c>
      <c r="D93" s="53" t="n">
        <f aca="false">Ratio!D30*D63</f>
        <v>0.00259684544589687</v>
      </c>
      <c r="E93" s="53" t="n">
        <f aca="false">Ratio!E30*E63</f>
        <v>0.00269243174948953</v>
      </c>
      <c r="F93" s="53" t="n">
        <f aca="false">Ratio!F30*F63</f>
        <v>0.00281385361844964</v>
      </c>
      <c r="G93" s="53" t="n">
        <f aca="false">Ratio!G30*G63</f>
        <v>0.00298700711969411</v>
      </c>
      <c r="H93" s="53" t="n">
        <f aca="false">Ratio!H30*H63</f>
        <v>0.00221104067820376</v>
      </c>
      <c r="I93" s="68" t="n">
        <f aca="false">Ratio!I30*I63</f>
        <v>0.00209215040219262</v>
      </c>
      <c r="J93" s="67" t="n">
        <f aca="false">Ratio!J30*J63</f>
        <v>0.00231233778680684</v>
      </c>
      <c r="K93" s="94" t="n">
        <f aca="false">Ratio!K30*K63</f>
        <v>0.00204126976683498</v>
      </c>
      <c r="L93" s="53" t="n">
        <f aca="false">Ratio!L30*L63</f>
        <v>0.00208623191848664</v>
      </c>
      <c r="M93" s="53" t="n">
        <f aca="false">Ratio!M30*M63</f>
        <v>0.00208852069801288</v>
      </c>
      <c r="N93" s="53" t="n">
        <f aca="false">Ratio!N30*N63</f>
        <v>0.00210701513070307</v>
      </c>
      <c r="O93" s="53" t="n">
        <f aca="false">Ratio!O30*O63</f>
        <v>0.00185517246786314</v>
      </c>
      <c r="P93" s="68" t="n">
        <f aca="false">Ratio!P30*P63</f>
        <v>0.0014915005019765</v>
      </c>
      <c r="Q93" s="67" t="n">
        <f aca="false">Ratio!Q30*Q63</f>
        <v>0.00163090401220415</v>
      </c>
      <c r="R93" s="53" t="n">
        <f aca="false">Ratio!R30*R63</f>
        <v>0.00168301989418354</v>
      </c>
      <c r="S93" s="53" t="n">
        <f aca="false">Ratio!S30*S63</f>
        <v>0.00168709213609753</v>
      </c>
      <c r="T93" s="53" t="n">
        <f aca="false">Ratio!T30*T63</f>
        <v>0.001435195014862</v>
      </c>
      <c r="U93" s="53" t="n">
        <f aca="false">Ratio!U30*U63</f>
        <v>0.000992345258638424</v>
      </c>
      <c r="V93" s="53" t="n">
        <f aca="false">Ratio!V30*V63</f>
        <v>0.00101821858391635</v>
      </c>
      <c r="W93" s="53" t="n">
        <f aca="false">Ratio!W30*W63</f>
        <v>0.00105613904335728</v>
      </c>
      <c r="X93" s="68" t="n">
        <f aca="false">Ratio!X30*X63</f>
        <v>0.00126247956393515</v>
      </c>
      <c r="Y93" s="67" t="n">
        <f aca="false">Ratio!Y30*Y63</f>
        <v>0.00079503514667617</v>
      </c>
      <c r="Z93" s="53" t="n">
        <f aca="false">Ratio!Z30*Z63</f>
        <v>0.00115531911718367</v>
      </c>
      <c r="AA93" s="53" t="n">
        <f aca="false">Ratio!AA30*AA63</f>
        <v>0.00192652012113422</v>
      </c>
      <c r="AB93" s="53" t="n">
        <f aca="false">Ratio!AB30*AB63</f>
        <v>0.00214376664525728</v>
      </c>
      <c r="AC93" s="68" t="n">
        <f aca="false">Ratio!AC30*AC63</f>
        <v>0.00327346975515686</v>
      </c>
      <c r="AD93" s="67" t="n">
        <f aca="false">Ratio!AD30*AD63</f>
        <v>0.00200255405053357</v>
      </c>
      <c r="AE93" s="53" t="n">
        <f aca="false">Ratio!AE30*AE63</f>
        <v>0.00205250016527575</v>
      </c>
      <c r="AF93" s="53" t="n">
        <f aca="false">Ratio!AF30*AF63</f>
        <v>0.00204229279117376</v>
      </c>
      <c r="AG93" s="53" t="n">
        <f aca="false">Ratio!AG30*AG63</f>
        <v>0.00239431066595414</v>
      </c>
      <c r="AH93" s="53" t="n">
        <f aca="false">Ratio!AH30*AH63</f>
        <v>0.00250902898492145</v>
      </c>
      <c r="AI93" s="68" t="n">
        <f aca="false">Ratio!AI30*AI63</f>
        <v>0.00197563677695137</v>
      </c>
      <c r="AJ93" s="67" t="n">
        <f aca="false">Ratio!AJ30*AJ63</f>
        <v>0.00284529238138447</v>
      </c>
      <c r="AK93" s="53" t="n">
        <f aca="false">Ratio!AK30*AK63</f>
        <v>0.00216482017065822</v>
      </c>
      <c r="AL93" s="63" t="n">
        <f aca="false">Ratio!AL30*AL63</f>
        <v>0.00223260861196372</v>
      </c>
      <c r="AM93" s="53" t="n">
        <f aca="false">Ratio!AM30*AM63</f>
        <v>0.00247325088313307</v>
      </c>
      <c r="AN93" s="68" t="n">
        <f aca="false">Ratio!AN30*AN63</f>
        <v>0.00232392758662068</v>
      </c>
      <c r="AO93" s="67" t="n">
        <f aca="false">Ratio!AO30*AO63</f>
        <v>0.00140102779088105</v>
      </c>
      <c r="AP93" s="63" t="n">
        <f aca="false">Ratio!AP30*AP63</f>
        <v>0.00301655274545129</v>
      </c>
      <c r="AQ93" s="63" t="n">
        <f aca="false">Ratio!AQ30*AQ63</f>
        <v>0.00287970698637036</v>
      </c>
    </row>
    <row r="94" customFormat="false" ht="12.8" hidden="false" customHeight="false" outlineLevel="0" collapsed="false">
      <c r="A94" s="139"/>
      <c r="B94" s="65"/>
      <c r="C94" s="65"/>
      <c r="D94" s="53"/>
      <c r="E94" s="53"/>
      <c r="F94" s="53"/>
      <c r="G94" s="53"/>
      <c r="H94" s="53"/>
      <c r="I94" s="68"/>
      <c r="J94" s="67"/>
      <c r="K94" s="94"/>
      <c r="L94" s="53"/>
      <c r="M94" s="53"/>
      <c r="N94" s="53"/>
      <c r="O94" s="53"/>
      <c r="P94" s="68"/>
      <c r="Q94" s="67"/>
      <c r="R94" s="53"/>
      <c r="S94" s="53"/>
      <c r="T94" s="53"/>
      <c r="U94" s="53"/>
      <c r="V94" s="53"/>
      <c r="W94" s="53"/>
      <c r="X94" s="68"/>
      <c r="Y94" s="67"/>
      <c r="Z94" s="53"/>
      <c r="AA94" s="53"/>
      <c r="AB94" s="53"/>
      <c r="AC94" s="68"/>
      <c r="AD94" s="67"/>
      <c r="AE94" s="53"/>
      <c r="AF94" s="53"/>
      <c r="AG94" s="53"/>
      <c r="AH94" s="53"/>
      <c r="AI94" s="68"/>
      <c r="AJ94" s="67"/>
      <c r="AK94" s="53"/>
      <c r="AL94" s="63"/>
      <c r="AM94" s="53"/>
      <c r="AN94" s="68"/>
      <c r="AO94" s="67"/>
      <c r="AP94" s="63"/>
      <c r="AQ94" s="63"/>
    </row>
    <row r="95" customFormat="false" ht="12.8" hidden="false" customHeight="false" outlineLevel="0" collapsed="false">
      <c r="A95" s="1" t="s">
        <v>206</v>
      </c>
      <c r="B95" s="65"/>
      <c r="C95" s="65"/>
      <c r="K95" s="40"/>
    </row>
    <row r="96" customFormat="false" ht="12.8" hidden="false" customHeight="false" outlineLevel="0" collapsed="false">
      <c r="A96" s="139" t="s">
        <v>24</v>
      </c>
      <c r="B96" s="65" t="n">
        <f aca="false">Ratio!B33*B36</f>
        <v>3.13809632607629</v>
      </c>
      <c r="C96" s="65" t="n">
        <f aca="false">Ratio!C33*C36</f>
        <v>3.07896714168661</v>
      </c>
      <c r="D96" s="63" t="n">
        <f aca="false">Ratio!D33*D36</f>
        <v>3.25078946089338</v>
      </c>
      <c r="E96" s="63" t="n">
        <f aca="false">Ratio!E33*E36</f>
        <v>3.14951303046618</v>
      </c>
      <c r="F96" s="63" t="n">
        <f aca="false">Ratio!F33*F36</f>
        <v>2.8141380213737</v>
      </c>
      <c r="G96" s="63" t="n">
        <f aca="false">Ratio!G33*G36</f>
        <v>2.05675810322085</v>
      </c>
      <c r="H96" s="63" t="n">
        <f aca="false">Ratio!H33*H36</f>
        <v>2.05390189002697</v>
      </c>
      <c r="I96" s="68" t="n">
        <f aca="false">Ratio!I33*I36</f>
        <v>3.1180960685565</v>
      </c>
      <c r="J96" s="67" t="n">
        <f aca="false">Ratio!J33*J36</f>
        <v>2.47573422468863</v>
      </c>
      <c r="K96" s="65" t="n">
        <f aca="false">Ratio!K33*K36</f>
        <v>2.07594236957637</v>
      </c>
      <c r="L96" s="63" t="n">
        <f aca="false">Ratio!L33*L36</f>
        <v>1.96375676557568</v>
      </c>
      <c r="M96" s="63" t="n">
        <f aca="false">Ratio!M33*M36</f>
        <v>1.94998743488109</v>
      </c>
      <c r="N96" s="63" t="n">
        <f aca="false">Ratio!N33*N36</f>
        <v>1.92703625663583</v>
      </c>
      <c r="O96" s="63" t="n">
        <f aca="false">Ratio!O33*O36</f>
        <v>1.78226016834416</v>
      </c>
      <c r="P96" s="68" t="n">
        <f aca="false">Ratio!P33*P36</f>
        <v>1.9709659010906</v>
      </c>
      <c r="Q96" s="67" t="n">
        <f aca="false">Ratio!Q33*Q36</f>
        <v>1.6960405362569</v>
      </c>
      <c r="R96" s="63" t="n">
        <f aca="false">Ratio!R33*R36</f>
        <v>1.57744704770651</v>
      </c>
      <c r="S96" s="63" t="n">
        <f aca="false">Ratio!S33*S36</f>
        <v>1.60633409966952</v>
      </c>
      <c r="T96" s="63" t="n">
        <f aca="false">Ratio!T33*T36</f>
        <v>1.64637826179975</v>
      </c>
      <c r="U96" s="63" t="n">
        <f aca="false">Ratio!U33*U36</f>
        <v>1.81364392959353</v>
      </c>
      <c r="V96" s="63" t="n">
        <f aca="false">Ratio!V33*V36</f>
        <v>2.0770530059383</v>
      </c>
      <c r="W96" s="63" t="n">
        <f aca="false">Ratio!W33*W36</f>
        <v>1.82528736934263</v>
      </c>
      <c r="X96" s="68" t="n">
        <f aca="false">Ratio!X33*X36</f>
        <v>2.1101706024157</v>
      </c>
      <c r="Y96" s="67" t="n">
        <f aca="false">Ratio!Y33*Y36</f>
        <v>1.94619069329432</v>
      </c>
      <c r="Z96" s="63" t="n">
        <f aca="false">Ratio!Z33*Z36</f>
        <v>1.56999886509248</v>
      </c>
      <c r="AA96" s="63" t="n">
        <f aca="false">Ratio!AA33*AA36</f>
        <v>1.65373182702222</v>
      </c>
      <c r="AB96" s="63" t="n">
        <f aca="false">Ratio!AB33*AB36</f>
        <v>1.25608527959803</v>
      </c>
      <c r="AC96" s="68" t="n">
        <f aca="false">Ratio!AC33*AC36</f>
        <v>1.10143106578401</v>
      </c>
      <c r="AD96" s="67" t="n">
        <f aca="false">Ratio!AD33*AD36</f>
        <v>1.02533461398083</v>
      </c>
      <c r="AE96" s="63" t="n">
        <f aca="false">Ratio!AE33*AE36</f>
        <v>0.942093076700766</v>
      </c>
      <c r="AF96" s="63" t="n">
        <f aca="false">Ratio!AF33*AF36</f>
        <v>0.981801054697432</v>
      </c>
      <c r="AG96" s="63" t="n">
        <f aca="false">Ratio!AG33*AG36</f>
        <v>0.706150421768546</v>
      </c>
      <c r="AH96" s="63" t="n">
        <f aca="false">Ratio!AH33*AH36</f>
        <v>0.855442601957236</v>
      </c>
      <c r="AI96" s="68" t="n">
        <f aca="false">Ratio!AI33*AI36</f>
        <v>1.16054343166577</v>
      </c>
      <c r="AJ96" s="67" t="n">
        <f aca="false">Ratio!AJ33*AJ36</f>
        <v>0.85486447117986</v>
      </c>
      <c r="AK96" s="63" t="n">
        <f aca="false">Ratio!AK33*AK36</f>
        <v>0.64857889803215</v>
      </c>
      <c r="AL96" s="63" t="n">
        <f aca="false">Ratio!AL33*AL36</f>
        <v>0.635630328259995</v>
      </c>
      <c r="AM96" s="63" t="n">
        <f aca="false">Ratio!AM33*AM36</f>
        <v>0.624587569572651</v>
      </c>
      <c r="AN96" s="68" t="n">
        <f aca="false">Ratio!AN33*AN36</f>
        <v>1.49328998940247</v>
      </c>
      <c r="AO96" s="67" t="n">
        <f aca="false">Ratio!AO33*AO36</f>
        <v>1.2356604905204</v>
      </c>
      <c r="AP96" s="63" t="n">
        <f aca="false">Ratio!AP33*AP36</f>
        <v>1.31890304597761</v>
      </c>
      <c r="AQ96" s="63" t="n">
        <f aca="false">Ratio!AQ33*AQ36</f>
        <v>1.29658972957708</v>
      </c>
    </row>
    <row r="97" customFormat="false" ht="12.8" hidden="false" customHeight="false" outlineLevel="0" collapsed="false">
      <c r="A97" s="139" t="s">
        <v>180</v>
      </c>
      <c r="B97" s="65" t="n">
        <f aca="false">Ratio!B34*B37</f>
        <v>2.61100387957331</v>
      </c>
      <c r="C97" s="65" t="n">
        <f aca="false">Ratio!C34*C37</f>
        <v>2.71437966652888</v>
      </c>
      <c r="D97" s="63" t="n">
        <f aca="false">Ratio!D34*D37</f>
        <v>2.75039335172173</v>
      </c>
      <c r="E97" s="63" t="n">
        <f aca="false">Ratio!E34*E37</f>
        <v>2.88056279052731</v>
      </c>
      <c r="F97" s="63" t="n">
        <f aca="false">Ratio!F34*F37</f>
        <v>3.02571612006577</v>
      </c>
      <c r="G97" s="63" t="n">
        <f aca="false">Ratio!G34*G37</f>
        <v>4.25664573607681</v>
      </c>
      <c r="H97" s="63" t="n">
        <f aca="false">Ratio!H34*H37</f>
        <v>4.27802390728534</v>
      </c>
      <c r="I97" s="68" t="n">
        <f aca="false">Ratio!I34*I37</f>
        <v>4.50375862552064</v>
      </c>
      <c r="J97" s="67" t="n">
        <f aca="false">Ratio!J34*J37</f>
        <v>4.11896127514753</v>
      </c>
      <c r="K97" s="65" t="n">
        <f aca="false">Ratio!K34*K37</f>
        <v>4.75577675518822</v>
      </c>
      <c r="L97" s="63" t="n">
        <f aca="false">Ratio!L34*L37</f>
        <v>4.60383744710201</v>
      </c>
      <c r="M97" s="63" t="n">
        <f aca="false">Ratio!M34*M37</f>
        <v>4.6088882608671</v>
      </c>
      <c r="N97" s="63" t="n">
        <f aca="false">Ratio!N34*N37</f>
        <v>4.62648180493804</v>
      </c>
      <c r="O97" s="63" t="n">
        <f aca="false">Ratio!O34*O37</f>
        <v>4.80852486150257</v>
      </c>
      <c r="P97" s="68" t="n">
        <f aca="false">Ratio!P34*P37</f>
        <v>4.21063489378793</v>
      </c>
      <c r="Q97" s="67" t="n">
        <f aca="false">Ratio!Q34*Q37</f>
        <v>3.93392507125969</v>
      </c>
      <c r="R97" s="63" t="n">
        <f aca="false">Ratio!R34*R37</f>
        <v>3.73282209399699</v>
      </c>
      <c r="S97" s="63" t="n">
        <f aca="false">Ratio!S34*S37</f>
        <v>3.98464517436647</v>
      </c>
      <c r="T97" s="63" t="n">
        <f aca="false">Ratio!T34*T37</f>
        <v>3.9790336753037</v>
      </c>
      <c r="U97" s="63" t="n">
        <f aca="false">Ratio!U34*U37</f>
        <v>3.49984732887587</v>
      </c>
      <c r="V97" s="63" t="n">
        <f aca="false">Ratio!V34*V37</f>
        <v>3.57117568326931</v>
      </c>
      <c r="W97" s="63" t="n">
        <f aca="false">Ratio!W34*W37</f>
        <v>3.52419775013908</v>
      </c>
      <c r="X97" s="68" t="n">
        <f aca="false">Ratio!X34*X37</f>
        <v>3.58626410734277</v>
      </c>
      <c r="Y97" s="67" t="n">
        <f aca="false">Ratio!Y34*Y37</f>
        <v>3.31721840039968</v>
      </c>
      <c r="Z97" s="63" t="n">
        <f aca="false">Ratio!Z34*Z37</f>
        <v>3.32044895005729</v>
      </c>
      <c r="AA97" s="63" t="n">
        <f aca="false">Ratio!AA34*AA37</f>
        <v>3.60522343323003</v>
      </c>
      <c r="AB97" s="63" t="n">
        <f aca="false">Ratio!AB34*AB37</f>
        <v>3.93269771169417</v>
      </c>
      <c r="AC97" s="68" t="n">
        <f aca="false">Ratio!AC34*AC37</f>
        <v>3.77548119462917</v>
      </c>
      <c r="AD97" s="67" t="n">
        <f aca="false">Ratio!AD34*AD37</f>
        <v>3.66561110677507</v>
      </c>
      <c r="AE97" s="63" t="n">
        <f aca="false">Ratio!AE34*AE37</f>
        <v>3.8533662163839</v>
      </c>
      <c r="AF97" s="63" t="n">
        <f aca="false">Ratio!AF34*AF37</f>
        <v>3.86198468004901</v>
      </c>
      <c r="AG97" s="63" t="n">
        <f aca="false">Ratio!AG34*AG37</f>
        <v>4.12912841297011</v>
      </c>
      <c r="AH97" s="63" t="n">
        <f aca="false">Ratio!AH34*AH37</f>
        <v>3.40575401758942</v>
      </c>
      <c r="AI97" s="68" t="n">
        <f aca="false">Ratio!AI34*AI37</f>
        <v>3.79978648566442</v>
      </c>
      <c r="AJ97" s="67" t="n">
        <f aca="false">Ratio!AJ34*AJ37</f>
        <v>3.96372266039456</v>
      </c>
      <c r="AK97" s="63" t="n">
        <f aca="false">Ratio!AK34*AK37</f>
        <v>3.88231633955239</v>
      </c>
      <c r="AL97" s="63" t="n">
        <f aca="false">Ratio!AL34*AL37</f>
        <v>3.77404644242441</v>
      </c>
      <c r="AM97" s="63" t="n">
        <f aca="false">Ratio!AM34*AM37</f>
        <v>3.82179368047846</v>
      </c>
      <c r="AN97" s="68" t="n">
        <f aca="false">Ratio!AN34*AN37</f>
        <v>3.78516338729745</v>
      </c>
      <c r="AO97" s="67" t="n">
        <f aca="false">Ratio!AO34*AO37</f>
        <v>3.86155707646083</v>
      </c>
      <c r="AP97" s="63" t="n">
        <f aca="false">Ratio!AP34*AP37</f>
        <v>3.74918599179011</v>
      </c>
      <c r="AQ97" s="63" t="n">
        <f aca="false">Ratio!AQ34*AQ37</f>
        <v>3.78317230815128</v>
      </c>
    </row>
    <row r="98" customFormat="false" ht="12.8" hidden="false" customHeight="false" outlineLevel="0" collapsed="false">
      <c r="A98" s="139" t="s">
        <v>181</v>
      </c>
      <c r="B98" s="65" t="n">
        <f aca="false">Ratio!B35*B38</f>
        <v>1.43795379709558</v>
      </c>
      <c r="C98" s="65" t="n">
        <f aca="false">Ratio!C35*C38</f>
        <v>1.39491382853268</v>
      </c>
      <c r="D98" s="63" t="n">
        <f aca="false">Ratio!D35*D38</f>
        <v>1.42880272088165</v>
      </c>
      <c r="E98" s="63" t="n">
        <f aca="false">Ratio!E35*E38</f>
        <v>1.37254268546502</v>
      </c>
      <c r="F98" s="63" t="n">
        <f aca="false">Ratio!F35*F38</f>
        <v>1.25626817049576</v>
      </c>
      <c r="G98" s="63" t="n">
        <f aca="false">Ratio!G35*G38</f>
        <v>1.68258310848325</v>
      </c>
      <c r="H98" s="63" t="n">
        <f aca="false">Ratio!H35*H38</f>
        <v>1.79308516202614</v>
      </c>
      <c r="I98" s="68" t="n">
        <f aca="false">Ratio!I35*I38</f>
        <v>1.57975692784515</v>
      </c>
      <c r="J98" s="67" t="n">
        <f aca="false">Ratio!J35*J38</f>
        <v>1.36758625108419</v>
      </c>
      <c r="K98" s="65" t="n">
        <f aca="false">Ratio!K35*K38</f>
        <v>1.30612190774011</v>
      </c>
      <c r="L98" s="63" t="n">
        <f aca="false">Ratio!L35*L38</f>
        <v>1.30188451206372</v>
      </c>
      <c r="M98" s="63" t="n">
        <f aca="false">Ratio!M35*M38</f>
        <v>1.30209351766346</v>
      </c>
      <c r="N98" s="63" t="n">
        <f aca="false">Ratio!N35*N38</f>
        <v>1.29671290183714</v>
      </c>
      <c r="O98" s="63" t="n">
        <f aca="false">Ratio!O35*O38</f>
        <v>1.26547856944052</v>
      </c>
      <c r="P98" s="68" t="n">
        <f aca="false">Ratio!P35*P38</f>
        <v>1.39721645822094</v>
      </c>
      <c r="Q98" s="67" t="n">
        <f aca="false">Ratio!Q35*Q38</f>
        <v>1.2400525356272</v>
      </c>
      <c r="R98" s="63" t="n">
        <f aca="false">Ratio!R35*R38</f>
        <v>1.14848572721789</v>
      </c>
      <c r="S98" s="63" t="n">
        <f aca="false">Ratio!S35*S38</f>
        <v>1.27996818439737</v>
      </c>
      <c r="T98" s="63" t="n">
        <f aca="false">Ratio!T35*T38</f>
        <v>1.23539995047178</v>
      </c>
      <c r="U98" s="63" t="n">
        <f aca="false">Ratio!U35*U38</f>
        <v>1.84912500088302</v>
      </c>
      <c r="V98" s="63" t="n">
        <f aca="false">Ratio!V35*V38</f>
        <v>1.82197923960278</v>
      </c>
      <c r="W98" s="63" t="n">
        <f aca="false">Ratio!W35*W38</f>
        <v>1.68525363209196</v>
      </c>
      <c r="X98" s="68" t="n">
        <f aca="false">Ratio!X35*X38</f>
        <v>1.88404059904189</v>
      </c>
      <c r="Y98" s="67" t="n">
        <f aca="false">Ratio!Y35*Y38</f>
        <v>2.02398854057551</v>
      </c>
      <c r="Z98" s="63" t="n">
        <f aca="false">Ratio!Z35*Z38</f>
        <v>1.77054488301194</v>
      </c>
      <c r="AA98" s="63" t="n">
        <f aca="false">Ratio!AA35*AA38</f>
        <v>1.87547945521027</v>
      </c>
      <c r="AB98" s="63" t="n">
        <f aca="false">Ratio!AB35*AB38</f>
        <v>1.47559818191486</v>
      </c>
      <c r="AC98" s="68" t="n">
        <f aca="false">Ratio!AC35*AC38</f>
        <v>1.12342517682638</v>
      </c>
      <c r="AD98" s="67" t="n">
        <f aca="false">Ratio!AD35*AD38</f>
        <v>1.0798904504831</v>
      </c>
      <c r="AE98" s="63" t="n">
        <f aca="false">Ratio!AE35*AE38</f>
        <v>1.00049223464945</v>
      </c>
      <c r="AF98" s="63" t="n">
        <f aca="false">Ratio!AF35*AF38</f>
        <v>1.01025618375545</v>
      </c>
      <c r="AG98" s="63" t="n">
        <f aca="false">Ratio!AG35*AG38</f>
        <v>0.922521709087088</v>
      </c>
      <c r="AH98" s="63" t="n">
        <f aca="false">Ratio!AH35*AH38</f>
        <v>0.635842072272398</v>
      </c>
      <c r="AI98" s="68" t="n">
        <f aca="false">Ratio!AI35*AI38</f>
        <v>0.902490659759213</v>
      </c>
      <c r="AJ98" s="67" t="n">
        <f aca="false">Ratio!AJ35*AJ38</f>
        <v>0.793926199283294</v>
      </c>
      <c r="AK98" s="63" t="n">
        <f aca="false">Ratio!AK35*AK38</f>
        <v>0.768838031309013</v>
      </c>
      <c r="AL98" s="63" t="n">
        <f aca="false">Ratio!AL35*AL38</f>
        <v>0.713346653769837</v>
      </c>
      <c r="AM98" s="63" t="n">
        <f aca="false">Ratio!AM35*AM38</f>
        <v>0.628453043843981</v>
      </c>
      <c r="AN98" s="68" t="n">
        <f aca="false">Ratio!AN35*AN38</f>
        <v>0.569651144502721</v>
      </c>
      <c r="AO98" s="67" t="n">
        <f aca="false">Ratio!AO35*AO38</f>
        <v>0.524448436302696</v>
      </c>
      <c r="AP98" s="63" t="n">
        <f aca="false">Ratio!AP35*AP38</f>
        <v>0.532874353700589</v>
      </c>
      <c r="AQ98" s="63" t="n">
        <f aca="false">Ratio!AQ35*AQ38</f>
        <v>0.514672804460637</v>
      </c>
    </row>
    <row r="99" customFormat="false" ht="12.8" hidden="false" customHeight="false" outlineLevel="0" collapsed="false">
      <c r="A99" s="139" t="s">
        <v>30</v>
      </c>
      <c r="B99" s="65" t="n">
        <f aca="false">Ratio!B36*B39</f>
        <v>2.27906524266386</v>
      </c>
      <c r="C99" s="65" t="n">
        <f aca="false">Ratio!C36*C39</f>
        <v>2.09881964940213</v>
      </c>
      <c r="D99" s="63" t="n">
        <f aca="false">Ratio!D36*D39</f>
        <v>2.09630568386241</v>
      </c>
      <c r="E99" s="63" t="n">
        <f aca="false">Ratio!E36*E39</f>
        <v>1.88016994076393</v>
      </c>
      <c r="F99" s="63" t="n">
        <f aca="false">Ratio!F36*F39</f>
        <v>1.81766122610475</v>
      </c>
      <c r="G99" s="63" t="n">
        <f aca="false">Ratio!G36*G39</f>
        <v>1.92049008392312</v>
      </c>
      <c r="H99" s="63" t="n">
        <f aca="false">Ratio!H36*H39</f>
        <v>2.31957428023928</v>
      </c>
      <c r="I99" s="68" t="n">
        <f aca="false">Ratio!I36*I39</f>
        <v>2.26019996452652</v>
      </c>
      <c r="J99" s="67" t="n">
        <f aca="false">Ratio!J36*J39</f>
        <v>2.07439857891277</v>
      </c>
      <c r="K99" s="65" t="n">
        <f aca="false">Ratio!K36*K39</f>
        <v>2.06961677271235</v>
      </c>
      <c r="L99" s="63" t="n">
        <f aca="false">Ratio!L36*L39</f>
        <v>2.03499407202788</v>
      </c>
      <c r="M99" s="63" t="n">
        <f aca="false">Ratio!M36*M39</f>
        <v>2.03216961830298</v>
      </c>
      <c r="N99" s="63" t="n">
        <f aca="false">Ratio!N36*N39</f>
        <v>2.0271409260686</v>
      </c>
      <c r="O99" s="63" t="n">
        <f aca="false">Ratio!O36*O39</f>
        <v>2.03608148588611</v>
      </c>
      <c r="P99" s="68" t="n">
        <f aca="false">Ratio!P36*P39</f>
        <v>2.12133082334129</v>
      </c>
      <c r="Q99" s="67" t="n">
        <f aca="false">Ratio!Q36*Q39</f>
        <v>2.16004130347898</v>
      </c>
      <c r="R99" s="63" t="n">
        <f aca="false">Ratio!R36*R39</f>
        <v>2.09404792868404</v>
      </c>
      <c r="S99" s="63" t="n">
        <f aca="false">Ratio!S36*S39</f>
        <v>2.20504047649037</v>
      </c>
      <c r="T99" s="63" t="n">
        <f aca="false">Ratio!T36*T39</f>
        <v>2.09246907437179</v>
      </c>
      <c r="U99" s="63" t="n">
        <f aca="false">Ratio!U36*U39</f>
        <v>2.93532101742064</v>
      </c>
      <c r="V99" s="63" t="n">
        <f aca="false">Ratio!V36*V39</f>
        <v>2.74243583593373</v>
      </c>
      <c r="W99" s="63" t="n">
        <f aca="false">Ratio!W36*W39</f>
        <v>2.57960165061587</v>
      </c>
      <c r="X99" s="68" t="n">
        <f aca="false">Ratio!X36*X39</f>
        <v>2.9592648741981</v>
      </c>
      <c r="Y99" s="67" t="n">
        <f aca="false">Ratio!Y36*Y39</f>
        <v>2.84121743145886</v>
      </c>
      <c r="Z99" s="63" t="n">
        <f aca="false">Ratio!Z36*Z39</f>
        <v>2.66216744288293</v>
      </c>
      <c r="AA99" s="63" t="n">
        <f aca="false">Ratio!AA36*AA39</f>
        <v>2.79001498335868</v>
      </c>
      <c r="AB99" s="63" t="n">
        <f aca="false">Ratio!AB36*AB39</f>
        <v>2.39211984624648</v>
      </c>
      <c r="AC99" s="68" t="n">
        <f aca="false">Ratio!AC36*AC39</f>
        <v>2.68968804994257</v>
      </c>
      <c r="AD99" s="67" t="n">
        <f aca="false">Ratio!AD36*AD39</f>
        <v>2.50183608498135</v>
      </c>
      <c r="AE99" s="63" t="n">
        <f aca="false">Ratio!AE36*AE39</f>
        <v>2.41379475467609</v>
      </c>
      <c r="AF99" s="63" t="n">
        <f aca="false">Ratio!AF36*AF39</f>
        <v>2.56039840511591</v>
      </c>
      <c r="AG99" s="63" t="n">
        <f aca="false">Ratio!AG36*AG39</f>
        <v>2.25517864638389</v>
      </c>
      <c r="AH99" s="63" t="n">
        <f aca="false">Ratio!AH36*AH39</f>
        <v>2.0402743457295</v>
      </c>
      <c r="AI99" s="68" t="n">
        <f aca="false">Ratio!AI36*AI39</f>
        <v>3.04422222566305</v>
      </c>
      <c r="AJ99" s="67" t="n">
        <f aca="false">Ratio!AJ36*AJ39</f>
        <v>2.78716902428938</v>
      </c>
      <c r="AK99" s="63" t="n">
        <f aca="false">Ratio!AK36*AK39</f>
        <v>2.75215682488566</v>
      </c>
      <c r="AL99" s="63" t="n">
        <f aca="false">Ratio!AL36*AL39</f>
        <v>2.53318351930482</v>
      </c>
      <c r="AM99" s="63" t="n">
        <f aca="false">Ratio!AM36*AM39</f>
        <v>2.08431030684832</v>
      </c>
      <c r="AN99" s="68" t="n">
        <f aca="false">Ratio!AN36*AN39</f>
        <v>2.35516326538136</v>
      </c>
      <c r="AO99" s="67" t="n">
        <f aca="false">Ratio!AO36*AO39</f>
        <v>2.39593851969999</v>
      </c>
      <c r="AP99" s="63" t="n">
        <f aca="false">Ratio!AP36*AP39</f>
        <v>2.31557156707309</v>
      </c>
      <c r="AQ99" s="63" t="n">
        <f aca="false">Ratio!AQ36*AQ39</f>
        <v>2.23875692507334</v>
      </c>
    </row>
    <row r="100" customFormat="false" ht="12.8" hidden="false" customHeight="false" outlineLevel="0" collapsed="false">
      <c r="A100" s="139" t="s">
        <v>182</v>
      </c>
      <c r="B100" s="65" t="n">
        <f aca="false">Ratio!B37*B40</f>
        <v>0.768484309971408</v>
      </c>
      <c r="C100" s="65" t="n">
        <f aca="false">Ratio!C37*C40</f>
        <v>0.7327723292704</v>
      </c>
      <c r="D100" s="63" t="n">
        <f aca="false">Ratio!D37*D40</f>
        <v>0.722440257358561</v>
      </c>
      <c r="E100" s="63" t="n">
        <f aca="false">Ratio!E37*E40</f>
        <v>0.653822723337302</v>
      </c>
      <c r="F100" s="63" t="n">
        <f aca="false">Ratio!F37*F40</f>
        <v>0.679349956214939</v>
      </c>
      <c r="G100" s="63" t="n">
        <f aca="false">Ratio!G37*G40</f>
        <v>0.90488433561879</v>
      </c>
      <c r="H100" s="63" t="n">
        <f aca="false">Ratio!H37*H40</f>
        <v>0.863792998300016</v>
      </c>
      <c r="I100" s="68" t="n">
        <f aca="false">Ratio!I37*I40</f>
        <v>0.827486791847429</v>
      </c>
      <c r="J100" s="67" t="n">
        <f aca="false">Ratio!J37*J40</f>
        <v>0.843811642082641</v>
      </c>
      <c r="K100" s="65" t="n">
        <f aca="false">Ratio!K37*K40</f>
        <v>0.821197991423915</v>
      </c>
      <c r="L100" s="63" t="n">
        <f aca="false">Ratio!L37*L40</f>
        <v>0.81268343503157</v>
      </c>
      <c r="M100" s="63" t="n">
        <f aca="false">Ratio!M37*M40</f>
        <v>0.814955236811538</v>
      </c>
      <c r="N100" s="63" t="n">
        <f aca="false">Ratio!N37*N40</f>
        <v>0.813848905288106</v>
      </c>
      <c r="O100" s="63" t="n">
        <f aca="false">Ratio!O37*O40</f>
        <v>0.809573574810263</v>
      </c>
      <c r="P100" s="68" t="n">
        <f aca="false">Ratio!P37*P40</f>
        <v>0.835099326682712</v>
      </c>
      <c r="Q100" s="67" t="n">
        <f aca="false">Ratio!Q37*Q40</f>
        <v>0.862591343894105</v>
      </c>
      <c r="R100" s="63" t="n">
        <f aca="false">Ratio!R37*R40</f>
        <v>0.877438634669253</v>
      </c>
      <c r="S100" s="63" t="n">
        <f aca="false">Ratio!S37*S40</f>
        <v>0.871491275282474</v>
      </c>
      <c r="T100" s="63" t="n">
        <f aca="false">Ratio!T37*T40</f>
        <v>1.03286433155968</v>
      </c>
      <c r="U100" s="63" t="n">
        <f aca="false">Ratio!U37*U40</f>
        <v>1.55292870326173</v>
      </c>
      <c r="V100" s="63" t="n">
        <f aca="false">Ratio!V37*V40</f>
        <v>1.44935752943112</v>
      </c>
      <c r="W100" s="63" t="n">
        <f aca="false">Ratio!W37*W40</f>
        <v>1.45114665544362</v>
      </c>
      <c r="X100" s="68" t="n">
        <f aca="false">Ratio!X37*X40</f>
        <v>1.50644402285311</v>
      </c>
      <c r="Y100" s="67" t="n">
        <f aca="false">Ratio!Y37*Y40</f>
        <v>1.25637078985965</v>
      </c>
      <c r="Z100" s="63" t="n">
        <f aca="false">Ratio!Z37*Z40</f>
        <v>1.26818633567755</v>
      </c>
      <c r="AA100" s="63" t="n">
        <f aca="false">Ratio!AA37*AA40</f>
        <v>1.2111477737419</v>
      </c>
      <c r="AB100" s="63" t="n">
        <f aca="false">Ratio!AB37*AB40</f>
        <v>1.03955810971874</v>
      </c>
      <c r="AC100" s="68" t="n">
        <f aca="false">Ratio!AC37*AC40</f>
        <v>0.920302407919654</v>
      </c>
      <c r="AD100" s="67" t="n">
        <f aca="false">Ratio!AD37*AD40</f>
        <v>0.830679425842123</v>
      </c>
      <c r="AE100" s="63" t="n">
        <f aca="false">Ratio!AE37*AE40</f>
        <v>0.814205515178162</v>
      </c>
      <c r="AF100" s="63" t="n">
        <f aca="false">Ratio!AF37*AF40</f>
        <v>0.841112920687007</v>
      </c>
      <c r="AG100" s="63" t="n">
        <f aca="false">Ratio!AG37*AG40</f>
        <v>0.675777638791362</v>
      </c>
      <c r="AH100" s="63" t="n">
        <f aca="false">Ratio!AH37*AH40</f>
        <v>0.601992987346061</v>
      </c>
      <c r="AI100" s="68" t="n">
        <f aca="false">Ratio!AI37*AI40</f>
        <v>0.699130142708592</v>
      </c>
      <c r="AJ100" s="67" t="n">
        <f aca="false">Ratio!AJ37*AJ40</f>
        <v>0.727127139757999</v>
      </c>
      <c r="AK100" s="63" t="n">
        <f aca="false">Ratio!AK37*AK40</f>
        <v>0.700516531211776</v>
      </c>
      <c r="AL100" s="63" t="n">
        <f aca="false">Ratio!AL37*AL40</f>
        <v>0.722420925743892</v>
      </c>
      <c r="AM100" s="63" t="n">
        <f aca="false">Ratio!AM37*AM40</f>
        <v>0.655508765130342</v>
      </c>
      <c r="AN100" s="68" t="n">
        <f aca="false">Ratio!AN37*AN40</f>
        <v>1.01537565652839</v>
      </c>
      <c r="AO100" s="67" t="n">
        <f aca="false">Ratio!AO37*AO40</f>
        <v>1.04788241001709</v>
      </c>
      <c r="AP100" s="63" t="n">
        <f aca="false">Ratio!AP37*AP40</f>
        <v>1.02892517190662</v>
      </c>
      <c r="AQ100" s="63" t="n">
        <f aca="false">Ratio!AQ37*AQ40</f>
        <v>1.03245485562229</v>
      </c>
    </row>
    <row r="101" customFormat="false" ht="12.8" hidden="false" customHeight="false" outlineLevel="0" collapsed="false">
      <c r="A101" s="139" t="s">
        <v>183</v>
      </c>
      <c r="B101" s="65" t="n">
        <f aca="false">Ratio!B38*B41</f>
        <v>0.495241038820474</v>
      </c>
      <c r="C101" s="65" t="n">
        <f aca="false">Ratio!C38*C41</f>
        <v>0.506306429382817</v>
      </c>
      <c r="D101" s="63" t="n">
        <f aca="false">Ratio!D38*D41</f>
        <v>0.499901553033488</v>
      </c>
      <c r="E101" s="63" t="n">
        <f aca="false">Ratio!E38*E41</f>
        <v>0.497626858811718</v>
      </c>
      <c r="F101" s="63" t="n">
        <f aca="false">Ratio!F38*F41</f>
        <v>0.503798261308384</v>
      </c>
      <c r="G101" s="63" t="n">
        <f aca="false">Ratio!G38*G41</f>
        <v>0.591634983902898</v>
      </c>
      <c r="H101" s="63" t="n">
        <f aca="false">Ratio!H38*H41</f>
        <v>0.569661940325162</v>
      </c>
      <c r="I101" s="68" t="n">
        <f aca="false">Ratio!I38*I41</f>
        <v>0.563808435980127</v>
      </c>
      <c r="J101" s="67" t="n">
        <f aca="false">Ratio!J38*J41</f>
        <v>0.60460452841548</v>
      </c>
      <c r="K101" s="65" t="n">
        <f aca="false">Ratio!K38*K41</f>
        <v>0.625047407911447</v>
      </c>
      <c r="L101" s="63" t="n">
        <f aca="false">Ratio!L38*L41</f>
        <v>0.599759452158319</v>
      </c>
      <c r="M101" s="63" t="n">
        <f aca="false">Ratio!M38*M41</f>
        <v>0.600877530912152</v>
      </c>
      <c r="N101" s="63" t="n">
        <f aca="false">Ratio!N38*N41</f>
        <v>0.606200789687595</v>
      </c>
      <c r="O101" s="63" t="n">
        <f aca="false">Ratio!O38*O41</f>
        <v>0.633407120541669</v>
      </c>
      <c r="P101" s="68" t="n">
        <f aca="false">Ratio!P38*P41</f>
        <v>0.571940659660566</v>
      </c>
      <c r="Q101" s="67" t="n">
        <f aca="false">Ratio!Q38*Q41</f>
        <v>0.58471870483887</v>
      </c>
      <c r="R101" s="63" t="n">
        <f aca="false">Ratio!R38*R41</f>
        <v>0.580754495047631</v>
      </c>
      <c r="S101" s="63" t="n">
        <f aca="false">Ratio!S38*S41</f>
        <v>0.58620771135706</v>
      </c>
      <c r="T101" s="63" t="n">
        <f aca="false">Ratio!T38*T41</f>
        <v>0.724918306669493</v>
      </c>
      <c r="U101" s="63" t="n">
        <f aca="false">Ratio!U38*U41</f>
        <v>0.637072518062019</v>
      </c>
      <c r="V101" s="63" t="n">
        <f aca="false">Ratio!V38*V41</f>
        <v>0.597112235505398</v>
      </c>
      <c r="W101" s="63" t="n">
        <f aca="false">Ratio!W38*W41</f>
        <v>0.614023928225592</v>
      </c>
      <c r="X101" s="68" t="n">
        <f aca="false">Ratio!X38*X41</f>
        <v>0.638994219976307</v>
      </c>
      <c r="Y101" s="67" t="n">
        <f aca="false">Ratio!Y38*Y41</f>
        <v>0.599562294400288</v>
      </c>
      <c r="Z101" s="63" t="n">
        <f aca="false">Ratio!Z38*Z41</f>
        <v>0.612184857084031</v>
      </c>
      <c r="AA101" s="63" t="n">
        <f aca="false">Ratio!AA38*AA41</f>
        <v>0.582101283515866</v>
      </c>
      <c r="AB101" s="63" t="n">
        <f aca="false">Ratio!AB38*AB41</f>
        <v>0.552619924864864</v>
      </c>
      <c r="AC101" s="68" t="n">
        <f aca="false">Ratio!AC38*AC41</f>
        <v>0.666246016761659</v>
      </c>
      <c r="AD101" s="67" t="n">
        <f aca="false">Ratio!AD38*AD41</f>
        <v>0.640200829248489</v>
      </c>
      <c r="AE101" s="63" t="n">
        <f aca="false">Ratio!AE38*AE41</f>
        <v>0.599512223427038</v>
      </c>
      <c r="AF101" s="63" t="n">
        <f aca="false">Ratio!AF38*AF41</f>
        <v>0.573286215194392</v>
      </c>
      <c r="AG101" s="63" t="n">
        <f aca="false">Ratio!AG38*AG41</f>
        <v>0.580731688347952</v>
      </c>
      <c r="AH101" s="63" t="n">
        <f aca="false">Ratio!AH38*AH41</f>
        <v>0.579205913344026</v>
      </c>
      <c r="AI101" s="68" t="n">
        <f aca="false">Ratio!AI38*AI41</f>
        <v>0.727806310451362</v>
      </c>
      <c r="AJ101" s="67" t="n">
        <f aca="false">Ratio!AJ38*AJ41</f>
        <v>0.795243954045028</v>
      </c>
      <c r="AK101" s="63" t="n">
        <f aca="false">Ratio!AK38*AK41</f>
        <v>0.719366200497927</v>
      </c>
      <c r="AL101" s="63" t="n">
        <f aca="false">Ratio!AL38*AL41</f>
        <v>0.673853964869629</v>
      </c>
      <c r="AM101" s="63" t="n">
        <f aca="false">Ratio!AM38*AM41</f>
        <v>0.662737291641192</v>
      </c>
      <c r="AN101" s="68" t="n">
        <f aca="false">Ratio!AN38*AN41</f>
        <v>0.533960417474795</v>
      </c>
      <c r="AO101" s="67" t="n">
        <f aca="false">Ratio!AO38*AO41</f>
        <v>0.499056551284868</v>
      </c>
      <c r="AP101" s="63" t="n">
        <f aca="false">Ratio!AP38*AP41</f>
        <v>0.517898727862619</v>
      </c>
      <c r="AQ101" s="63" t="n">
        <f aca="false">Ratio!AQ38*AQ41</f>
        <v>0.509792627171876</v>
      </c>
    </row>
    <row r="102" customFormat="false" ht="12.8" hidden="false" customHeight="false" outlineLevel="0" collapsed="false">
      <c r="A102" s="139" t="s">
        <v>27</v>
      </c>
      <c r="B102" s="65" t="n">
        <f aca="false">Ratio!B39*B42</f>
        <v>0.194494954844673</v>
      </c>
      <c r="C102" s="65" t="n">
        <f aca="false">Ratio!C39*C42</f>
        <v>0.194291125324749</v>
      </c>
      <c r="D102" s="63" t="n">
        <f aca="false">Ratio!D39*D42</f>
        <v>0.191833304208406</v>
      </c>
      <c r="E102" s="63" t="n">
        <f aca="false">Ratio!E39*E42</f>
        <v>0.172327684373633</v>
      </c>
      <c r="F102" s="63" t="n">
        <f aca="false">Ratio!F39*F42</f>
        <v>0.15983055368994</v>
      </c>
      <c r="G102" s="63" t="n">
        <f aca="false">Ratio!G39*G42</f>
        <v>0.113633272676402</v>
      </c>
      <c r="H102" s="63" t="n">
        <f aca="false">Ratio!H39*H42</f>
        <v>0.109412986654896</v>
      </c>
      <c r="I102" s="68" t="n">
        <f aca="false">Ratio!I39*I42</f>
        <v>0.105647620181892</v>
      </c>
      <c r="J102" s="67" t="n">
        <f aca="false">Ratio!J39*J42</f>
        <v>0.115809612588652</v>
      </c>
      <c r="K102" s="65" t="n">
        <f aca="false">Ratio!K39*K42</f>
        <v>0.153134204398047</v>
      </c>
      <c r="L102" s="63" t="n">
        <f aca="false">Ratio!L39*L42</f>
        <v>0.14693875276335</v>
      </c>
      <c r="M102" s="63" t="n">
        <f aca="false">Ratio!M39*M42</f>
        <v>0.147880558599609</v>
      </c>
      <c r="N102" s="63" t="n">
        <f aca="false">Ratio!N39*N42</f>
        <v>0.136086095357303</v>
      </c>
      <c r="O102" s="63" t="n">
        <f aca="false">Ratio!O39*O42</f>
        <v>0.0834922063642415</v>
      </c>
      <c r="P102" s="68" t="n">
        <f aca="false">Ratio!P39*P42</f>
        <v>0.066738387511411</v>
      </c>
      <c r="Q102" s="67" t="n">
        <f aca="false">Ratio!Q39*Q42</f>
        <v>0.0733738485831754</v>
      </c>
      <c r="R102" s="63" t="n">
        <f aca="false">Ratio!R39*R42</f>
        <v>0.0699786115349706</v>
      </c>
      <c r="S102" s="63" t="n">
        <f aca="false">Ratio!S39*S42</f>
        <v>0.0784016871582105</v>
      </c>
      <c r="T102" s="63" t="n">
        <f aca="false">Ratio!T39*T42</f>
        <v>0.0702687717686029</v>
      </c>
      <c r="U102" s="63" t="n">
        <f aca="false">Ratio!U39*U42</f>
        <v>0.329802946330337</v>
      </c>
      <c r="V102" s="63" t="n">
        <f aca="false">Ratio!V39*V42</f>
        <v>0.318773146992012</v>
      </c>
      <c r="W102" s="63" t="n">
        <f aca="false">Ratio!W39*W42</f>
        <v>0.327801589534</v>
      </c>
      <c r="X102" s="68" t="n">
        <f aca="false">Ratio!X39*X42</f>
        <v>0.341132179679999</v>
      </c>
      <c r="Y102" s="67" t="n">
        <f aca="false">Ratio!Y39*Y42</f>
        <v>0.358001324166736</v>
      </c>
      <c r="Z102" s="63" t="n">
        <f aca="false">Ratio!Z39*Z42</f>
        <v>0.36627745777639</v>
      </c>
      <c r="AA102" s="63" t="n">
        <f aca="false">Ratio!AA39*AA42</f>
        <v>0.379285750187026</v>
      </c>
      <c r="AB102" s="63" t="n">
        <f aca="false">Ratio!AB39*AB42</f>
        <v>0.377989125265415</v>
      </c>
      <c r="AC102" s="68" t="n">
        <f aca="false">Ratio!AC39*AC42</f>
        <v>0.15219884475468</v>
      </c>
      <c r="AD102" s="67" t="n">
        <f aca="false">Ratio!AD39*AD42</f>
        <v>0.16308308992799</v>
      </c>
      <c r="AE102" s="63" t="n">
        <f aca="false">Ratio!AE39*AE42</f>
        <v>0.167852732170505</v>
      </c>
      <c r="AF102" s="63" t="n">
        <f aca="false">Ratio!AF39*AF42</f>
        <v>0.140783667182455</v>
      </c>
      <c r="AG102" s="63" t="n">
        <f aca="false">Ratio!AG39*AG42</f>
        <v>0.152412010258574</v>
      </c>
      <c r="AH102" s="63" t="n">
        <f aca="false">Ratio!AH39*AH42</f>
        <v>0.137377488423906</v>
      </c>
      <c r="AI102" s="68" t="n">
        <f aca="false">Ratio!AI39*AI42</f>
        <v>0.24858030116225</v>
      </c>
      <c r="AJ102" s="67" t="n">
        <f aca="false">Ratio!AJ39*AJ42</f>
        <v>0.278342944796587</v>
      </c>
      <c r="AK102" s="63" t="n">
        <f aca="false">Ratio!AK39*AK42</f>
        <v>0.273349926663566</v>
      </c>
      <c r="AL102" s="63" t="n">
        <f aca="false">Ratio!AL39*AL42</f>
        <v>0.241261164313847</v>
      </c>
      <c r="AM102" s="63" t="n">
        <f aca="false">Ratio!AM39*AM42</f>
        <v>0.232038309564996</v>
      </c>
      <c r="AN102" s="68" t="n">
        <f aca="false">Ratio!AN39*AN42</f>
        <v>0.502045158479294</v>
      </c>
      <c r="AO102" s="67" t="n">
        <f aca="false">Ratio!AO39*AO42</f>
        <v>0.455348815075055</v>
      </c>
      <c r="AP102" s="63" t="n">
        <f aca="false">Ratio!AP39*AP42</f>
        <v>0.563465143728196</v>
      </c>
      <c r="AQ102" s="63" t="n">
        <f aca="false">Ratio!AQ39*AQ42</f>
        <v>0.49335041642493</v>
      </c>
    </row>
    <row r="103" customFormat="false" ht="12.8" hidden="false" customHeight="false" outlineLevel="0" collapsed="false">
      <c r="A103" s="139" t="s">
        <v>31</v>
      </c>
      <c r="B103" s="65" t="n">
        <f aca="false">Ratio!B40*B43</f>
        <v>0.492761643424566</v>
      </c>
      <c r="C103" s="65" t="n">
        <f aca="false">Ratio!C40*C43</f>
        <v>0.446707317097218</v>
      </c>
      <c r="D103" s="63" t="n">
        <f aca="false">Ratio!D40*D43</f>
        <v>0.440298680186989</v>
      </c>
      <c r="E103" s="63" t="n">
        <f aca="false">Ratio!E40*E43</f>
        <v>0.412516974457092</v>
      </c>
      <c r="F103" s="63" t="n">
        <f aca="false">Ratio!F40*F43</f>
        <v>0.367530028295526</v>
      </c>
      <c r="G103" s="63" t="n">
        <f aca="false">Ratio!G40*G43</f>
        <v>0.148141125371081</v>
      </c>
      <c r="H103" s="63" t="n">
        <f aca="false">Ratio!H40*H43</f>
        <v>0.13270196834621</v>
      </c>
      <c r="I103" s="68" t="n">
        <f aca="false">Ratio!I40*I43</f>
        <v>0.126845956056418</v>
      </c>
      <c r="J103" s="67" t="n">
        <f aca="false">Ratio!J40*J43</f>
        <v>0.14224664880105</v>
      </c>
      <c r="K103" s="65" t="n">
        <f aca="false">Ratio!K40*K43</f>
        <v>0.165471741860266</v>
      </c>
      <c r="L103" s="63" t="n">
        <f aca="false">Ratio!L40*L43</f>
        <v>0.168452128854284</v>
      </c>
      <c r="M103" s="63" t="n">
        <f aca="false">Ratio!M40*M43</f>
        <v>0.168551664241161</v>
      </c>
      <c r="N103" s="63" t="n">
        <f aca="false">Ratio!N40*N43</f>
        <v>0.155107948293595</v>
      </c>
      <c r="O103" s="63" t="n">
        <f aca="false">Ratio!O40*O43</f>
        <v>0.0975935355548121</v>
      </c>
      <c r="P103" s="68" t="n">
        <f aca="false">Ratio!P40*P43</f>
        <v>0.147276785662313</v>
      </c>
      <c r="Q103" s="67" t="n">
        <f aca="false">Ratio!Q40*Q43</f>
        <v>0.169811144633977</v>
      </c>
      <c r="R103" s="63" t="n">
        <f aca="false">Ratio!R40*R43</f>
        <v>0.194493712036589</v>
      </c>
      <c r="S103" s="63" t="n">
        <f aca="false">Ratio!S40*S43</f>
        <v>0.190670108449016</v>
      </c>
      <c r="T103" s="63" t="n">
        <f aca="false">Ratio!T40*T43</f>
        <v>0.159803770376805</v>
      </c>
      <c r="U103" s="63" t="n">
        <f aca="false">Ratio!U40*U43</f>
        <v>-0.119932299779165</v>
      </c>
      <c r="V103" s="63" t="n">
        <f aca="false">Ratio!V40*V43</f>
        <v>-0.112498636463837</v>
      </c>
      <c r="W103" s="63" t="n">
        <f aca="false">Ratio!W40*W43</f>
        <v>-0.116688306588281</v>
      </c>
      <c r="X103" s="68" t="n">
        <f aca="false">Ratio!X40*X43</f>
        <v>-0.121399172031256</v>
      </c>
      <c r="Y103" s="67" t="n">
        <f aca="false">Ratio!Y40*Y43</f>
        <v>-0.130971962409427</v>
      </c>
      <c r="Z103" s="63" t="n">
        <f aca="false">Ratio!Z40*Z43</f>
        <v>-0.130116834420226</v>
      </c>
      <c r="AA103" s="63" t="n">
        <f aca="false">Ratio!AA40*AA43</f>
        <v>-0.131368340348947</v>
      </c>
      <c r="AB103" s="63" t="n">
        <f aca="false">Ratio!AB40*AB43</f>
        <v>-0.122401046680929</v>
      </c>
      <c r="AC103" s="68" t="n">
        <f aca="false">Ratio!AC40*AC43</f>
        <v>0.227138750267106</v>
      </c>
      <c r="AD103" s="67" t="n">
        <f aca="false">Ratio!AD40*AD43</f>
        <v>0.252879150164569</v>
      </c>
      <c r="AE103" s="63" t="n">
        <f aca="false">Ratio!AE40*AE43</f>
        <v>0.252141030495622</v>
      </c>
      <c r="AF103" s="63" t="n">
        <f aca="false">Ratio!AF40*AF43</f>
        <v>0.219989380216063</v>
      </c>
      <c r="AG103" s="63" t="n">
        <f aca="false">Ratio!AG40*AG43</f>
        <v>0.222755618359914</v>
      </c>
      <c r="AH103" s="63" t="n">
        <f aca="false">Ratio!AH40*AH43</f>
        <v>-0.504409208228602</v>
      </c>
      <c r="AI103" s="68" t="n">
        <f aca="false">Ratio!AI40*AI43</f>
        <v>-0.906737427425207</v>
      </c>
      <c r="AJ103" s="67" t="n">
        <f aca="false">Ratio!AJ40*AJ43</f>
        <v>-0.944058911147369</v>
      </c>
      <c r="AK103" s="63" t="n">
        <f aca="false">Ratio!AK40*AK43</f>
        <v>-0.898707945550551</v>
      </c>
      <c r="AL103" s="63" t="n">
        <f aca="false">Ratio!AL40*AL43</f>
        <v>-0.799619743211945</v>
      </c>
      <c r="AM103" s="63" t="n">
        <f aca="false">Ratio!AM40*AM43</f>
        <v>-0.764737255833207</v>
      </c>
      <c r="AN103" s="68" t="n">
        <f aca="false">Ratio!AN40*AN43</f>
        <v>0.337069457730433</v>
      </c>
      <c r="AO103" s="67" t="n">
        <f aca="false">Ratio!AO40*AO43</f>
        <v>0.323604130889244</v>
      </c>
      <c r="AP103" s="63" t="n">
        <f aca="false">Ratio!AP40*AP43</f>
        <v>0.42492538192543</v>
      </c>
      <c r="AQ103" s="63" t="n">
        <f aca="false">Ratio!AQ40*AQ43</f>
        <v>0.36393256568837</v>
      </c>
    </row>
    <row r="104" customFormat="false" ht="12.8" hidden="false" customHeight="false" outlineLevel="0" collapsed="false">
      <c r="A104" s="139" t="s">
        <v>184</v>
      </c>
      <c r="B104" s="65" t="n">
        <f aca="false">Ratio!B41*B44</f>
        <v>0.567573734358618</v>
      </c>
      <c r="C104" s="65" t="n">
        <f aca="false">Ratio!C41*C44</f>
        <v>0.513905519364407</v>
      </c>
      <c r="D104" s="63" t="n">
        <f aca="false">Ratio!D41*D44</f>
        <v>0.52028157917639</v>
      </c>
      <c r="E104" s="63" t="n">
        <f aca="false">Ratio!E41*E44</f>
        <v>0.521426338024101</v>
      </c>
      <c r="F104" s="63" t="n">
        <f aca="false">Ratio!F41*F44</f>
        <v>0.492505445258916</v>
      </c>
      <c r="G104" s="63" t="n">
        <f aca="false">Ratio!G41*G44</f>
        <v>1.57311937544164</v>
      </c>
      <c r="H104" s="63" t="n">
        <f aca="false">Ratio!H41*H44</f>
        <v>1.36917328626528</v>
      </c>
      <c r="I104" s="68" t="n">
        <f aca="false">Ratio!I41*I44</f>
        <v>1.40380273435507</v>
      </c>
      <c r="J104" s="67" t="n">
        <f aca="false">Ratio!J41*J44</f>
        <v>1.23693019593547</v>
      </c>
      <c r="K104" s="65" t="n">
        <f aca="false">Ratio!K41*K44</f>
        <v>1.04437113676439</v>
      </c>
      <c r="L104" s="63" t="n">
        <f aca="false">Ratio!L41*L44</f>
        <v>1.0627439310187</v>
      </c>
      <c r="M104" s="63" t="n">
        <f aca="false">Ratio!M41*M44</f>
        <v>1.05856932446441</v>
      </c>
      <c r="N104" s="63" t="n">
        <f aca="false">Ratio!N41*N44</f>
        <v>1.06815683942415</v>
      </c>
      <c r="O104" s="63" t="n">
        <f aca="false">Ratio!O41*O44</f>
        <v>1.166558764639</v>
      </c>
      <c r="P104" s="68" t="n">
        <f aca="false">Ratio!P41*P44</f>
        <v>0.38699397417427</v>
      </c>
      <c r="Q104" s="67" t="n">
        <f aca="false">Ratio!Q41*Q44</f>
        <v>0.349127739206482</v>
      </c>
      <c r="R104" s="63" t="n">
        <f aca="false">Ratio!R41*R44</f>
        <v>0.335331912921107</v>
      </c>
      <c r="S104" s="63" t="n">
        <f aca="false">Ratio!S41*S44</f>
        <v>0.268930142041899</v>
      </c>
      <c r="T104" s="63" t="n">
        <f aca="false">Ratio!T41*T44</f>
        <v>0.272740903277417</v>
      </c>
      <c r="U104" s="63" t="n">
        <f aca="false">Ratio!U41*U44</f>
        <v>0.534815842016873</v>
      </c>
      <c r="V104" s="63" t="n">
        <f aca="false">Ratio!V41*V44</f>
        <v>0.529366210723915</v>
      </c>
      <c r="W104" s="63" t="n">
        <f aca="false">Ratio!W41*W44</f>
        <v>0.547227456556223</v>
      </c>
      <c r="X104" s="68" t="n">
        <f aca="false">Ratio!X41*X44</f>
        <v>0.569319772315278</v>
      </c>
      <c r="Y104" s="67" t="n">
        <f aca="false">Ratio!Y41*Y44</f>
        <v>0.580822998107271</v>
      </c>
      <c r="Z104" s="63" t="n">
        <f aca="false">Ratio!Z41*Z44</f>
        <v>0.616054107531324</v>
      </c>
      <c r="AA104" s="63" t="n">
        <f aca="false">Ratio!AA41*AA44</f>
        <v>0.599231955121854</v>
      </c>
      <c r="AB104" s="63" t="n">
        <f aca="false">Ratio!AB41*AB44</f>
        <v>0.619923945558624</v>
      </c>
      <c r="AC104" s="68" t="n">
        <f aca="false">Ratio!AC41*AC44</f>
        <v>0.096028279359666</v>
      </c>
      <c r="AD104" s="67" t="n">
        <f aca="false">Ratio!AD41*AD44</f>
        <v>0.0995526987648079</v>
      </c>
      <c r="AE104" s="63" t="n">
        <f aca="false">Ratio!AE41*AE44</f>
        <v>0.0939244229953038</v>
      </c>
      <c r="AF104" s="63" t="n">
        <f aca="false">Ratio!AF41*AF44</f>
        <v>0.0934337323643193</v>
      </c>
      <c r="AG104" s="63" t="n">
        <f aca="false">Ratio!AG41*AG44</f>
        <v>0.0775349763834827</v>
      </c>
      <c r="AH104" s="63" t="n">
        <f aca="false">Ratio!AH41*AH44</f>
        <v>0.272105471968132</v>
      </c>
      <c r="AI104" s="68" t="n">
        <f aca="false">Ratio!AI41*AI44</f>
        <v>0.38794556902167</v>
      </c>
      <c r="AJ104" s="67" t="n">
        <f aca="false">Ratio!AJ41*AJ44</f>
        <v>0.413528544665104</v>
      </c>
      <c r="AK104" s="63" t="n">
        <f aca="false">Ratio!AK41*AK44</f>
        <v>0.353892123855388</v>
      </c>
      <c r="AL104" s="63" t="n">
        <f aca="false">Ratio!AL41*AL44</f>
        <v>0.334957821647587</v>
      </c>
      <c r="AM104" s="63" t="n">
        <f aca="false">Ratio!AM41*AM44</f>
        <v>0.328281509712172</v>
      </c>
      <c r="AN104" s="68" t="n">
        <f aca="false">Ratio!AN41*AN44</f>
        <v>0.177791032946016</v>
      </c>
      <c r="AO104" s="67" t="n">
        <f aca="false">Ratio!AO41*AO44</f>
        <v>0.160596189330737</v>
      </c>
      <c r="AP104" s="63" t="n">
        <f aca="false">Ratio!AP41*AP44</f>
        <v>0.192413962627622</v>
      </c>
      <c r="AQ104" s="63" t="n">
        <f aca="false">Ratio!AQ41*AQ44</f>
        <v>0.187990728711014</v>
      </c>
    </row>
    <row r="105" customFormat="false" ht="12.8" hidden="false" customHeight="false" outlineLevel="0" collapsed="false">
      <c r="A105" s="139" t="s">
        <v>29</v>
      </c>
      <c r="B105" s="65" t="n">
        <f aca="false">Ratio!B42*B45</f>
        <v>0.119022507058992</v>
      </c>
      <c r="C105" s="65" t="n">
        <f aca="false">Ratio!C42*C45</f>
        <v>0.111187357454501</v>
      </c>
      <c r="D105" s="63" t="n">
        <f aca="false">Ratio!D42*D45</f>
        <v>0.109619618435137</v>
      </c>
      <c r="E105" s="63" t="n">
        <f aca="false">Ratio!E42*E45</f>
        <v>0.12300308626551</v>
      </c>
      <c r="F105" s="63" t="n">
        <f aca="false">Ratio!F42*F45</f>
        <v>0.0783083316538138</v>
      </c>
      <c r="G105" s="63" t="n">
        <f aca="false">Ratio!G42*G45</f>
        <v>0.0934141114864875</v>
      </c>
      <c r="H105" s="63" t="n">
        <f aca="false">Ratio!H42*H45</f>
        <v>0.0847805826548721</v>
      </c>
      <c r="I105" s="68" t="n">
        <f aca="false">Ratio!I42*I45</f>
        <v>0.0808613228109878</v>
      </c>
      <c r="J105" s="67" t="n">
        <f aca="false">Ratio!J42*J45</f>
        <v>0.0788014539090735</v>
      </c>
      <c r="K105" s="65" t="n">
        <f aca="false">Ratio!K42*K45</f>
        <v>0.0694331528828891</v>
      </c>
      <c r="L105" s="63" t="n">
        <f aca="false">Ratio!L42*L45</f>
        <v>0.0677373831860483</v>
      </c>
      <c r="M105" s="63" t="n">
        <f aca="false">Ratio!M42*M45</f>
        <v>0.0678116970408136</v>
      </c>
      <c r="N105" s="63" t="n">
        <f aca="false">Ratio!N42*N45</f>
        <v>0.0606004161213465</v>
      </c>
      <c r="O105" s="63" t="n">
        <f aca="false">Ratio!O42*O45</f>
        <v>0.0620205605749543</v>
      </c>
      <c r="P105" s="68" t="n">
        <f aca="false">Ratio!P42*P45</f>
        <v>0.110262701752775</v>
      </c>
      <c r="Q105" s="67" t="n">
        <f aca="false">Ratio!Q42*Q45</f>
        <v>0.130655427260998</v>
      </c>
      <c r="R105" s="63" t="n">
        <f aca="false">Ratio!R42*R45</f>
        <v>0.14566619859929</v>
      </c>
      <c r="S105" s="63" t="n">
        <f aca="false">Ratio!S42*S45</f>
        <v>0.14034857087406</v>
      </c>
      <c r="T105" s="63" t="n">
        <f aca="false">Ratio!T42*T45</f>
        <v>0.122955611612954</v>
      </c>
      <c r="U105" s="63" t="n">
        <f aca="false">Ratio!U42*U45</f>
        <v>0.0628922818533136</v>
      </c>
      <c r="V105" s="63" t="n">
        <f aca="false">Ratio!V42*V45</f>
        <v>0.0792779041547884</v>
      </c>
      <c r="W105" s="63" t="n">
        <f aca="false">Ratio!W42*W45</f>
        <v>0.0822303689757518</v>
      </c>
      <c r="X105" s="68" t="n">
        <f aca="false">Ratio!X42*X45</f>
        <v>0.0770169618152855</v>
      </c>
      <c r="Y105" s="67" t="n">
        <f aca="false">Ratio!Y42*Y45</f>
        <v>0.0977243269779471</v>
      </c>
      <c r="Z105" s="63" t="n">
        <f aca="false">Ratio!Z42*Z45</f>
        <v>0.112025388265876</v>
      </c>
      <c r="AA105" s="63" t="n">
        <f aca="false">Ratio!AA42*AA45</f>
        <v>0.10563532477247</v>
      </c>
      <c r="AB105" s="63" t="n">
        <f aca="false">Ratio!AB42*AB45</f>
        <v>0.125954736924238</v>
      </c>
      <c r="AC105" s="68" t="n">
        <f aca="false">Ratio!AC42*AC45</f>
        <v>0.169694103089861</v>
      </c>
      <c r="AD105" s="67" t="n">
        <f aca="false">Ratio!AD42*AD45</f>
        <v>0.192748785357886</v>
      </c>
      <c r="AE105" s="63" t="n">
        <f aca="false">Ratio!AE42*AE45</f>
        <v>0.144678480379119</v>
      </c>
      <c r="AF105" s="63" t="n">
        <f aca="false">Ratio!AF42*AF45</f>
        <v>0.130623948858349</v>
      </c>
      <c r="AG105" s="63" t="n">
        <f aca="false">Ratio!AG42*AG45</f>
        <v>0.130663120093591</v>
      </c>
      <c r="AH105" s="63" t="n">
        <f aca="false">Ratio!AH42*AH45</f>
        <v>0.14282707426049</v>
      </c>
      <c r="AI105" s="68" t="n">
        <f aca="false">Ratio!AI42*AI45</f>
        <v>0.111120758555381</v>
      </c>
      <c r="AJ105" s="67" t="n">
        <f aca="false">Ratio!AJ42*AJ45</f>
        <v>0.0990564068512629</v>
      </c>
      <c r="AK105" s="63" t="n">
        <f aca="false">Ratio!AK42*AK45</f>
        <v>0.106186476494699</v>
      </c>
      <c r="AL105" s="63" t="n">
        <f aca="false">Ratio!AL42*AL45</f>
        <v>0.109059911845317</v>
      </c>
      <c r="AM105" s="63" t="n">
        <f aca="false">Ratio!AM42*AM45</f>
        <v>0.105248470217646</v>
      </c>
      <c r="AN105" s="68" t="n">
        <f aca="false">Ratio!AN42*AN45</f>
        <v>0.122010910167845</v>
      </c>
      <c r="AO105" s="67" t="n">
        <f aca="false">Ratio!AO42*AO45</f>
        <v>0.107300334133241</v>
      </c>
      <c r="AP105" s="63" t="n">
        <f aca="false">Ratio!AP42*AP45</f>
        <v>0.0967431928202324</v>
      </c>
      <c r="AQ105" s="63" t="n">
        <f aca="false">Ratio!AQ42*AQ45</f>
        <v>0.0945124517831836</v>
      </c>
    </row>
    <row r="106" customFormat="false" ht="12.8" hidden="false" customHeight="false" outlineLevel="0" collapsed="false">
      <c r="A106" s="139" t="s">
        <v>185</v>
      </c>
      <c r="B106" s="65" t="n">
        <f aca="false">Ratio!B43*B46</f>
        <v>0.189870458539978</v>
      </c>
      <c r="C106" s="65" t="n">
        <f aca="false">Ratio!C43*C46</f>
        <v>0.185668416614987</v>
      </c>
      <c r="D106" s="63" t="n">
        <f aca="false">Ratio!D43*D46</f>
        <v>0.188019009959999</v>
      </c>
      <c r="E106" s="63" t="n">
        <f aca="false">Ratio!E43*E46</f>
        <v>0.196029231375689</v>
      </c>
      <c r="F106" s="63" t="n">
        <f aca="false">Ratio!F43*F46</f>
        <v>0.155297400326003</v>
      </c>
      <c r="G106" s="63" t="n">
        <f aca="false">Ratio!G43*G46</f>
        <v>0.588513403299923</v>
      </c>
      <c r="H106" s="63" t="n">
        <f aca="false">Ratio!H43*H46</f>
        <v>0.54611131506495</v>
      </c>
      <c r="I106" s="68" t="n">
        <f aca="false">Ratio!I43*I46</f>
        <v>0.55891279355502</v>
      </c>
      <c r="J106" s="67" t="n">
        <f aca="false">Ratio!J43*J46</f>
        <v>0.462029304585855</v>
      </c>
      <c r="K106" s="65" t="n">
        <f aca="false">Ratio!K43*K46</f>
        <v>0.384240693365007</v>
      </c>
      <c r="L106" s="63" t="n">
        <f aca="false">Ratio!L43*L46</f>
        <v>0.383518501927873</v>
      </c>
      <c r="M106" s="63" t="n">
        <f aca="false">Ratio!M43*M46</f>
        <v>0.383939255386473</v>
      </c>
      <c r="N106" s="63" t="n">
        <f aca="false">Ratio!N43*N46</f>
        <v>0.364627399808009</v>
      </c>
      <c r="O106" s="63" t="n">
        <f aca="false">Ratio!O43*O46</f>
        <v>0.384434085132477</v>
      </c>
      <c r="P106" s="68" t="n">
        <f aca="false">Ratio!P43*P46</f>
        <v>0.226110714144483</v>
      </c>
      <c r="Q106" s="67" t="n">
        <f aca="false">Ratio!Q43*Q46</f>
        <v>0.205139440525083</v>
      </c>
      <c r="R106" s="63" t="n">
        <f aca="false">Ratio!R43*R46</f>
        <v>0.174135349103882</v>
      </c>
      <c r="S106" s="63" t="n">
        <f aca="false">Ratio!S43*S46</f>
        <v>0.150841814053623</v>
      </c>
      <c r="T106" s="63" t="n">
        <f aca="false">Ratio!T43*T46</f>
        <v>0.152079748234584</v>
      </c>
      <c r="U106" s="63" t="n">
        <f aca="false">Ratio!U43*U46</f>
        <v>0.100211169099266</v>
      </c>
      <c r="V106" s="63" t="n">
        <f aca="false">Ratio!V43*V46</f>
        <v>0.120690375375103</v>
      </c>
      <c r="W106" s="63" t="n">
        <f aca="false">Ratio!W43*W46</f>
        <v>0.124762566649307</v>
      </c>
      <c r="X106" s="68" t="n">
        <f aca="false">Ratio!X43*X46</f>
        <v>0.116852617242179</v>
      </c>
      <c r="Y106" s="67" t="n">
        <f aca="false">Ratio!Y43*Y46</f>
        <v>0.124639751891002</v>
      </c>
      <c r="Z106" s="63" t="n">
        <f aca="false">Ratio!Z43*Z46</f>
        <v>0.146841384695333</v>
      </c>
      <c r="AA106" s="63" t="n">
        <f aca="false">Ratio!AA43*AA46</f>
        <v>0.141018144915927</v>
      </c>
      <c r="AB106" s="63" t="n">
        <f aca="false">Ratio!AB43*AB46</f>
        <v>0.163725068750808</v>
      </c>
      <c r="AC106" s="68" t="n">
        <f aca="false">Ratio!AC43*AC46</f>
        <v>0.174512354291895</v>
      </c>
      <c r="AD106" s="67" t="n">
        <f aca="false">Ratio!AD43*AD46</f>
        <v>0.177265143589282</v>
      </c>
      <c r="AE106" s="63" t="n">
        <f aca="false">Ratio!AE43*AE46</f>
        <v>0.155481588149769</v>
      </c>
      <c r="AF106" s="63" t="n">
        <f aca="false">Ratio!AF43*AF46</f>
        <v>0.147368887469476</v>
      </c>
      <c r="AG106" s="63" t="n">
        <f aca="false">Ratio!AG43*AG46</f>
        <v>0.130816194436547</v>
      </c>
      <c r="AH106" s="63" t="n">
        <f aca="false">Ratio!AH43*AH46</f>
        <v>0.182494110993353</v>
      </c>
      <c r="AI106" s="68" t="n">
        <f aca="false">Ratio!AI43*AI46</f>
        <v>0.170533441984546</v>
      </c>
      <c r="AJ106" s="67" t="n">
        <f aca="false">Ratio!AJ43*AJ46</f>
        <v>0.178949185049114</v>
      </c>
      <c r="AK106" s="63" t="n">
        <f aca="false">Ratio!AK43*AK46</f>
        <v>0.170199952029518</v>
      </c>
      <c r="AL106" s="63" t="n">
        <f aca="false">Ratio!AL43*AL46</f>
        <v>0.175566212659035</v>
      </c>
      <c r="AM106" s="63" t="n">
        <f aca="false">Ratio!AM43*AM46</f>
        <v>0.177100663667898</v>
      </c>
      <c r="AN106" s="68" t="n">
        <f aca="false">Ratio!AN43*AN46</f>
        <v>0.149005386704606</v>
      </c>
      <c r="AO106" s="67" t="n">
        <f aca="false">Ratio!AO43*AO46</f>
        <v>0.127064216756426</v>
      </c>
      <c r="AP106" s="63" t="n">
        <f aca="false">Ratio!AP43*AP46</f>
        <v>0.134832179309808</v>
      </c>
      <c r="AQ106" s="63" t="n">
        <f aca="false">Ratio!AQ43*AQ46</f>
        <v>0.136718413317813</v>
      </c>
    </row>
    <row r="107" customFormat="false" ht="12.8" hidden="false" customHeight="false" outlineLevel="0" collapsed="false">
      <c r="A107" s="139" t="s">
        <v>186</v>
      </c>
      <c r="B107" s="65" t="n">
        <f aca="false">Ratio!B44*B47</f>
        <v>0.514258353336357</v>
      </c>
      <c r="C107" s="65" t="n">
        <f aca="false">Ratio!C44*C47</f>
        <v>0.469784750598509</v>
      </c>
      <c r="D107" s="63" t="n">
        <f aca="false">Ratio!D44*D47</f>
        <v>0.436631146060995</v>
      </c>
      <c r="E107" s="63" t="n">
        <f aca="false">Ratio!E44*E47</f>
        <v>0.536313350407474</v>
      </c>
      <c r="F107" s="63" t="n">
        <f aca="false">Ratio!F44*F47</f>
        <v>0.370245136220466</v>
      </c>
      <c r="G107" s="63" t="n">
        <f aca="false">Ratio!G44*G47</f>
        <v>0.304386856466642</v>
      </c>
      <c r="H107" s="63" t="n">
        <f aca="false">Ratio!H44*H47</f>
        <v>0.773633477909476</v>
      </c>
      <c r="I107" s="68" t="n">
        <f aca="false">Ratio!I44*I47</f>
        <v>0.767702058634649</v>
      </c>
      <c r="J107" s="67" t="n">
        <f aca="false">Ratio!J44*J47</f>
        <v>0.766550198775222</v>
      </c>
      <c r="K107" s="65" t="n">
        <f aca="false">Ratio!K44*K47</f>
        <v>0.655570404858903</v>
      </c>
      <c r="L107" s="63" t="n">
        <f aca="false">Ratio!L44*L47</f>
        <v>0.670010365926522</v>
      </c>
      <c r="M107" s="63" t="n">
        <f aca="false">Ratio!M44*M47</f>
        <v>0.670745426105743</v>
      </c>
      <c r="N107" s="63" t="n">
        <f aca="false">Ratio!N44*N47</f>
        <v>0.661393239596992</v>
      </c>
      <c r="O107" s="63" t="n">
        <f aca="false">Ratio!O44*O47</f>
        <v>0.702543196440217</v>
      </c>
      <c r="P107" s="68" t="n">
        <f aca="false">Ratio!P44*P47</f>
        <v>1.02532675514768</v>
      </c>
      <c r="Q107" s="67" t="n">
        <f aca="false">Ratio!Q44*Q47</f>
        <v>0.996687653480521</v>
      </c>
      <c r="R107" s="63" t="n">
        <f aca="false">Ratio!R44*R47</f>
        <v>1.02853701783944</v>
      </c>
      <c r="S107" s="63" t="n">
        <f aca="false">Ratio!S44*S47</f>
        <v>0.987420838468964</v>
      </c>
      <c r="T107" s="63" t="n">
        <f aca="false">Ratio!T44*T47</f>
        <v>1.04334566358671</v>
      </c>
      <c r="U107" s="63" t="n">
        <f aca="false">Ratio!U44*U47</f>
        <v>-0.620956339008633</v>
      </c>
      <c r="V107" s="63" t="n">
        <f aca="false">Ratio!V44*V47</f>
        <v>-0.665149605261173</v>
      </c>
      <c r="W107" s="63" t="n">
        <f aca="false">Ratio!W44*W47</f>
        <v>-0.689921082650092</v>
      </c>
      <c r="X107" s="68" t="n">
        <f aca="false">Ratio!X44*X47</f>
        <v>-0.646180071181382</v>
      </c>
      <c r="Y107" s="67" t="n">
        <f aca="false">Ratio!Y44*Y47</f>
        <v>-0.712394660982362</v>
      </c>
      <c r="Z107" s="63" t="n">
        <f aca="false">Ratio!Z44*Z47</f>
        <v>-0.708038707228885</v>
      </c>
      <c r="AA107" s="63" t="n">
        <f aca="false">Ratio!AA44*AA47</f>
        <v>-0.77962519339542</v>
      </c>
      <c r="AB107" s="63" t="n">
        <f aca="false">Ratio!AB44*AB47</f>
        <v>-0.702989080254033</v>
      </c>
      <c r="AC107" s="68" t="n">
        <f aca="false">Ratio!AC44*AC47</f>
        <v>0.214017259722724</v>
      </c>
      <c r="AD107" s="67" t="n">
        <f aca="false">Ratio!AD44*AD47</f>
        <v>0.224939971726438</v>
      </c>
      <c r="AE107" s="63" t="n">
        <f aca="false">Ratio!AE44*AE47</f>
        <v>0.212452331290094</v>
      </c>
      <c r="AF107" s="63" t="n">
        <f aca="false">Ratio!AF44*AF47</f>
        <v>0.21139577574822</v>
      </c>
      <c r="AG107" s="63" t="n">
        <f aca="false">Ratio!AG44*AG47</f>
        <v>0.283531678562847</v>
      </c>
      <c r="AH107" s="63" t="n">
        <f aca="false">Ratio!AH44*AH47</f>
        <v>0.289344901968345</v>
      </c>
      <c r="AI107" s="68" t="n">
        <f aca="false">Ratio!AI44*AI47</f>
        <v>0.382350459851148</v>
      </c>
      <c r="AJ107" s="67" t="n">
        <f aca="false">Ratio!AJ44*AJ47</f>
        <v>0.389140741023795</v>
      </c>
      <c r="AK107" s="63" t="n">
        <f aca="false">Ratio!AK44*AK47</f>
        <v>0.363730091691163</v>
      </c>
      <c r="AL107" s="63" t="n">
        <f aca="false">Ratio!AL44*AL47</f>
        <v>0.374978563702674</v>
      </c>
      <c r="AM107" s="63" t="n">
        <f aca="false">Ratio!AM44*AM47</f>
        <v>0.399111363327199</v>
      </c>
      <c r="AN107" s="68" t="n">
        <f aca="false">Ratio!AN44*AN47</f>
        <v>0.361387342103071</v>
      </c>
      <c r="AO107" s="67" t="n">
        <f aca="false">Ratio!AO44*AO47</f>
        <v>0.366650714774909</v>
      </c>
      <c r="AP107" s="63" t="n">
        <f aca="false">Ratio!AP44*AP47</f>
        <v>0.343512975163691</v>
      </c>
      <c r="AQ107" s="63" t="n">
        <f aca="false">Ratio!AQ44*AQ47</f>
        <v>0.333179681630081</v>
      </c>
    </row>
    <row r="108" customFormat="false" ht="12.8" hidden="false" customHeight="false" outlineLevel="0" collapsed="false">
      <c r="A108" s="139" t="s">
        <v>187</v>
      </c>
      <c r="B108" s="65" t="n">
        <f aca="false">Ratio!B45*B48</f>
        <v>0.0431140857112474</v>
      </c>
      <c r="C108" s="65" t="n">
        <f aca="false">Ratio!C45*C48</f>
        <v>0.0455436971093429</v>
      </c>
      <c r="D108" s="63" t="n">
        <f aca="false">Ratio!D45*D48</f>
        <v>0.0449015320945514</v>
      </c>
      <c r="E108" s="63" t="n">
        <f aca="false">Ratio!E45*E48</f>
        <v>0.0443400139593764</v>
      </c>
      <c r="F108" s="63" t="n">
        <f aca="false">Ratio!F45*F48</f>
        <v>0.0479612051241061</v>
      </c>
      <c r="G108" s="63" t="n">
        <f aca="false">Ratio!G45*G48</f>
        <v>0.0151542818748035</v>
      </c>
      <c r="H108" s="63" t="n">
        <f aca="false">Ratio!H45*H48</f>
        <v>0.0154620289021048</v>
      </c>
      <c r="I108" s="68" t="n">
        <f aca="false">Ratio!I45*I48</f>
        <v>0.0193477783266361</v>
      </c>
      <c r="J108" s="67" t="n">
        <f aca="false">Ratio!J45*J48</f>
        <v>0.0162556291307071</v>
      </c>
      <c r="K108" s="65" t="n">
        <f aca="false">Ratio!K45*K48</f>
        <v>0.0170938092482013</v>
      </c>
      <c r="L108" s="63" t="n">
        <f aca="false">Ratio!L45*L48</f>
        <v>0.0164649213696405</v>
      </c>
      <c r="M108" s="63" t="n">
        <f aca="false">Ratio!M45*M48</f>
        <v>0.0164829848335335</v>
      </c>
      <c r="N108" s="63" t="n">
        <f aca="false">Ratio!N45*N48</f>
        <v>0.0163660421555811</v>
      </c>
      <c r="O108" s="63" t="n">
        <f aca="false">Ratio!O45*O48</f>
        <v>0.0181298698506537</v>
      </c>
      <c r="P108" s="68" t="n">
        <f aca="false">Ratio!P45*P48</f>
        <v>0.0240738332359904</v>
      </c>
      <c r="Q108" s="67" t="n">
        <f aca="false">Ratio!Q45*Q48</f>
        <v>0.0242827429248836</v>
      </c>
      <c r="R108" s="63" t="n">
        <f aca="false">Ratio!R45*R48</f>
        <v>0.0200251022714197</v>
      </c>
      <c r="S108" s="63" t="n">
        <f aca="false">Ratio!S45*S48</f>
        <v>0.0204455123955301</v>
      </c>
      <c r="T108" s="63" t="n">
        <f aca="false">Ratio!T45*T48</f>
        <v>0.0198561062392005</v>
      </c>
      <c r="U108" s="63" t="n">
        <f aca="false">Ratio!U45*U48</f>
        <v>0.159577226503703</v>
      </c>
      <c r="V108" s="63" t="n">
        <f aca="false">Ratio!V45*V48</f>
        <v>0.124711421265015</v>
      </c>
      <c r="W108" s="63" t="n">
        <f aca="false">Ratio!W45*W48</f>
        <v>0.108448011046271</v>
      </c>
      <c r="X108" s="68" t="n">
        <f aca="false">Ratio!X45*X48</f>
        <v>0.108863118094078</v>
      </c>
      <c r="Y108" s="67" t="n">
        <f aca="false">Ratio!Y45*Y48</f>
        <v>0.133397505592621</v>
      </c>
      <c r="Z108" s="63" t="n">
        <f aca="false">Ratio!Z45*Z48</f>
        <v>0.117482481138286</v>
      </c>
      <c r="AA108" s="63" t="n">
        <f aca="false">Ratio!AA45*AA48</f>
        <v>0.134651713214267</v>
      </c>
      <c r="AB108" s="63" t="n">
        <f aca="false">Ratio!AB45*AB48</f>
        <v>0.134936546043147</v>
      </c>
      <c r="AC108" s="68" t="n">
        <f aca="false">Ratio!AC45*AC48</f>
        <v>0.327155894446729</v>
      </c>
      <c r="AD108" s="67" t="n">
        <f aca="false">Ratio!AD45*AD48</f>
        <v>0.370170672989505</v>
      </c>
      <c r="AE108" s="63" t="n">
        <f aca="false">Ratio!AE45*AE48</f>
        <v>0.473941255089013</v>
      </c>
      <c r="AF108" s="63" t="n">
        <f aca="false">Ratio!AF45*AF48</f>
        <v>0.52474689981837</v>
      </c>
      <c r="AG108" s="63" t="n">
        <f aca="false">Ratio!AG45*AG48</f>
        <v>2.15834112256392</v>
      </c>
      <c r="AH108" s="63" t="n">
        <f aca="false">Ratio!AH45*AH48</f>
        <v>2.22733153120592</v>
      </c>
      <c r="AI108" s="68" t="n">
        <f aca="false">Ratio!AI45*AI48</f>
        <v>2.71080641099255</v>
      </c>
      <c r="AJ108" s="67" t="n">
        <f aca="false">Ratio!AJ45*AJ48</f>
        <v>2.88273579544952</v>
      </c>
      <c r="AK108" s="63" t="n">
        <f aca="false">Ratio!AK45*AK48</f>
        <v>4.09340847212699</v>
      </c>
      <c r="AL108" s="63" t="n">
        <f aca="false">Ratio!AL45*AL48</f>
        <v>1.05714946193254</v>
      </c>
      <c r="AM108" s="63" t="n">
        <f aca="false">Ratio!AM45*AM48</f>
        <v>1.22916362866763</v>
      </c>
      <c r="AN108" s="68" t="n">
        <f aca="false">Ratio!AN45*AN48</f>
        <v>1.33686566641997</v>
      </c>
      <c r="AO108" s="67" t="n">
        <f aca="false">Ratio!AO45*AO48</f>
        <v>1.48678927425167</v>
      </c>
      <c r="AP108" s="63" t="n">
        <f aca="false">Ratio!AP45*AP48</f>
        <v>2.32958121877919</v>
      </c>
      <c r="AQ108" s="63" t="n">
        <f aca="false">Ratio!AQ45*AQ48</f>
        <v>2.09993031774604</v>
      </c>
    </row>
    <row r="109" customFormat="false" ht="12.8" hidden="false" customHeight="false" outlineLevel="0" collapsed="false">
      <c r="A109" s="139" t="s">
        <v>188</v>
      </c>
      <c r="B109" s="65" t="n">
        <f aca="false">Ratio!B46*B49</f>
        <v>0.0459183931595826</v>
      </c>
      <c r="C109" s="65" t="n">
        <f aca="false">Ratio!C46*C49</f>
        <v>0.047116388468656</v>
      </c>
      <c r="D109" s="63" t="n">
        <f aca="false">Ratio!D46*D49</f>
        <v>0.0464520485441817</v>
      </c>
      <c r="E109" s="63" t="n">
        <f aca="false">Ratio!E46*E49</f>
        <v>0.0481618844613176</v>
      </c>
      <c r="F109" s="63" t="n">
        <f aca="false">Ratio!F46*F49</f>
        <v>0.0503338637603445</v>
      </c>
      <c r="G109" s="63" t="n">
        <f aca="false">Ratio!G46*G49</f>
        <v>0.0702565700027376</v>
      </c>
      <c r="H109" s="63" t="n">
        <f aca="false">Ratio!H46*H49</f>
        <v>0.0706094198932777</v>
      </c>
      <c r="I109" s="68" t="n">
        <f aca="false">Ratio!I46*I49</f>
        <v>0.0654677627414631</v>
      </c>
      <c r="J109" s="67" t="n">
        <f aca="false">Ratio!J46*J49</f>
        <v>0.0717250932961387</v>
      </c>
      <c r="K109" s="65" t="n">
        <f aca="false">Ratio!K46*K49</f>
        <v>0.0643909555932972</v>
      </c>
      <c r="L109" s="63" t="n">
        <f aca="false">Ratio!L46*L49</f>
        <v>0.0658092668608324</v>
      </c>
      <c r="M109" s="63" t="n">
        <f aca="false">Ratio!M46*M49</f>
        <v>0.0658814654027553</v>
      </c>
      <c r="N109" s="63" t="n">
        <f aca="false">Ratio!N46*N49</f>
        <v>0.0650647974601419</v>
      </c>
      <c r="O109" s="63" t="n">
        <f aca="false">Ratio!O46*O49</f>
        <v>0.0666860723315289</v>
      </c>
      <c r="P109" s="68" t="n">
        <f aca="false">Ratio!P46*P49</f>
        <v>0.0932591092033672</v>
      </c>
      <c r="Q109" s="67" t="n">
        <f aca="false">Ratio!Q46*Q49</f>
        <v>0.0895981766625728</v>
      </c>
      <c r="R109" s="63" t="n">
        <f aca="false">Ratio!R46*R49</f>
        <v>0.0822722858385331</v>
      </c>
      <c r="S109" s="63" t="n">
        <f aca="false">Ratio!S46*S49</f>
        <v>0.0792688890834868</v>
      </c>
      <c r="T109" s="63" t="n">
        <f aca="false">Ratio!T46*T49</f>
        <v>0.0724383846072311</v>
      </c>
      <c r="U109" s="63" t="n">
        <f aca="false">Ratio!U46*U49</f>
        <v>0.192189145806116</v>
      </c>
      <c r="V109" s="63" t="n">
        <f aca="false">Ratio!V46*V49</f>
        <v>0.197200075460933</v>
      </c>
      <c r="W109" s="63" t="n">
        <f aca="false">Ratio!W46*W49</f>
        <v>0.20454419349353</v>
      </c>
      <c r="X109" s="68" t="n">
        <f aca="false">Ratio!X46*X49</f>
        <v>0.191576087229707</v>
      </c>
      <c r="Y109" s="67" t="n">
        <f aca="false">Ratio!Y46*Y49</f>
        <v>0.19834471537371</v>
      </c>
      <c r="Z109" s="63" t="n">
        <f aca="false">Ratio!Z46*Z49</f>
        <v>0.204681676802171</v>
      </c>
      <c r="AA109" s="63" t="n">
        <f aca="false">Ratio!AA46*AA49</f>
        <v>0.194481817260471</v>
      </c>
      <c r="AB109" s="63" t="n">
        <f aca="false">Ratio!AB46*AB49</f>
        <v>0.20323023285241</v>
      </c>
      <c r="AC109" s="68" t="n">
        <f aca="false">Ratio!AC46*AC49</f>
        <v>0.093756309496732</v>
      </c>
      <c r="AD109" s="67" t="n">
        <f aca="false">Ratio!AD46*AD49</f>
        <v>0.0796283502877512</v>
      </c>
      <c r="AE109" s="63" t="n">
        <f aca="false">Ratio!AE46*AE49</f>
        <v>0.0816506464672984</v>
      </c>
      <c r="AF109" s="63" t="n">
        <f aca="false">Ratio!AF46*AF49</f>
        <v>0.0812445862348749</v>
      </c>
      <c r="AG109" s="63" t="n">
        <f aca="false">Ratio!AG46*AG49</f>
        <v>0.0898131886161539</v>
      </c>
      <c r="AH109" s="63" t="n">
        <f aca="false">Ratio!AH46*AH49</f>
        <v>0.11016147743082</v>
      </c>
      <c r="AI109" s="68" t="n">
        <f aca="false">Ratio!AI46*AI49</f>
        <v>0.106217803217142</v>
      </c>
      <c r="AJ109" s="67" t="n">
        <f aca="false">Ratio!AJ46*AJ49</f>
        <v>0.120338320449869</v>
      </c>
      <c r="AK109" s="63" t="n">
        <f aca="false">Ratio!AK46*AK49</f>
        <v>0.116871313547337</v>
      </c>
      <c r="AL109" s="63" t="n">
        <f aca="false">Ratio!AL46*AL49</f>
        <v>0.0989313139758477</v>
      </c>
      <c r="AM109" s="63" t="n">
        <f aca="false">Ratio!AM46*AM49</f>
        <v>0.11897413188939</v>
      </c>
      <c r="AN109" s="68" t="n">
        <f aca="false">Ratio!AN46*AN49</f>
        <v>0.117902724626817</v>
      </c>
      <c r="AO109" s="67" t="n">
        <f aca="false">Ratio!AO46*AO49</f>
        <v>0.093296359513695</v>
      </c>
      <c r="AP109" s="63" t="n">
        <f aca="false">Ratio!AP46*AP49</f>
        <v>0.0919235332709396</v>
      </c>
      <c r="AQ109" s="63" t="n">
        <f aca="false">Ratio!AQ46*AQ49</f>
        <v>0.0975945508441765</v>
      </c>
    </row>
    <row r="110" customFormat="false" ht="12.8" hidden="false" customHeight="false" outlineLevel="0" collapsed="false">
      <c r="A110" s="139" t="s">
        <v>189</v>
      </c>
      <c r="B110" s="65" t="n">
        <f aca="false">Ratio!B47*B50</f>
        <v>0.0898457866308515</v>
      </c>
      <c r="C110" s="65" t="n">
        <f aca="false">Ratio!C47*C50</f>
        <v>0.0980815680122766</v>
      </c>
      <c r="D110" s="63" t="n">
        <f aca="false">Ratio!D47*D50</f>
        <v>0.100276737861853</v>
      </c>
      <c r="E110" s="63" t="n">
        <f aca="false">Ratio!E47*E50</f>
        <v>0.0743425175470285</v>
      </c>
      <c r="F110" s="63" t="n">
        <f aca="false">Ratio!F47*F50</f>
        <v>0.0691707389012741</v>
      </c>
      <c r="G110" s="63" t="n">
        <f aca="false">Ratio!G47*G50</f>
        <v>0.0721774320859295</v>
      </c>
      <c r="H110" s="63" t="n">
        <f aca="false">Ratio!H47*H50</f>
        <v>0.0730410670478952</v>
      </c>
      <c r="I110" s="68" t="n">
        <f aca="false">Ratio!I47*I50</f>
        <v>0.131838274826544</v>
      </c>
      <c r="J110" s="67" t="n">
        <f aca="false">Ratio!J47*J50</f>
        <v>0.144591241585373</v>
      </c>
      <c r="K110" s="65" t="n">
        <f aca="false">Ratio!K47*K50</f>
        <v>0.10819492803727</v>
      </c>
      <c r="L110" s="63" t="n">
        <f aca="false">Ratio!L47*L50</f>
        <v>0.110599321648979</v>
      </c>
      <c r="M110" s="63" t="n">
        <f aca="false">Ratio!M47*M50</f>
        <v>0.110694090636547</v>
      </c>
      <c r="N110" s="63" t="n">
        <f aca="false">Ratio!N47*N50</f>
        <v>0.111665383884287</v>
      </c>
      <c r="O110" s="63" t="n">
        <f aca="false">Ratio!O47*O50</f>
        <v>0.114193793556382</v>
      </c>
      <c r="P110" s="68" t="n">
        <f aca="false">Ratio!P47*P50</f>
        <v>0.131659054576169</v>
      </c>
      <c r="Q110" s="67" t="n">
        <f aca="false">Ratio!Q47*Q50</f>
        <v>0.187825867105093</v>
      </c>
      <c r="R110" s="63" t="n">
        <f aca="false">Ratio!R47*R50</f>
        <v>0.201046183533575</v>
      </c>
      <c r="S110" s="63" t="n">
        <f aca="false">Ratio!S47*S50</f>
        <v>0.188132871910958</v>
      </c>
      <c r="T110" s="63" t="n">
        <f aca="false">Ratio!T47*T50</f>
        <v>0.201342390061732</v>
      </c>
      <c r="U110" s="63" t="n">
        <f aca="false">Ratio!U47*U50</f>
        <v>0.181329381077077</v>
      </c>
      <c r="V110" s="63" t="n">
        <f aca="false">Ratio!V47*V50</f>
        <v>0.0920372683150255</v>
      </c>
      <c r="W110" s="63" t="n">
        <f aca="false">Ratio!W47*W50</f>
        <v>0.0843609144912296</v>
      </c>
      <c r="X110" s="68" t="n">
        <f aca="false">Ratio!X47*X50</f>
        <v>0.0790124306992896</v>
      </c>
      <c r="Y110" s="67" t="n">
        <f aca="false">Ratio!Y47*Y50</f>
        <v>0.0974774682516564</v>
      </c>
      <c r="Z110" s="63" t="n">
        <f aca="false">Ratio!Z47*Z50</f>
        <v>0.100298513627893</v>
      </c>
      <c r="AA110" s="63" t="n">
        <f aca="false">Ratio!AA47*AA50</f>
        <v>0.102961697964478</v>
      </c>
      <c r="AB110" s="63" t="n">
        <f aca="false">Ratio!AB47*AB50</f>
        <v>0.116501449789706</v>
      </c>
      <c r="AC110" s="68" t="n">
        <f aca="false">Ratio!AC47*AC50</f>
        <v>0.114313842769027</v>
      </c>
      <c r="AD110" s="67" t="n">
        <f aca="false">Ratio!AD47*AD50</f>
        <v>0.0936862344192324</v>
      </c>
      <c r="AE110" s="63" t="n">
        <f aca="false">Ratio!AE47*AE50</f>
        <v>0.0885491716206425</v>
      </c>
      <c r="AF110" s="63" t="n">
        <f aca="false">Ratio!AF47*AF50</f>
        <v>0.092912814114642</v>
      </c>
      <c r="AG110" s="63" t="n">
        <f aca="false">Ratio!AG47*AG50</f>
        <v>0.0763086137688402</v>
      </c>
      <c r="AH110" s="63" t="n">
        <f aca="false">Ratio!AH47*AH50</f>
        <v>0.084680172151955</v>
      </c>
      <c r="AI110" s="68" t="n">
        <f aca="false">Ratio!AI47*AI50</f>
        <v>0.137270728016641</v>
      </c>
      <c r="AJ110" s="67" t="n">
        <f aca="false">Ratio!AJ47*AJ50</f>
        <v>0.132915297688349</v>
      </c>
      <c r="AK110" s="63" t="n">
        <f aca="false">Ratio!AK47*AK50</f>
        <v>0.117590246624453</v>
      </c>
      <c r="AL110" s="63" t="n">
        <f aca="false">Ratio!AL47*AL50</f>
        <v>0.129901278936469</v>
      </c>
      <c r="AM110" s="63" t="n">
        <f aca="false">Ratio!AM47*AM50</f>
        <v>0.104058428566516</v>
      </c>
      <c r="AN110" s="68" t="n">
        <f aca="false">Ratio!AN47*AN50</f>
        <v>0.118012310185716</v>
      </c>
      <c r="AO110" s="67" t="n">
        <f aca="false">Ratio!AO47*AO50</f>
        <v>0.105358940208367</v>
      </c>
      <c r="AP110" s="63" t="n">
        <f aca="false">Ratio!AP47*AP50</f>
        <v>0.0919378075810349</v>
      </c>
      <c r="AQ110" s="63" t="n">
        <f aca="false">Ratio!AQ47*AQ50</f>
        <v>0.0808285427983764</v>
      </c>
    </row>
    <row r="111" customFormat="false" ht="12.8" hidden="false" customHeight="false" outlineLevel="0" collapsed="false">
      <c r="A111" s="139" t="s">
        <v>190</v>
      </c>
      <c r="B111" s="65" t="n">
        <f aca="false">Ratio!B48*B51</f>
        <v>0.0584401650205693</v>
      </c>
      <c r="C111" s="65" t="n">
        <f aca="false">Ratio!C48*C51</f>
        <v>0.0599996264632618</v>
      </c>
      <c r="D111" s="63" t="n">
        <f aca="false">Ratio!D48*D51</f>
        <v>0.0591536331983153</v>
      </c>
      <c r="E111" s="63" t="n">
        <f aca="false">Ratio!E48*E51</f>
        <v>0.0613309969495686</v>
      </c>
      <c r="F111" s="63" t="n">
        <f aca="false">Ratio!F48*F51</f>
        <v>0.0640968699475435</v>
      </c>
      <c r="G111" s="63" t="n">
        <f aca="false">Ratio!G48*G51</f>
        <v>0.106382450312335</v>
      </c>
      <c r="H111" s="63" t="n">
        <f aca="false">Ratio!H48*H51</f>
        <v>0.100779453673327</v>
      </c>
      <c r="I111" s="68" t="n">
        <f aca="false">Ratio!I48*I51</f>
        <v>0.106097194310567</v>
      </c>
      <c r="J111" s="67" t="n">
        <f aca="false">Ratio!J48*J51</f>
        <v>0.0949407019716947</v>
      </c>
      <c r="K111" s="65" t="n">
        <f aca="false">Ratio!K48*K51</f>
        <v>0.0955900054715601</v>
      </c>
      <c r="L111" s="63" t="n">
        <f aca="false">Ratio!L48*L51</f>
        <v>0.0976955244932125</v>
      </c>
      <c r="M111" s="63" t="n">
        <f aca="false">Ratio!M48*M51</f>
        <v>0.0978027050584621</v>
      </c>
      <c r="N111" s="63" t="n">
        <f aca="false">Ratio!N48*N51</f>
        <v>0.0986687752618094</v>
      </c>
      <c r="O111" s="63" t="n">
        <f aca="false">Ratio!O48*O51</f>
        <v>0.100379433827291</v>
      </c>
      <c r="P111" s="68" t="n">
        <f aca="false">Ratio!P48*P51</f>
        <v>0.093743024845701</v>
      </c>
      <c r="Q111" s="67" t="n">
        <f aca="false">Ratio!Q48*Q51</f>
        <v>0.0974435711215954</v>
      </c>
      <c r="R111" s="63" t="n">
        <f aca="false">Ratio!R48*R51</f>
        <v>0.106927477071402</v>
      </c>
      <c r="S111" s="63" t="n">
        <f aca="false">Ratio!S48*S51</f>
        <v>0.103036517383741</v>
      </c>
      <c r="T111" s="63" t="n">
        <f aca="false">Ratio!T48*T51</f>
        <v>0.101045370402596</v>
      </c>
      <c r="U111" s="63" t="n">
        <f aca="false">Ratio!U48*U51</f>
        <v>0.107048758372328</v>
      </c>
      <c r="V111" s="63" t="n">
        <f aca="false">Ratio!V48*V51</f>
        <v>0.138081476736763</v>
      </c>
      <c r="W111" s="63" t="n">
        <f aca="false">Ratio!W48*W51</f>
        <v>0.143223902067483</v>
      </c>
      <c r="X111" s="68" t="n">
        <f aca="false">Ratio!X48*X51</f>
        <v>0.134143503598047</v>
      </c>
      <c r="Y111" s="67" t="n">
        <f aca="false">Ratio!Y48*Y51</f>
        <v>0.138807903390962</v>
      </c>
      <c r="Z111" s="63" t="n">
        <f aca="false">Ratio!Z48*Z51</f>
        <v>0.154206336809799</v>
      </c>
      <c r="AA111" s="63" t="n">
        <f aca="false">Ratio!AA48*AA51</f>
        <v>0.124391673506288</v>
      </c>
      <c r="AB111" s="63" t="n">
        <f aca="false">Ratio!AB48*AB51</f>
        <v>0.138410836937069</v>
      </c>
      <c r="AC111" s="68" t="n">
        <f aca="false">Ratio!AC48*AC51</f>
        <v>0.607462684765634</v>
      </c>
      <c r="AD111" s="67" t="n">
        <f aca="false">Ratio!AD48*AD51</f>
        <v>0.582503436579139</v>
      </c>
      <c r="AE111" s="63" t="n">
        <f aca="false">Ratio!AE48*AE51</f>
        <v>0.577118668546612</v>
      </c>
      <c r="AF111" s="63" t="n">
        <f aca="false">Ratio!AF48*AF51</f>
        <v>0.57424857564686</v>
      </c>
      <c r="AG111" s="63" t="n">
        <f aca="false">Ratio!AG48*AG51</f>
        <v>0.578754946955146</v>
      </c>
      <c r="AH111" s="63" t="n">
        <f aca="false">Ratio!AH48*AH51</f>
        <v>0.173148679339207</v>
      </c>
      <c r="AI111" s="68" t="n">
        <f aca="false">Ratio!AI48*AI51</f>
        <v>0.136339157833128</v>
      </c>
      <c r="AJ111" s="67" t="n">
        <f aca="false">Ratio!AJ48*AJ51</f>
        <v>0.167055086505591</v>
      </c>
      <c r="AK111" s="63" t="n">
        <f aca="false">Ratio!AK48*AK51</f>
        <v>0.162875904103692</v>
      </c>
      <c r="AL111" s="63" t="n">
        <f aca="false">Ratio!AL48*AL51</f>
        <v>0.101437110787182</v>
      </c>
      <c r="AM111" s="63" t="n">
        <f aca="false">Ratio!AM48*AM51</f>
        <v>0.191772872857711</v>
      </c>
      <c r="AN111" s="68" t="n">
        <f aca="false">Ratio!AN48*AN51</f>
        <v>0.134524641911336</v>
      </c>
      <c r="AO111" s="67" t="n">
        <f aca="false">Ratio!AO48*AO51</f>
        <v>0.148974648236654</v>
      </c>
      <c r="AP111" s="63" t="n">
        <f aca="false">Ratio!AP48*AP51</f>
        <v>0.149860458548555</v>
      </c>
      <c r="AQ111" s="63" t="n">
        <f aca="false">Ratio!AQ48*AQ51</f>
        <v>0.140293255107759</v>
      </c>
    </row>
    <row r="112" customFormat="false" ht="12.8" hidden="false" customHeight="false" outlineLevel="0" collapsed="false">
      <c r="A112" s="139" t="s">
        <v>26</v>
      </c>
      <c r="B112" s="65" t="n">
        <f aca="false">Ratio!B49*B52</f>
        <v>-0.0309574430289562</v>
      </c>
      <c r="C112" s="65" t="n">
        <f aca="false">Ratio!C49*C52</f>
        <v>-0.0348118000042581</v>
      </c>
      <c r="D112" s="63" t="n">
        <f aca="false">Ratio!D49*D52</f>
        <v>-0.0290196674744187</v>
      </c>
      <c r="E112" s="63" t="n">
        <f aca="false">Ratio!E49*E52</f>
        <v>-0.0304713524900137</v>
      </c>
      <c r="F112" s="63" t="n">
        <f aca="false">Ratio!F49*F52</f>
        <v>-0.0298241208595955</v>
      </c>
      <c r="G112" s="63" t="n">
        <f aca="false">Ratio!G49*G52</f>
        <v>0.187529415732341</v>
      </c>
      <c r="H112" s="63" t="n">
        <f aca="false">Ratio!H49*H52</f>
        <v>0.157020728352129</v>
      </c>
      <c r="I112" s="68" t="n">
        <f aca="false">Ratio!I49*I52</f>
        <v>0.153412718379084</v>
      </c>
      <c r="J112" s="67" t="n">
        <f aca="false">Ratio!J49*J52</f>
        <v>0.148834882867928</v>
      </c>
      <c r="K112" s="65" t="n">
        <f aca="false">Ratio!K49*K52</f>
        <v>0.201352277316081</v>
      </c>
      <c r="L112" s="63" t="n">
        <f aca="false">Ratio!L49*L52</f>
        <v>0.19397852171113</v>
      </c>
      <c r="M112" s="63" t="n">
        <f aca="false">Ratio!M49*M52</f>
        <v>0.153321534907995</v>
      </c>
      <c r="N112" s="63" t="n">
        <f aca="false">Ratio!N49*N52</f>
        <v>0.154679239818466</v>
      </c>
      <c r="O112" s="63" t="n">
        <f aca="false">Ratio!O49*O52</f>
        <v>0.157104885251004</v>
      </c>
      <c r="P112" s="68" t="n">
        <f aca="false">Ratio!P49*P52</f>
        <v>0.0158977924487531</v>
      </c>
      <c r="Q112" s="67" t="n">
        <f aca="false">Ratio!Q49*Q52</f>
        <v>0.0144350038067423</v>
      </c>
      <c r="R112" s="63" t="n">
        <f aca="false">Ratio!R49*R52</f>
        <v>0.0183768458818735</v>
      </c>
      <c r="S112" s="63" t="n">
        <f aca="false">Ratio!S49*S52</f>
        <v>0.017705988633566</v>
      </c>
      <c r="T112" s="63" t="n">
        <f aca="false">Ratio!T49*T52</f>
        <v>0.0214431292789681</v>
      </c>
      <c r="U112" s="63" t="n">
        <f aca="false">Ratio!U49*U52</f>
        <v>0.0883998776010462</v>
      </c>
      <c r="V112" s="63" t="n">
        <f aca="false">Ratio!V49*V52</f>
        <v>0.0881493403981455</v>
      </c>
      <c r="W112" s="63" t="n">
        <f aca="false">Ratio!W49*W52</f>
        <v>0.0914321949247801</v>
      </c>
      <c r="X112" s="68" t="n">
        <f aca="false">Ratio!X49*X52</f>
        <v>0.103155480688425</v>
      </c>
      <c r="Y112" s="67" t="n">
        <f aca="false">Ratio!Y49*Y52</f>
        <v>0.0942469164370091</v>
      </c>
      <c r="Z112" s="63" t="n">
        <f aca="false">Ratio!Z49*Z52</f>
        <v>0.0934136576643277</v>
      </c>
      <c r="AA112" s="63" t="n">
        <f aca="false">Ratio!AA49*AA52</f>
        <v>0.0909219380059733</v>
      </c>
      <c r="AB112" s="63" t="n">
        <f aca="false">Ratio!AB49*AB52</f>
        <v>0.111545291434497</v>
      </c>
      <c r="AC112" s="68" t="n">
        <f aca="false">Ratio!AC49*AC52</f>
        <v>0.513532707852018</v>
      </c>
      <c r="AD112" s="67" t="n">
        <f aca="false">Ratio!AD49*AD52</f>
        <v>0.504165804153691</v>
      </c>
      <c r="AE112" s="63" t="n">
        <f aca="false">Ratio!AE49*AE52</f>
        <v>0.528247046099304</v>
      </c>
      <c r="AF112" s="63" t="n">
        <f aca="false">Ratio!AF49*AF52</f>
        <v>0.467089564287794</v>
      </c>
      <c r="AG112" s="63" t="n">
        <f aca="false">Ratio!AG49*AG52</f>
        <v>0.445178818890466</v>
      </c>
      <c r="AH112" s="63" t="n">
        <f aca="false">Ratio!AH49*AH52</f>
        <v>0.19173986185421</v>
      </c>
      <c r="AI112" s="68" t="n">
        <f aca="false">Ratio!AI49*AI52</f>
        <v>0.295349325397614</v>
      </c>
      <c r="AJ112" s="67" t="n">
        <f aca="false">Ratio!AJ49*AJ52</f>
        <v>0.286105110331135</v>
      </c>
      <c r="AK112" s="63" t="n">
        <f aca="false">Ratio!AK49*AK52</f>
        <v>0.220045829357373</v>
      </c>
      <c r="AL112" s="63" t="n">
        <f aca="false">Ratio!AL49*AL52</f>
        <v>0.20725377540541</v>
      </c>
      <c r="AM112" s="63" t="n">
        <f aca="false">Ratio!AM49*AM52</f>
        <v>0.192731036681781</v>
      </c>
      <c r="AN112" s="68" t="n">
        <f aca="false">Ratio!AN49*AN52</f>
        <v>0.189211343191695</v>
      </c>
      <c r="AO112" s="67" t="n">
        <f aca="false">Ratio!AO49*AO52</f>
        <v>0.127921892041431</v>
      </c>
      <c r="AP112" s="63" t="n">
        <f aca="false">Ratio!AP49*AP52</f>
        <v>0.163989068052776</v>
      </c>
      <c r="AQ112" s="63" t="n">
        <f aca="false">Ratio!AQ49*AQ52</f>
        <v>0.148823196940946</v>
      </c>
    </row>
    <row r="113" customFormat="false" ht="12.8" hidden="false" customHeight="false" outlineLevel="0" collapsed="false">
      <c r="A113" s="139" t="s">
        <v>191</v>
      </c>
      <c r="B113" s="65" t="n">
        <f aca="false">Ratio!B50*B53</f>
        <v>0.11168376865207</v>
      </c>
      <c r="C113" s="65" t="n">
        <f aca="false">Ratio!C50*C53</f>
        <v>0.136213146964962</v>
      </c>
      <c r="D113" s="63" t="n">
        <f aca="false">Ratio!D50*D53</f>
        <v>0.134292544925879</v>
      </c>
      <c r="E113" s="63" t="n">
        <f aca="false">Ratio!E50*E53</f>
        <v>0.131796441833212</v>
      </c>
      <c r="F113" s="63" t="n">
        <f aca="false">Ratio!F50*F53</f>
        <v>0.140536810887731</v>
      </c>
      <c r="G113" s="63" t="n">
        <f aca="false">Ratio!G50*G53</f>
        <v>0.137584293513908</v>
      </c>
      <c r="H113" s="63" t="n">
        <f aca="false">Ratio!H50*H53</f>
        <v>0.130609300770175</v>
      </c>
      <c r="I113" s="68" t="n">
        <f aca="false">Ratio!I50*I53</f>
        <v>0.137501046666699</v>
      </c>
      <c r="J113" s="67" t="n">
        <f aca="false">Ratio!J50*J53</f>
        <v>0.116389497108937</v>
      </c>
      <c r="K113" s="65" t="n">
        <f aca="false">Ratio!K50*K53</f>
        <v>0.126050739326037</v>
      </c>
      <c r="L113" s="63" t="n">
        <f aca="false">Ratio!L50*L53</f>
        <v>0.128827203539373</v>
      </c>
      <c r="M113" s="63" t="n">
        <f aca="false">Ratio!M50*M53</f>
        <v>0.128968538289009</v>
      </c>
      <c r="N113" s="63" t="n">
        <f aca="false">Ratio!N50*N53</f>
        <v>0.129272521372104</v>
      </c>
      <c r="O113" s="63" t="n">
        <f aca="false">Ratio!O50*O53</f>
        <v>0.133259135237022</v>
      </c>
      <c r="P113" s="68" t="n">
        <f aca="false">Ratio!P50*P53</f>
        <v>0.0918991683795821</v>
      </c>
      <c r="Q113" s="67" t="n">
        <f aca="false">Ratio!Q50*Q53</f>
        <v>0.0949304665447259</v>
      </c>
      <c r="R113" s="63" t="n">
        <f aca="false">Ratio!R50*R53</f>
        <v>0.0805544406982377</v>
      </c>
      <c r="S113" s="63" t="n">
        <f aca="false">Ratio!S50*S53</f>
        <v>0.0785064516253524</v>
      </c>
      <c r="T113" s="63" t="n">
        <f aca="false">Ratio!T50*T53</f>
        <v>0.0756673360661009</v>
      </c>
      <c r="U113" s="63" t="n">
        <f aca="false">Ratio!U50*U53</f>
        <v>0.076952562998908</v>
      </c>
      <c r="V113" s="63" t="n">
        <f aca="false">Ratio!V50*V53</f>
        <v>0.0759639333882417</v>
      </c>
      <c r="W113" s="63" t="n">
        <f aca="false">Ratio!W50*W53</f>
        <v>0.20148353047889</v>
      </c>
      <c r="X113" s="68" t="n">
        <f aca="false">Ratio!X50*X53</f>
        <v>0.188709470315978</v>
      </c>
      <c r="Y113" s="67" t="n">
        <f aca="false">Ratio!Y50*Y53</f>
        <v>0.203079878805408</v>
      </c>
      <c r="Z113" s="63" t="n">
        <f aca="false">Ratio!Z50*Z53</f>
        <v>0.192497388745397</v>
      </c>
      <c r="AA113" s="63" t="n">
        <f aca="false">Ratio!AA50*AA53</f>
        <v>0.190747690624234</v>
      </c>
      <c r="AB113" s="63" t="n">
        <f aca="false">Ratio!AB50*AB53</f>
        <v>0.175419503941947</v>
      </c>
      <c r="AC113" s="68" t="n">
        <f aca="false">Ratio!AC50*AC53</f>
        <v>0.16242353557944</v>
      </c>
      <c r="AD113" s="67" t="n">
        <f aca="false">Ratio!AD50*AD53</f>
        <v>0.102591856491058</v>
      </c>
      <c r="AE113" s="63" t="n">
        <f aca="false">Ratio!AE50*AE53</f>
        <v>0.111054984130568</v>
      </c>
      <c r="AF113" s="63" t="n">
        <f aca="false">Ratio!AF50*AF53</f>
        <v>0.0979763427117785</v>
      </c>
      <c r="AG113" s="63" t="n">
        <f aca="false">Ratio!AG50*AG53</f>
        <v>0.0596920769959563</v>
      </c>
      <c r="AH113" s="63" t="n">
        <f aca="false">Ratio!AH50*AH53</f>
        <v>-1.16499034597839</v>
      </c>
      <c r="AI113" s="68" t="n">
        <f aca="false">Ratio!AI50*AI53</f>
        <v>-1.16657910309823</v>
      </c>
      <c r="AJ113" s="67" t="n">
        <f aca="false">Ratio!AJ50*AJ53</f>
        <v>-1.27185525235226</v>
      </c>
      <c r="AK113" s="63" t="n">
        <f aca="false">Ratio!AK50*AK53</f>
        <v>-1.4547057558982</v>
      </c>
      <c r="AL113" s="63" t="n">
        <f aca="false">Ratio!AL50*AL53</f>
        <v>-1.4396227526867</v>
      </c>
      <c r="AM113" s="63" t="n">
        <f aca="false">Ratio!AM50*AM53</f>
        <v>-1.56167139070225</v>
      </c>
      <c r="AN113" s="68" t="n">
        <f aca="false">Ratio!AN50*AN53</f>
        <v>-1.9753464793976</v>
      </c>
      <c r="AO113" s="67" t="n">
        <f aca="false">Ratio!AO50*AO53</f>
        <v>-2.16438983164619</v>
      </c>
      <c r="AP113" s="63" t="n">
        <f aca="false">Ratio!AP50*AP53</f>
        <v>-2.14189976307467</v>
      </c>
      <c r="AQ113" s="63" t="n">
        <f aca="false">Ratio!AQ50*AQ53</f>
        <v>-2.09528992909656</v>
      </c>
    </row>
    <row r="114" customFormat="false" ht="12.8" hidden="false" customHeight="false" outlineLevel="0" collapsed="false">
      <c r="A114" s="139" t="s">
        <v>192</v>
      </c>
      <c r="B114" s="65" t="n">
        <f aca="false">Ratio!B51*B54</f>
        <v>0.0243796157966878</v>
      </c>
      <c r="C114" s="65" t="n">
        <f aca="false">Ratio!C51*C54</f>
        <v>0.0250147376154769</v>
      </c>
      <c r="D114" s="63" t="n">
        <f aca="false">Ratio!D51*D54</f>
        <v>0.024662030427207</v>
      </c>
      <c r="E114" s="63" t="n">
        <f aca="false">Ratio!E51*E54</f>
        <v>0.0255698057941821</v>
      </c>
      <c r="F114" s="63" t="n">
        <f aca="false">Ratio!F51*F54</f>
        <v>0.0267229394285129</v>
      </c>
      <c r="G114" s="63" t="n">
        <f aca="false">Ratio!G51*G54</f>
        <v>0.042948543997479</v>
      </c>
      <c r="H114" s="63" t="n">
        <f aca="false">Ratio!H51*H54</f>
        <v>0.0407067854226179</v>
      </c>
      <c r="I114" s="68" t="n">
        <f aca="false">Ratio!I51*I54</f>
        <v>0.0443958309766401</v>
      </c>
      <c r="J114" s="67" t="n">
        <f aca="false">Ratio!J51*J54</f>
        <v>0.048623188130262</v>
      </c>
      <c r="K114" s="65" t="n">
        <f aca="false">Ratio!K51*K54</f>
        <v>0.0489804909099437</v>
      </c>
      <c r="L114" s="63" t="n">
        <f aca="false">Ratio!L51*L54</f>
        <v>0.0500535207901809</v>
      </c>
      <c r="M114" s="63" t="n">
        <f aca="false">Ratio!M51*M54</f>
        <v>0.0501084338957592</v>
      </c>
      <c r="N114" s="63" t="n">
        <f aca="false">Ratio!N51*N54</f>
        <v>0.0505521580392537</v>
      </c>
      <c r="O114" s="63" t="n">
        <f aca="false">Ratio!O51*O54</f>
        <v>0.0517754690998108</v>
      </c>
      <c r="P114" s="68" t="n">
        <f aca="false">Ratio!P51*P54</f>
        <v>0.0647741443585528</v>
      </c>
      <c r="Q114" s="67" t="n">
        <f aca="false">Ratio!Q51*Q54</f>
        <v>0.0672042712784605</v>
      </c>
      <c r="R114" s="63" t="n">
        <f aca="false">Ratio!R51*R54</f>
        <v>0.0719935360740786</v>
      </c>
      <c r="S114" s="63" t="n">
        <f aca="false">Ratio!S51*S54</f>
        <v>0.0693653709462303</v>
      </c>
      <c r="T114" s="63" t="n">
        <f aca="false">Ratio!T51*T54</f>
        <v>0.0718565577536997</v>
      </c>
      <c r="U114" s="63" t="n">
        <f aca="false">Ratio!U51*U54</f>
        <v>0.775019510283227</v>
      </c>
      <c r="V114" s="63" t="n">
        <f aca="false">Ratio!V51*V54</f>
        <v>0.866512986502722</v>
      </c>
      <c r="W114" s="63" t="n">
        <f aca="false">Ratio!W51*W54</f>
        <v>0.898783631606584</v>
      </c>
      <c r="X114" s="68" t="n">
        <f aca="false">Ratio!X51*X54</f>
        <v>0.841800730044883</v>
      </c>
      <c r="Y114" s="67" t="n">
        <f aca="false">Ratio!Y51*Y54</f>
        <v>0.881826226155509</v>
      </c>
      <c r="Z114" s="63" t="n">
        <f aca="false">Ratio!Z51*Z54</f>
        <v>1.00411215356769</v>
      </c>
      <c r="AA114" s="63" t="n">
        <f aca="false">Ratio!AA51*AA54</f>
        <v>0.977328425633301</v>
      </c>
      <c r="AB114" s="63" t="n">
        <f aca="false">Ratio!AB51*AB54</f>
        <v>1.22921809626369</v>
      </c>
      <c r="AC114" s="68" t="n">
        <f aca="false">Ratio!AC51*AC54</f>
        <v>0.548693211090962</v>
      </c>
      <c r="AD114" s="67" t="n">
        <f aca="false">Ratio!AD51*AD54</f>
        <v>0.462751521275499</v>
      </c>
      <c r="AE114" s="63" t="n">
        <f aca="false">Ratio!AE51*AE54</f>
        <v>0.474293102673809</v>
      </c>
      <c r="AF114" s="63" t="n">
        <f aca="false">Ratio!AF51*AF54</f>
        <v>0.487534464091606</v>
      </c>
      <c r="AG114" s="63" t="n">
        <f aca="false">Ratio!AG51*AG54</f>
        <v>0.480092711798569</v>
      </c>
      <c r="AH114" s="63" t="n">
        <f aca="false">Ratio!AH51*AH54</f>
        <v>0.271576597251119</v>
      </c>
      <c r="AI114" s="68" t="n">
        <f aca="false">Ratio!AI51*AI54</f>
        <v>0.409731446325942</v>
      </c>
      <c r="AJ114" s="67" t="n">
        <f aca="false">Ratio!AJ51*AJ54</f>
        <v>0.427408704306288</v>
      </c>
      <c r="AK114" s="63" t="n">
        <f aca="false">Ratio!AK51*AK54</f>
        <v>0.467352407538346</v>
      </c>
      <c r="AL114" s="63" t="n">
        <f aca="false">Ratio!AL51*AL54</f>
        <v>0.481986921608752</v>
      </c>
      <c r="AM114" s="63" t="n">
        <f aca="false">Ratio!AM51*AM54</f>
        <v>0.529978136004092</v>
      </c>
      <c r="AN114" s="68" t="n">
        <f aca="false">Ratio!AN51*AN54</f>
        <v>0.178999524437525</v>
      </c>
      <c r="AO114" s="67" t="n">
        <f aca="false">Ratio!AO51*AO54</f>
        <v>0.147945431346841</v>
      </c>
      <c r="AP114" s="63" t="n">
        <f aca="false">Ratio!AP51*AP54</f>
        <v>0.124813510055318</v>
      </c>
      <c r="AQ114" s="63" t="n">
        <f aca="false">Ratio!AQ51*AQ54</f>
        <v>0.120654093295147</v>
      </c>
    </row>
    <row r="115" customFormat="false" ht="12.8" hidden="false" customHeight="false" outlineLevel="0" collapsed="false">
      <c r="A115" s="139" t="s">
        <v>193</v>
      </c>
      <c r="B115" s="65" t="n">
        <f aca="false">Ratio!B52*B55</f>
        <v>0.0752206380408228</v>
      </c>
      <c r="C115" s="65" t="n">
        <f aca="false">Ratio!C52*C55</f>
        <v>0.0771831189840307</v>
      </c>
      <c r="D115" s="63" t="n">
        <f aca="false">Ratio!D52*D55</f>
        <v>0.0760948388950199</v>
      </c>
      <c r="E115" s="63" t="n">
        <f aca="false">Ratio!E52*E55</f>
        <v>0.0788957850907</v>
      </c>
      <c r="F115" s="63" t="n">
        <f aca="false">Ratio!F52*F55</f>
        <v>0.0824537856530556</v>
      </c>
      <c r="G115" s="63" t="n">
        <f aca="false">Ratio!G52*G55</f>
        <v>0.0862059466637033</v>
      </c>
      <c r="H115" s="63" t="n">
        <f aca="false">Ratio!H52*H55</f>
        <v>0.0866388991810693</v>
      </c>
      <c r="I115" s="68" t="n">
        <f aca="false">Ratio!I52*I55</f>
        <v>0.0912104976383733</v>
      </c>
      <c r="J115" s="67" t="n">
        <f aca="false">Ratio!J52*J55</f>
        <v>0.0998955327237593</v>
      </c>
      <c r="K115" s="65" t="n">
        <f aca="false">Ratio!K52*K55</f>
        <v>0.100578722521932</v>
      </c>
      <c r="L115" s="63" t="n">
        <f aca="false">Ratio!L52*L55</f>
        <v>0.102794125820622</v>
      </c>
      <c r="M115" s="63" t="n">
        <f aca="false">Ratio!M52*M55</f>
        <v>0.102906899999039</v>
      </c>
      <c r="N115" s="63" t="n">
        <f aca="false">Ratio!N52*N55</f>
        <v>0.10381816927073</v>
      </c>
      <c r="O115" s="63" t="n">
        <f aca="false">Ratio!O52*O55</f>
        <v>0.106330463892397</v>
      </c>
      <c r="P115" s="68" t="n">
        <f aca="false">Ratio!P52*P55</f>
        <v>0.0761247195924813</v>
      </c>
      <c r="Q115" s="67" t="n">
        <f aca="false">Ratio!Q52*Q55</f>
        <v>0.074587402847811</v>
      </c>
      <c r="R115" s="63" t="n">
        <f aca="false">Ratio!R52*R55</f>
        <v>0.0769708590505537</v>
      </c>
      <c r="S115" s="63" t="n">
        <f aca="false">Ratio!S52*S55</f>
        <v>0.0741609939064241</v>
      </c>
      <c r="T115" s="63" t="n">
        <f aca="false">Ratio!T52*T55</f>
        <v>0.0727278569673569</v>
      </c>
      <c r="U115" s="63" t="n">
        <f aca="false">Ratio!U52*U55</f>
        <v>0.0612797180484675</v>
      </c>
      <c r="V115" s="63" t="n">
        <f aca="false">Ratio!V52*V55</f>
        <v>0.0628774584157494</v>
      </c>
      <c r="W115" s="63" t="n">
        <f aca="false">Ratio!W52*W55</f>
        <v>0.0652191384334453</v>
      </c>
      <c r="X115" s="68" t="n">
        <f aca="false">Ratio!X52*X55</f>
        <v>0.0610842436549891</v>
      </c>
      <c r="Y115" s="67" t="n">
        <f aca="false">Ratio!Y52*Y55</f>
        <v>0.0632424280961535</v>
      </c>
      <c r="Z115" s="63" t="n">
        <f aca="false">Ratio!Z52*Z55</f>
        <v>0.083202735439055</v>
      </c>
      <c r="AA115" s="63" t="n">
        <f aca="false">Ratio!AA52*AA55</f>
        <v>0.0809833823304621</v>
      </c>
      <c r="AB115" s="63" t="n">
        <f aca="false">Ratio!AB52*AB55</f>
        <v>0.0901155778004288</v>
      </c>
      <c r="AC115" s="68" t="n">
        <f aca="false">Ratio!AC52*AC55</f>
        <v>0.0618674611728263</v>
      </c>
      <c r="AD115" s="67" t="n">
        <f aca="false">Ratio!AD52*AD55</f>
        <v>0.0648412668669285</v>
      </c>
      <c r="AE115" s="63" t="n">
        <f aca="false">Ratio!AE52*AE55</f>
        <v>0.113923788475245</v>
      </c>
      <c r="AF115" s="63" t="n">
        <f aca="false">Ratio!AF52*AF55</f>
        <v>0.113357229335443</v>
      </c>
      <c r="AG115" s="63" t="n">
        <f aca="false">Ratio!AG52*AG55</f>
        <v>0.121204421028299</v>
      </c>
      <c r="AH115" s="63" t="n">
        <f aca="false">Ratio!AH52*AH55</f>
        <v>0.132848345019519</v>
      </c>
      <c r="AI115" s="68" t="n">
        <f aca="false">Ratio!AI52*AI55</f>
        <v>0.104606235222868</v>
      </c>
      <c r="AJ115" s="67" t="n">
        <f aca="false">Ratio!AJ52*AJ55</f>
        <v>0.0963010643126173</v>
      </c>
      <c r="AK115" s="63" t="n">
        <f aca="false">Ratio!AK52*AK55</f>
        <v>0.101158351872483</v>
      </c>
      <c r="AL115" s="63" t="n">
        <f aca="false">Ratio!AL52*AL55</f>
        <v>0.104325990040038</v>
      </c>
      <c r="AM115" s="63" t="n">
        <f aca="false">Ratio!AM52*AM55</f>
        <v>0.102886710863563</v>
      </c>
      <c r="AN115" s="68" t="n">
        <f aca="false">Ratio!AN52*AN55</f>
        <v>0.0921428140739296</v>
      </c>
      <c r="AO115" s="67" t="n">
        <f aca="false">Ratio!AO52*AO55</f>
        <v>0.101877825588084</v>
      </c>
      <c r="AP115" s="63" t="n">
        <f aca="false">Ratio!AP52*AP55</f>
        <v>0.10037872580272</v>
      </c>
      <c r="AQ115" s="63" t="n">
        <f aca="false">Ratio!AQ52*AQ55</f>
        <v>0.102739511485816</v>
      </c>
    </row>
    <row r="116" customFormat="false" ht="12.8" hidden="false" customHeight="false" outlineLevel="0" collapsed="false">
      <c r="A116" s="139" t="s">
        <v>194</v>
      </c>
      <c r="B116" s="65" t="n">
        <f aca="false">Ratio!B53*B56</f>
        <v>0.0671460959373489</v>
      </c>
      <c r="C116" s="65" t="n">
        <f aca="false">Ratio!C53*C56</f>
        <v>0.0688979148147206</v>
      </c>
      <c r="D116" s="63" t="n">
        <f aca="false">Ratio!D53*D56</f>
        <v>0.0679264559017589</v>
      </c>
      <c r="E116" s="63" t="n">
        <f aca="false">Ratio!E53*E56</f>
        <v>0.0704267351717701</v>
      </c>
      <c r="F116" s="63" t="n">
        <f aca="false">Ratio!F53*F56</f>
        <v>0.0598091682369134</v>
      </c>
      <c r="G116" s="63" t="n">
        <f aca="false">Ratio!G53*G56</f>
        <v>0.0634895895704324</v>
      </c>
      <c r="H116" s="63" t="n">
        <f aca="false">Ratio!H53*H56</f>
        <v>0.0638084536244203</v>
      </c>
      <c r="I116" s="68" t="n">
        <f aca="false">Ratio!I53*I56</f>
        <v>0.0597186826277747</v>
      </c>
      <c r="J116" s="67" t="n">
        <f aca="false">Ratio!J53*J56</f>
        <v>0.0654050769278212</v>
      </c>
      <c r="K116" s="65" t="n">
        <f aca="false">Ratio!K53*K56</f>
        <v>0.062072188737366</v>
      </c>
      <c r="L116" s="63" t="n">
        <f aca="false">Ratio!L53*L56</f>
        <v>0.0634394255468775</v>
      </c>
      <c r="M116" s="63" t="n">
        <f aca="false">Ratio!M53*M56</f>
        <v>0.0635090241648746</v>
      </c>
      <c r="N116" s="63" t="n">
        <f aca="false">Ratio!N53*N56</f>
        <v>0.0640714142689109</v>
      </c>
      <c r="O116" s="63" t="n">
        <f aca="false">Ratio!O53*O56</f>
        <v>0.0656218776473453</v>
      </c>
      <c r="P116" s="68" t="n">
        <f aca="false">Ratio!P53*P56</f>
        <v>0.0458640275571957</v>
      </c>
      <c r="Q116" s="67" t="n">
        <f aca="false">Ratio!Q53*Q56</f>
        <v>0.0476745297962013</v>
      </c>
      <c r="R116" s="63" t="n">
        <f aca="false">Ratio!R53*R56</f>
        <v>0.0491979794595103</v>
      </c>
      <c r="S116" s="63" t="n">
        <f aca="false">Ratio!S53*S56</f>
        <v>0.0474019791374392</v>
      </c>
      <c r="T116" s="63" t="n">
        <f aca="false">Ratio!T53*T56</f>
        <v>0.0464859514022598</v>
      </c>
      <c r="U116" s="63" t="n">
        <f aca="false">Ratio!U53*U56</f>
        <v>0.0345475142803998</v>
      </c>
      <c r="V116" s="63" t="n">
        <f aca="false">Ratio!V53*V56</f>
        <v>0.0354482683946956</v>
      </c>
      <c r="W116" s="63" t="n">
        <f aca="false">Ratio!W53*W56</f>
        <v>0.0367684315159993</v>
      </c>
      <c r="X116" s="68" t="n">
        <f aca="false">Ratio!X53*X56</f>
        <v>0.0344373121676093</v>
      </c>
      <c r="Y116" s="67" t="n">
        <f aca="false">Ratio!Y53*Y56</f>
        <v>0.035654026443969</v>
      </c>
      <c r="Z116" s="63" t="n">
        <f aca="false">Ratio!Z53*Z56</f>
        <v>0.0377339863530818</v>
      </c>
      <c r="AA116" s="63" t="n">
        <f aca="false">Ratio!AA53*AA56</f>
        <v>0.0367274684847641</v>
      </c>
      <c r="AB116" s="63" t="n">
        <f aca="false">Ratio!AB53*AB56</f>
        <v>0.0529529314945078</v>
      </c>
      <c r="AC116" s="68" t="n">
        <f aca="false">Ratio!AC53*AC56</f>
        <v>0.0499543182712895</v>
      </c>
      <c r="AD116" s="67" t="n">
        <f aca="false">Ratio!AD53*AD56</f>
        <v>0.0523554906049201</v>
      </c>
      <c r="AE116" s="63" t="n">
        <f aca="false">Ratio!AE53*AE56</f>
        <v>0.0446172840165179</v>
      </c>
      <c r="AF116" s="63" t="n">
        <f aca="false">Ratio!AF53*AF56</f>
        <v>0.0443953959421215</v>
      </c>
      <c r="AG116" s="63" t="n">
        <f aca="false">Ratio!AG53*AG56</f>
        <v>0.0474686819096815</v>
      </c>
      <c r="AH116" s="63" t="n">
        <f aca="false">Ratio!AH53*AH56</f>
        <v>0.0455915872595843</v>
      </c>
      <c r="AI116" s="68" t="n">
        <f aca="false">Ratio!AI53*AI56</f>
        <v>0.0358993128620403</v>
      </c>
      <c r="AJ116" s="67" t="n">
        <f aca="false">Ratio!AJ53*AJ56</f>
        <v>0.037448135683598</v>
      </c>
      <c r="AK116" s="63" t="n">
        <f aca="false">Ratio!AK53*AK56</f>
        <v>0.039336965935833</v>
      </c>
      <c r="AL116" s="63" t="n">
        <f aca="false">Ratio!AL53*AL56</f>
        <v>0.0405687502856928</v>
      </c>
      <c r="AM116" s="63" t="n">
        <f aca="false">Ratio!AM53*AM56</f>
        <v>0.042775931530603</v>
      </c>
      <c r="AN116" s="68" t="n">
        <f aca="false">Ratio!AN53*AN56</f>
        <v>0.0896466027393183</v>
      </c>
      <c r="AO116" s="67" t="n">
        <f aca="false">Ratio!AO53*AO56</f>
        <v>0.109957776282235</v>
      </c>
      <c r="AP116" s="63" t="n">
        <f aca="false">Ratio!AP53*AP56</f>
        <v>0.108339782593498</v>
      </c>
      <c r="AQ116" s="63" t="n">
        <f aca="false">Ratio!AQ53*AQ56</f>
        <v>0.110744859971423</v>
      </c>
    </row>
    <row r="117" customFormat="false" ht="12.8" hidden="false" customHeight="false" outlineLevel="0" collapsed="false">
      <c r="A117" s="139" t="s">
        <v>195</v>
      </c>
      <c r="B117" s="65" t="n">
        <f aca="false">Ratio!B54*B57</f>
        <v>0.0191512609266107</v>
      </c>
      <c r="C117" s="65" t="n">
        <f aca="false">Ratio!C54*C57</f>
        <v>0.0192450908845026</v>
      </c>
      <c r="D117" s="63" t="n">
        <f aca="false">Ratio!D54*D57</f>
        <v>0.0189737355739568</v>
      </c>
      <c r="E117" s="63" t="n">
        <f aca="false">Ratio!E54*E57</f>
        <v>0.0196289252567002</v>
      </c>
      <c r="F117" s="63" t="n">
        <f aca="false">Ratio!F54*F57</f>
        <v>0.024817596723664</v>
      </c>
      <c r="G117" s="63" t="n">
        <f aca="false">Ratio!G54*G57</f>
        <v>0.124813160010447</v>
      </c>
      <c r="H117" s="63" t="n">
        <f aca="false">Ratio!H54*H57</f>
        <v>0.125189505510184</v>
      </c>
      <c r="I117" s="68" t="n">
        <f aca="false">Ratio!I54*I57</f>
        <v>0.131847993225245</v>
      </c>
      <c r="J117" s="67" t="n">
        <f aca="false">Ratio!J54*J57</f>
        <v>0.165260332049448</v>
      </c>
      <c r="K117" s="65" t="n">
        <f aca="false">Ratio!K54*K57</f>
        <v>0.17108840991415</v>
      </c>
      <c r="L117" s="63" t="n">
        <f aca="false">Ratio!L54*L57</f>
        <v>0.174856899095435</v>
      </c>
      <c r="M117" s="63" t="n">
        <f aca="false">Ratio!M54*M57</f>
        <v>0.175048732461191</v>
      </c>
      <c r="N117" s="63" t="n">
        <f aca="false">Ratio!N54*N57</f>
        <v>0.176598837759687</v>
      </c>
      <c r="O117" s="63" t="n">
        <f aca="false">Ratio!O54*O57</f>
        <v>0.185907999393211</v>
      </c>
      <c r="P117" s="68" t="n">
        <f aca="false">Ratio!P54*P57</f>
        <v>0.0292761202185532</v>
      </c>
      <c r="Q117" s="67" t="n">
        <f aca="false">Ratio!Q54*Q57</f>
        <v>0.0374336384617916</v>
      </c>
      <c r="R117" s="63" t="n">
        <f aca="false">Ratio!R54*R57</f>
        <v>0.0386298382807481</v>
      </c>
      <c r="S117" s="63" t="n">
        <f aca="false">Ratio!S54*S57</f>
        <v>0.0372196339846371</v>
      </c>
      <c r="T117" s="63" t="n">
        <f aca="false">Ratio!T54*T57</f>
        <v>0.0365003767375019</v>
      </c>
      <c r="U117" s="63" t="n">
        <f aca="false">Ratio!U54*U57</f>
        <v>0.120408122222682</v>
      </c>
      <c r="V117" s="63" t="n">
        <f aca="false">Ratio!V54*V57</f>
        <v>0.12354751195146</v>
      </c>
      <c r="W117" s="63" t="n">
        <f aca="false">Ratio!W54*W57</f>
        <v>0.128148663894655</v>
      </c>
      <c r="X117" s="68" t="n">
        <f aca="false">Ratio!X54*X57</f>
        <v>0.120024035849394</v>
      </c>
      <c r="Y117" s="67" t="n">
        <f aca="false">Ratio!Y54*Y57</f>
        <v>0.124264638519355</v>
      </c>
      <c r="Z117" s="63" t="n">
        <f aca="false">Ratio!Z54*Z57</f>
        <v>0.162410954239144</v>
      </c>
      <c r="AA117" s="63" t="n">
        <f aca="false">Ratio!AA54*AA57</f>
        <v>0.158078797919305</v>
      </c>
      <c r="AB117" s="63" t="n">
        <f aca="false">Ratio!AB54*AB57</f>
        <v>0.17585264893112</v>
      </c>
      <c r="AC117" s="68" t="n">
        <f aca="false">Ratio!AC54*AC57</f>
        <v>0.25294013876748</v>
      </c>
      <c r="AD117" s="67" t="n">
        <f aca="false">Ratio!AD54*AD57</f>
        <v>0.265098304153198</v>
      </c>
      <c r="AE117" s="63" t="n">
        <f aca="false">Ratio!AE54*AE57</f>
        <v>0.312213054951885</v>
      </c>
      <c r="AF117" s="63" t="n">
        <f aca="false">Ratio!AF54*AF57</f>
        <v>0.310660375198025</v>
      </c>
      <c r="AG117" s="63" t="n">
        <f aca="false">Ratio!AG54*AG57</f>
        <v>0.332165942419854</v>
      </c>
      <c r="AH117" s="63" t="n">
        <f aca="false">Ratio!AH54*AH57</f>
        <v>0.234856806341443</v>
      </c>
      <c r="AI117" s="68" t="n">
        <f aca="false">Ratio!AI54*AI57</f>
        <v>0.184981350121109</v>
      </c>
      <c r="AJ117" s="67" t="n">
        <f aca="false">Ratio!AJ54*AJ57</f>
        <v>0.166122568897543</v>
      </c>
      <c r="AK117" s="63" t="n">
        <f aca="false">Ratio!AK54*AK57</f>
        <v>0.145721167555754</v>
      </c>
      <c r="AL117" s="63" t="n">
        <f aca="false">Ratio!AL54*AL57</f>
        <v>0.129368183503035</v>
      </c>
      <c r="AM117" s="63" t="n">
        <f aca="false">Ratio!AM54*AM57</f>
        <v>0.128448646819189</v>
      </c>
      <c r="AN117" s="68" t="n">
        <f aca="false">Ratio!AN54*AN57</f>
        <v>0.14976825027854</v>
      </c>
      <c r="AO117" s="67" t="n">
        <f aca="false">Ratio!AO54*AO57</f>
        <v>0.11876180709561</v>
      </c>
      <c r="AP117" s="63" t="n">
        <f aca="false">Ratio!AP54*AP57</f>
        <v>0.111086126122102</v>
      </c>
      <c r="AQ117" s="63" t="n">
        <f aca="false">Ratio!AQ54*AQ57</f>
        <v>0.103362011077826</v>
      </c>
    </row>
    <row r="118" customFormat="false" ht="12.8" hidden="false" customHeight="false" outlineLevel="0" collapsed="false">
      <c r="A118" s="139" t="s">
        <v>196</v>
      </c>
      <c r="B118" s="65" t="n">
        <f aca="false">Ratio!B55*B58</f>
        <v>0.0714213645597455</v>
      </c>
      <c r="C118" s="65" t="n">
        <f aca="false">Ratio!C55*C58</f>
        <v>0.0739375911120737</v>
      </c>
      <c r="D118" s="63" t="n">
        <f aca="false">Ratio!D55*D58</f>
        <v>0.0728950728866397</v>
      </c>
      <c r="E118" s="63" t="n">
        <f aca="false">Ratio!E55*E58</f>
        <v>0.0189612780830711</v>
      </c>
      <c r="F118" s="63" t="n">
        <f aca="false">Ratio!F55*F58</f>
        <v>0.0198163838153354</v>
      </c>
      <c r="G118" s="63" t="n">
        <f aca="false">Ratio!G55*G58</f>
        <v>0.0210358062533513</v>
      </c>
      <c r="H118" s="63" t="n">
        <f aca="false">Ratio!H55*H58</f>
        <v>0.0210013679213259</v>
      </c>
      <c r="I118" s="68" t="n">
        <f aca="false">Ratio!I55*I58</f>
        <v>0.0220604780787719</v>
      </c>
      <c r="J118" s="67" t="n">
        <f aca="false">Ratio!J55*J58</f>
        <v>0.0241610699083896</v>
      </c>
      <c r="K118" s="65" t="n">
        <f aca="false">Ratio!K55*K58</f>
        <v>0.0243263084933822</v>
      </c>
      <c r="L118" s="63" t="n">
        <f aca="false">Ratio!L55*L58</f>
        <v>0.0248621333948112</v>
      </c>
      <c r="M118" s="63" t="n">
        <f aca="false">Ratio!M55*M58</f>
        <v>0.0248894093373316</v>
      </c>
      <c r="N118" s="63" t="n">
        <f aca="false">Ratio!N55*N58</f>
        <v>0.0251098119917683</v>
      </c>
      <c r="O118" s="63" t="n">
        <f aca="false">Ratio!O55*O58</f>
        <v>0.025717444028252</v>
      </c>
      <c r="P118" s="68" t="n">
        <f aca="false">Ratio!P55*P58</f>
        <v>0.0426662170058972</v>
      </c>
      <c r="Q118" s="67" t="n">
        <f aca="false">Ratio!Q55*Q58</f>
        <v>0.0398293666173212</v>
      </c>
      <c r="R118" s="63" t="n">
        <f aca="false">Ratio!R55*R58</f>
        <v>0.0429972150354563</v>
      </c>
      <c r="S118" s="63" t="n">
        <f aca="false">Ratio!S55*S58</f>
        <v>0.0414275771580432</v>
      </c>
      <c r="T118" s="63" t="n">
        <f aca="false">Ratio!T55*T58</f>
        <v>0.0429817107026544</v>
      </c>
      <c r="U118" s="63" t="n">
        <f aca="false">Ratio!U55*U58</f>
        <v>0.0336326005528489</v>
      </c>
      <c r="V118" s="63" t="n">
        <f aca="false">Ratio!V55*V58</f>
        <v>0.0345095002069474</v>
      </c>
      <c r="W118" s="63" t="n">
        <f aca="false">Ratio!W55*W58</f>
        <v>0.0357947017575724</v>
      </c>
      <c r="X118" s="68" t="n">
        <f aca="false">Ratio!X55*X58</f>
        <v>0.0335253168967954</v>
      </c>
      <c r="Y118" s="67" t="n">
        <f aca="false">Ratio!Y55*Y58</f>
        <v>0.0347098092140029</v>
      </c>
      <c r="Z118" s="63" t="n">
        <f aca="false">Ratio!Z55*Z58</f>
        <v>0.0367755250350935</v>
      </c>
      <c r="AA118" s="63" t="n">
        <f aca="false">Ratio!AA55*AA58</f>
        <v>0.0357945732024875</v>
      </c>
      <c r="AB118" s="63" t="n">
        <f aca="false">Ratio!AB55*AB58</f>
        <v>0.0411468957935472</v>
      </c>
      <c r="AC118" s="68" t="n">
        <f aca="false">Ratio!AC55*AC58</f>
        <v>2.80163159242903</v>
      </c>
      <c r="AD118" s="67" t="n">
        <f aca="false">Ratio!AD55*AD58</f>
        <v>1.61618072539798</v>
      </c>
      <c r="AE118" s="63" t="n">
        <f aca="false">Ratio!AE55*AE58</f>
        <v>1.29180860821939</v>
      </c>
      <c r="AF118" s="63" t="n">
        <f aca="false">Ratio!AF55*AF58</f>
        <v>1.14443650962004</v>
      </c>
      <c r="AG118" s="63" t="n">
        <f aca="false">Ratio!AG55*AG58</f>
        <v>1.22366050551286</v>
      </c>
      <c r="AH118" s="63" t="n">
        <f aca="false">Ratio!AH55*AH58</f>
        <v>-0.48820054224873</v>
      </c>
      <c r="AI118" s="68" t="n">
        <f aca="false">Ratio!AI55*AI58</f>
        <v>-0.384414429482723</v>
      </c>
      <c r="AJ118" s="67" t="n">
        <f aca="false">Ratio!AJ55*AJ58</f>
        <v>-0.103034441304231</v>
      </c>
      <c r="AK118" s="63" t="n">
        <f aca="false">Ratio!AK55*AK58</f>
        <v>-0.135534610991427</v>
      </c>
      <c r="AL118" s="63" t="n">
        <f aca="false">Ratio!AL55*AL58</f>
        <v>-0.176979113914748</v>
      </c>
      <c r="AM118" s="63" t="n">
        <f aca="false">Ratio!AM55*AM58</f>
        <v>-0.300782628199756</v>
      </c>
      <c r="AN118" s="68" t="n">
        <f aca="false">Ratio!AN55*AN58</f>
        <v>0.0197296498125359</v>
      </c>
      <c r="AO118" s="67" t="n">
        <f aca="false">Ratio!AO55*AO58</f>
        <v>0.020429450912347</v>
      </c>
      <c r="AP118" s="63" t="n">
        <f aca="false">Ratio!AP55*AP58</f>
        <v>0.0296678807232144</v>
      </c>
      <c r="AQ118" s="63" t="n">
        <f aca="false">Ratio!AQ55*AQ58</f>
        <v>0.030326489657719</v>
      </c>
    </row>
    <row r="119" customFormat="false" ht="12.8" hidden="false" customHeight="false" outlineLevel="0" collapsed="false">
      <c r="A119" s="139" t="s">
        <v>197</v>
      </c>
      <c r="B119" s="65" t="n">
        <f aca="false">Ratio!B56*B59</f>
        <v>0.00921671473900934</v>
      </c>
      <c r="C119" s="65" t="n">
        <f aca="false">Ratio!C56*C59</f>
        <v>0.00785388095324758</v>
      </c>
      <c r="D119" s="63" t="n">
        <f aca="false">Ratio!D56*D59</f>
        <v>0.00774314142399055</v>
      </c>
      <c r="E119" s="63" t="n">
        <f aca="false">Ratio!E56*E59</f>
        <v>0.00802815579328385</v>
      </c>
      <c r="F119" s="63" t="n">
        <f aca="false">Ratio!F56*F59</f>
        <v>0.00954618918103674</v>
      </c>
      <c r="G119" s="63" t="n">
        <f aca="false">Ratio!G56*G59</f>
        <v>0.0140304485991147</v>
      </c>
      <c r="H119" s="63" t="n">
        <f aca="false">Ratio!H56*H59</f>
        <v>0.0141009137848223</v>
      </c>
      <c r="I119" s="68" t="n">
        <f aca="false">Ratio!I56*I59</f>
        <v>0.0148449642784758</v>
      </c>
      <c r="J119" s="67" t="n">
        <f aca="false">Ratio!J56*J59</f>
        <v>0.0112906230129147</v>
      </c>
      <c r="K119" s="65" t="n">
        <f aca="false">Ratio!K56*K59</f>
        <v>0.0113678400640392</v>
      </c>
      <c r="L119" s="63" t="n">
        <f aca="false">Ratio!L56*L59</f>
        <v>0.00869305349300116</v>
      </c>
      <c r="M119" s="63" t="n">
        <f aca="false">Ratio!M56*M59</f>
        <v>0.00870259053568513</v>
      </c>
      <c r="N119" s="63" t="n">
        <f aca="false">Ratio!N56*N59</f>
        <v>0.00877965439961797</v>
      </c>
      <c r="O119" s="63" t="n">
        <f aca="false">Ratio!O56*O59</f>
        <v>0.00626475286361082</v>
      </c>
      <c r="P119" s="68" t="n">
        <f aca="false">Ratio!P56*P59</f>
        <v>0.00684902726966865</v>
      </c>
      <c r="Q119" s="67" t="n">
        <f aca="false">Ratio!Q56*Q59</f>
        <v>0.00963667696428393</v>
      </c>
      <c r="R119" s="63" t="n">
        <f aca="false">Ratio!R56*R59</f>
        <v>0.00936148605798136</v>
      </c>
      <c r="S119" s="63" t="n">
        <f aca="false">Ratio!S56*S59</f>
        <v>0.00901973966595655</v>
      </c>
      <c r="T119" s="63" t="n">
        <f aca="false">Ratio!T56*T59</f>
        <v>0.00862970192349119</v>
      </c>
      <c r="U119" s="63" t="n">
        <f aca="false">Ratio!U56*U59</f>
        <v>0.00660386385335049</v>
      </c>
      <c r="V119" s="63" t="n">
        <f aca="false">Ratio!V56*V59</f>
        <v>0.00659890192296224</v>
      </c>
      <c r="W119" s="63" t="n">
        <f aca="false">Ratio!W56*W59</f>
        <v>0.00684465798818936</v>
      </c>
      <c r="X119" s="68" t="n">
        <f aca="false">Ratio!X56*X59</f>
        <v>0.00610668517839998</v>
      </c>
      <c r="Y119" s="67" t="n">
        <f aca="false">Ratio!Y56*Y59</f>
        <v>0.00578174300826013</v>
      </c>
      <c r="Z119" s="63" t="n">
        <f aca="false">Ratio!Z56*Z59</f>
        <v>0.00611903432880349</v>
      </c>
      <c r="AA119" s="63" t="n">
        <f aca="false">Ratio!AA56*AA59</f>
        <v>0.00516702196587003</v>
      </c>
      <c r="AB119" s="63" t="n">
        <f aca="false">Ratio!AB56*AB59</f>
        <v>0.0059095171250794</v>
      </c>
      <c r="AC119" s="68" t="n">
        <f aca="false">Ratio!AC56*AC59</f>
        <v>0.0124895946409516</v>
      </c>
      <c r="AD119" s="67" t="n">
        <f aca="false">Ratio!AD56*AD59</f>
        <v>0.0107288843046884</v>
      </c>
      <c r="AE119" s="63" t="n">
        <f aca="false">Ratio!AE56*AE59</f>
        <v>0.00910942401520884</v>
      </c>
      <c r="AF119" s="63" t="n">
        <f aca="false">Ratio!AF56*AF59</f>
        <v>0.00906412155903856</v>
      </c>
      <c r="AG119" s="63" t="n">
        <f aca="false">Ratio!AG56*AG59</f>
        <v>0.0096915883718578</v>
      </c>
      <c r="AH119" s="63" t="n">
        <f aca="false">Ratio!AH56*AH59</f>
        <v>0.101930136574062</v>
      </c>
      <c r="AI119" s="68" t="n">
        <f aca="false">Ratio!AI56*AI59</f>
        <v>0.0802609008128686</v>
      </c>
      <c r="AJ119" s="67" t="n">
        <f aca="false">Ratio!AJ56*AJ59</f>
        <v>0.0837236388138845</v>
      </c>
      <c r="AK119" s="63" t="n">
        <f aca="false">Ratio!AK56*AK59</f>
        <v>0.0879465390713231</v>
      </c>
      <c r="AL119" s="63" t="n">
        <f aca="false">Ratio!AL56*AL59</f>
        <v>0.0959977824191044</v>
      </c>
      <c r="AM119" s="63" t="n">
        <f aca="false">Ratio!AM56*AM59</f>
        <v>0.101220632603453</v>
      </c>
      <c r="AN119" s="68" t="n">
        <f aca="false">Ratio!AN56*AN59</f>
        <v>-0.28154161030801</v>
      </c>
      <c r="AO119" s="67" t="n">
        <f aca="false">Ratio!AO56*AO59</f>
        <v>-0.265957158242036</v>
      </c>
      <c r="AP119" s="63" t="n">
        <f aca="false">Ratio!AP56*AP59</f>
        <v>-0.188652201742509</v>
      </c>
      <c r="AQ119" s="63" t="n">
        <f aca="false">Ratio!AQ56*AQ59</f>
        <v>-0.202602699457481</v>
      </c>
    </row>
    <row r="120" customFormat="false" ht="12.8" hidden="false" customHeight="false" outlineLevel="0" collapsed="false">
      <c r="A120" s="139" t="s">
        <v>198</v>
      </c>
      <c r="B120" s="65" t="n">
        <f aca="false">Ratio!B57*B60</f>
        <v>0.0211250508720389</v>
      </c>
      <c r="C120" s="65" t="n">
        <f aca="false">Ratio!C57*C60</f>
        <v>0.0216761962869206</v>
      </c>
      <c r="D120" s="63" t="n">
        <f aca="false">Ratio!D57*D60</f>
        <v>0.0213705624496896</v>
      </c>
      <c r="E120" s="63" t="n">
        <f aca="false">Ratio!E57*E60</f>
        <v>0.0221571834145567</v>
      </c>
      <c r="F120" s="63" t="n">
        <f aca="false">Ratio!F57*F60</f>
        <v>0.0231564164022071</v>
      </c>
      <c r="G120" s="63" t="n">
        <f aca="false">Ratio!G57*G60</f>
        <v>0.0873366852469754</v>
      </c>
      <c r="H120" s="63" t="n">
        <f aca="false">Ratio!H57*H60</f>
        <v>0.0877753166778626</v>
      </c>
      <c r="I120" s="68" t="n">
        <f aca="false">Ratio!I57*I60</f>
        <v>0.0924068794759453</v>
      </c>
      <c r="J120" s="67" t="n">
        <f aca="false">Ratio!J57*J60</f>
        <v>0.0495908584963802</v>
      </c>
      <c r="K120" s="65" t="n">
        <f aca="false">Ratio!K57*K60</f>
        <v>0.101897984668144</v>
      </c>
      <c r="L120" s="63" t="n">
        <f aca="false">Ratio!L57*L60</f>
        <v>0.104142446774077</v>
      </c>
      <c r="M120" s="63" t="n">
        <f aca="false">Ratio!M57*M60</f>
        <v>0.104256700178925</v>
      </c>
      <c r="N120" s="63" t="n">
        <f aca="false">Ratio!N57*N60</f>
        <v>0.105179922307293</v>
      </c>
      <c r="O120" s="63" t="n">
        <f aca="false">Ratio!O57*O60</f>
        <v>0.10772516997421</v>
      </c>
      <c r="P120" s="68" t="n">
        <f aca="false">Ratio!P57*P60</f>
        <v>0.0250981620116907</v>
      </c>
      <c r="Q120" s="67" t="n">
        <f aca="false">Ratio!Q57*Q60</f>
        <v>0.0260889227655391</v>
      </c>
      <c r="R120" s="63" t="n">
        <f aca="false">Ratio!R57*R60</f>
        <v>0.0269225997996527</v>
      </c>
      <c r="S120" s="63" t="n">
        <f aca="false">Ratio!S57*S60</f>
        <v>0.0259397749267133</v>
      </c>
      <c r="T120" s="63" t="n">
        <f aca="false">Ratio!T57*T60</f>
        <v>0.0266642751941135</v>
      </c>
      <c r="U120" s="63" t="n">
        <f aca="false">Ratio!U57*U60</f>
        <v>0.0354049963937077</v>
      </c>
      <c r="V120" s="63" t="n">
        <f aca="false">Ratio!V57*V60</f>
        <v>0.0363281075590847</v>
      </c>
      <c r="W120" s="63" t="n">
        <f aca="false">Ratio!W57*W60</f>
        <v>0.0376810376185241</v>
      </c>
      <c r="X120" s="68" t="n">
        <f aca="false">Ratio!X57*X60</f>
        <v>0.0352920590236191</v>
      </c>
      <c r="Y120" s="67" t="n">
        <f aca="false">Ratio!Y57*Y60</f>
        <v>0.0316183646074013</v>
      </c>
      <c r="Z120" s="63" t="n">
        <f aca="false">Ratio!Z57*Z60</f>
        <v>0.0334628948704406</v>
      </c>
      <c r="AA120" s="63" t="n">
        <f aca="false">Ratio!AA57*AA60</f>
        <v>0.0326028827148083</v>
      </c>
      <c r="AB120" s="63" t="n">
        <f aca="false">Ratio!AB57*AB60</f>
        <v>0.0362793887987488</v>
      </c>
      <c r="AC120" s="68" t="n">
        <f aca="false">Ratio!AC57*AC60</f>
        <v>0.0395117414013442</v>
      </c>
      <c r="AD120" s="67" t="n">
        <f aca="false">Ratio!AD57*AD60</f>
        <v>0.0373360519752807</v>
      </c>
      <c r="AE120" s="63" t="n">
        <f aca="false">Ratio!AE57*AE60</f>
        <v>0.0343833010708102</v>
      </c>
      <c r="AF120" s="63" t="n">
        <f aca="false">Ratio!AF57*AF60</f>
        <v>0.0342123080434629</v>
      </c>
      <c r="AG120" s="63" t="n">
        <f aca="false">Ratio!AG57*AG60</f>
        <v>0.0365806663832532</v>
      </c>
      <c r="AH120" s="63" t="n">
        <f aca="false">Ratio!AH57*AH60</f>
        <v>0.0503873496746342</v>
      </c>
      <c r="AI120" s="68" t="n">
        <f aca="false">Ratio!AI57*AI60</f>
        <v>0.0396755484725629</v>
      </c>
      <c r="AJ120" s="67" t="n">
        <f aca="false">Ratio!AJ57*AJ60</f>
        <v>0.041387291401133</v>
      </c>
      <c r="AK120" s="63" t="n">
        <f aca="false">Ratio!AK57*AK60</f>
        <v>0.0434748070178521</v>
      </c>
      <c r="AL120" s="63" t="n">
        <f aca="false">Ratio!AL57*AL60</f>
        <v>0.0448361623136601</v>
      </c>
      <c r="AM120" s="63" t="n">
        <f aca="false">Ratio!AM57*AM60</f>
        <v>0.0472755161477209</v>
      </c>
      <c r="AN120" s="68" t="n">
        <f aca="false">Ratio!AN57*AN60</f>
        <v>0.0117918390673756</v>
      </c>
      <c r="AO120" s="67" t="n">
        <f aca="false">Ratio!AO57*AO60</f>
        <v>0.0122100898739815</v>
      </c>
      <c r="AP120" s="63" t="n">
        <f aca="false">Ratio!AP57*AP60</f>
        <v>0.0107189264058343</v>
      </c>
      <c r="AQ120" s="63" t="n">
        <f aca="false">Ratio!AQ57*AQ60</f>
        <v>0.0109568800623506</v>
      </c>
    </row>
    <row r="121" customFormat="false" ht="12.8" hidden="false" customHeight="false" outlineLevel="0" collapsed="false">
      <c r="A121" s="139" t="s">
        <v>28</v>
      </c>
      <c r="B121" s="65" t="n">
        <f aca="false">Ratio!B58*B61</f>
        <v>0.0149171478737779</v>
      </c>
      <c r="C121" s="65" t="n">
        <f aca="false">Ratio!C58*C61</f>
        <v>0.0153063312042014</v>
      </c>
      <c r="D121" s="63" t="n">
        <f aca="false">Ratio!D58*D61</f>
        <v>0.0150905123087667</v>
      </c>
      <c r="E121" s="63" t="n">
        <f aca="false">Ratio!E58*E61</f>
        <v>0.0156459732789964</v>
      </c>
      <c r="F121" s="63" t="n">
        <f aca="false">Ratio!F58*F61</f>
        <v>0.0163515671413463</v>
      </c>
      <c r="G121" s="63" t="n">
        <f aca="false">Ratio!G58*G61</f>
        <v>0.0805478016010707</v>
      </c>
      <c r="H121" s="63" t="n">
        <f aca="false">Ratio!H58*H61</f>
        <v>0.0778978090936201</v>
      </c>
      <c r="I121" s="68" t="n">
        <f aca="false">Ratio!I58*I61</f>
        <v>0.0773005694710883</v>
      </c>
      <c r="J121" s="67" t="n">
        <f aca="false">Ratio!J58*J61</f>
        <v>0.0846611055426981</v>
      </c>
      <c r="K121" s="65" t="n">
        <f aca="false">Ratio!K58*K61</f>
        <v>0.0852401064452586</v>
      </c>
      <c r="L121" s="63" t="n">
        <f aca="false">Ratio!L58*L61</f>
        <v>0.0871176527916868</v>
      </c>
      <c r="M121" s="63" t="n">
        <f aca="false">Ratio!M58*M61</f>
        <v>0.0872132285032444</v>
      </c>
      <c r="N121" s="63" t="n">
        <f aca="false">Ratio!N58*N61</f>
        <v>0.0371738847101682</v>
      </c>
      <c r="O121" s="63" t="n">
        <f aca="false">Ratio!O58*O61</f>
        <v>0.0380734550963525</v>
      </c>
      <c r="P121" s="68" t="n">
        <f aca="false">Ratio!P58*P61</f>
        <v>-0.0360244932594232</v>
      </c>
      <c r="Q121" s="67" t="n">
        <f aca="false">Ratio!Q58*Q61</f>
        <v>-0.0374465756446627</v>
      </c>
      <c r="R121" s="63" t="n">
        <f aca="false">Ratio!R58*R61</f>
        <v>-0.0386431888740287</v>
      </c>
      <c r="S121" s="63" t="n">
        <f aca="false">Ratio!S58*S61</f>
        <v>-0.0372324972068897</v>
      </c>
      <c r="T121" s="63" t="n">
        <f aca="false">Ratio!T58*T61</f>
        <v>-0.0365129913821937</v>
      </c>
      <c r="U121" s="63" t="n">
        <f aca="false">Ratio!U58*U61</f>
        <v>-0.0181010103783433</v>
      </c>
      <c r="V121" s="63" t="n">
        <f aca="false">Ratio!V58*V61</f>
        <v>-0.0185729563319326</v>
      </c>
      <c r="W121" s="63" t="n">
        <f aca="false">Ratio!W58*W61</f>
        <v>-0.0192646496956251</v>
      </c>
      <c r="X121" s="68" t="n">
        <f aca="false">Ratio!X58*X61</f>
        <v>-0.0180432704908612</v>
      </c>
      <c r="Y121" s="67" t="n">
        <f aca="false">Ratio!Y58*Y61</f>
        <v>-0.0186807623105363</v>
      </c>
      <c r="Z121" s="63" t="n">
        <f aca="false">Ratio!Z58*Z61</f>
        <v>-0.0130255864239301</v>
      </c>
      <c r="AA121" s="63" t="n">
        <f aca="false">Ratio!AA58*AA61</f>
        <v>-0.0126781414082266</v>
      </c>
      <c r="AB121" s="63" t="n">
        <f aca="false">Ratio!AB58*AB61</f>
        <v>-0.0141078083621623</v>
      </c>
      <c r="AC121" s="68" t="n">
        <f aca="false">Ratio!AC58*AC61</f>
        <v>0.0113704925410118</v>
      </c>
      <c r="AD121" s="67" t="n">
        <f aca="false">Ratio!AD58*AD61</f>
        <v>0.0119170421297972</v>
      </c>
      <c r="AE121" s="63" t="n">
        <f aca="false">Ratio!AE58*AE61</f>
        <v>0.0165490622359065</v>
      </c>
      <c r="AF121" s="63" t="n">
        <f aca="false">Ratio!AF58*AF61</f>
        <v>0.0175010749334494</v>
      </c>
      <c r="AG121" s="63" t="n">
        <f aca="false">Ratio!AG58*AG61</f>
        <v>0.0212907720636592</v>
      </c>
      <c r="AH121" s="63" t="n">
        <f aca="false">Ratio!AH58*AH61</f>
        <v>0.0296377203624933</v>
      </c>
      <c r="AI121" s="68" t="n">
        <f aca="false">Ratio!AI58*AI61</f>
        <v>0.0233370641331892</v>
      </c>
      <c r="AJ121" s="67" t="n">
        <f aca="false">Ratio!AJ58*AJ61</f>
        <v>0.0191897775613032</v>
      </c>
      <c r="AK121" s="63" t="n">
        <f aca="false">Ratio!AK58*AK61</f>
        <v>0.0215970737137705</v>
      </c>
      <c r="AL121" s="63" t="n">
        <f aca="false">Ratio!AL58*AL61</f>
        <v>0.0224246188753282</v>
      </c>
      <c r="AM121" s="63" t="n">
        <f aca="false">Ratio!AM58*AM61</f>
        <v>0.0383559015550158</v>
      </c>
      <c r="AN121" s="68" t="n">
        <f aca="false">Ratio!AN58*AN61</f>
        <v>0.0513636371747732</v>
      </c>
      <c r="AO121" s="67" t="n">
        <f aca="false">Ratio!AO58*AO61</f>
        <v>0.0455511017373823</v>
      </c>
      <c r="AP121" s="63" t="n">
        <f aca="false">Ratio!AP58*AP61</f>
        <v>0.0424220824986156</v>
      </c>
      <c r="AQ121" s="63" t="n">
        <f aca="false">Ratio!AQ58*AQ61</f>
        <v>0.0329299592129526</v>
      </c>
    </row>
    <row r="122" customFormat="false" ht="12.8" hidden="false" customHeight="false" outlineLevel="0" collapsed="false">
      <c r="A122" s="139" t="s">
        <v>199</v>
      </c>
      <c r="B122" s="65" t="n">
        <f aca="false">Ratio!B59*B62</f>
        <v>0.0028801292868815</v>
      </c>
      <c r="C122" s="65" t="n">
        <f aca="false">Ratio!C59*C62</f>
        <v>0.00295527088347913</v>
      </c>
      <c r="D122" s="63" t="n">
        <f aca="false">Ratio!D59*D62</f>
        <v>0.00291360163633729</v>
      </c>
      <c r="E122" s="63" t="n">
        <f aca="false">Ratio!E59*E62</f>
        <v>0.00225421998404856</v>
      </c>
      <c r="F122" s="63" t="n">
        <f aca="false">Ratio!F59*F62</f>
        <v>0.00235587960961281</v>
      </c>
      <c r="G122" s="63" t="n">
        <f aca="false">Ratio!G59*G62</f>
        <v>0.00220050110871685</v>
      </c>
      <c r="H122" s="63" t="n">
        <f aca="false">Ratio!H59*H62</f>
        <v>0.00221155269542702</v>
      </c>
      <c r="I122" s="68" t="n">
        <f aca="false">Ratio!I59*I62</f>
        <v>0.00232824774795222</v>
      </c>
      <c r="J122" s="67" t="n">
        <f aca="false">Ratio!J59*J62</f>
        <v>0.00254994277102519</v>
      </c>
      <c r="K122" s="65" t="n">
        <f aca="false">Ratio!K59*K62</f>
        <v>0.00256738193811895</v>
      </c>
      <c r="L122" s="63" t="n">
        <f aca="false">Ratio!L59*L62</f>
        <v>0.00262393253124727</v>
      </c>
      <c r="M122" s="63" t="n">
        <f aca="false">Ratio!M59*M62</f>
        <v>0.00262681121554048</v>
      </c>
      <c r="N122" s="63" t="n">
        <f aca="false">Ratio!N59*N62</f>
        <v>0.00265007236074335</v>
      </c>
      <c r="O122" s="63" t="n">
        <f aca="false">Ratio!O59*O62</f>
        <v>0.00271420142972704</v>
      </c>
      <c r="P122" s="68" t="n">
        <f aca="false">Ratio!P59*P62</f>
        <v>0.00280218393594163</v>
      </c>
      <c r="Q122" s="67" t="n">
        <f aca="false">Ratio!Q59*Q62</f>
        <v>0.00291280135356377</v>
      </c>
      <c r="R122" s="63" t="n">
        <f aca="false">Ratio!R59*R62</f>
        <v>0.0030058805356835</v>
      </c>
      <c r="S122" s="63" t="n">
        <f aca="false">Ratio!S59*S62</f>
        <v>0.0028961491509904</v>
      </c>
      <c r="T122" s="63" t="n">
        <f aca="false">Ratio!T59*T62</f>
        <v>0.00284018201637284</v>
      </c>
      <c r="U122" s="63" t="n">
        <f aca="false">Ratio!U59*U62</f>
        <v>0.00284180488354066</v>
      </c>
      <c r="V122" s="63" t="n">
        <f aca="false">Ratio!V59*V62</f>
        <v>0.00291589899694341</v>
      </c>
      <c r="W122" s="63" t="n">
        <f aca="false">Ratio!W59*W62</f>
        <v>0.00302449280125424</v>
      </c>
      <c r="X122" s="68" t="n">
        <f aca="false">Ratio!X59*X62</f>
        <v>0.00283273989264833</v>
      </c>
      <c r="Y122" s="67" t="n">
        <f aca="false">Ratio!Y59*Y62</f>
        <v>0.00293282421548467</v>
      </c>
      <c r="Z122" s="63" t="n">
        <f aca="false">Ratio!Z59*Z62</f>
        <v>0.00194204628113465</v>
      </c>
      <c r="AA122" s="63" t="n">
        <f aca="false">Ratio!AA59*AA62</f>
        <v>0.00189024406059077</v>
      </c>
      <c r="AB122" s="63" t="n">
        <f aca="false">Ratio!AB59*AB62</f>
        <v>0.0021033998679985</v>
      </c>
      <c r="AC122" s="68" t="n">
        <f aca="false">Ratio!AC59*AC62</f>
        <v>0.00426874624460023</v>
      </c>
      <c r="AD122" s="67" t="n">
        <f aca="false">Ratio!AD59*AD62</f>
        <v>0.0044739336185157</v>
      </c>
      <c r="AE122" s="63" t="n">
        <f aca="false">Ratio!AE59*AE62</f>
        <v>0.00309186849925919</v>
      </c>
      <c r="AF122" s="63" t="n">
        <f aca="false">Ratio!AF59*AF62</f>
        <v>0.00307649219918379</v>
      </c>
      <c r="AG122" s="63" t="n">
        <f aca="false">Ratio!AG59*AG62</f>
        <v>0.00153561049292576</v>
      </c>
      <c r="AH122" s="63" t="n">
        <f aca="false">Ratio!AH59*AH62</f>
        <v>0.00171578893093565</v>
      </c>
      <c r="AI122" s="68" t="n">
        <f aca="false">Ratio!AI59*AI62</f>
        <v>0.00135103091029006</v>
      </c>
      <c r="AJ122" s="67" t="n">
        <f aca="false">Ratio!AJ59*AJ62</f>
        <v>0.00140931914311859</v>
      </c>
      <c r="AK122" s="63" t="n">
        <f aca="false">Ratio!AK59*AK62</f>
        <v>0.00148040317931915</v>
      </c>
      <c r="AL122" s="63" t="n">
        <f aca="false">Ratio!AL59*AL62</f>
        <v>0.00152676002012743</v>
      </c>
      <c r="AM122" s="63" t="n">
        <f aca="false">Ratio!AM59*AM62</f>
        <v>0.00160982484362268</v>
      </c>
      <c r="AN122" s="68" t="n">
        <f aca="false">Ratio!AN59*AN62</f>
        <v>0.00164465909082491</v>
      </c>
      <c r="AO122" s="67" t="n">
        <f aca="false">Ratio!AO59*AO62</f>
        <v>0.00170299435026993</v>
      </c>
      <c r="AP122" s="63" t="n">
        <f aca="false">Ratio!AP59*AP62</f>
        <v>0.00167793533030922</v>
      </c>
      <c r="AQ122" s="63" t="n">
        <f aca="false">Ratio!AQ59*AQ62</f>
        <v>0.00171518447561801</v>
      </c>
    </row>
    <row r="123" customFormat="false" ht="12.8" hidden="false" customHeight="false" outlineLevel="0" collapsed="false">
      <c r="A123" s="139" t="s">
        <v>200</v>
      </c>
      <c r="B123" s="65" t="n">
        <f aca="false">Ratio!B60*B63</f>
        <v>0.0133056978265007</v>
      </c>
      <c r="C123" s="65" t="n">
        <f aca="false">Ratio!C60*C63</f>
        <v>0.0136528389715468</v>
      </c>
      <c r="D123" s="63" t="n">
        <f aca="false">Ratio!D60*D63</f>
        <v>0.0134603342761317</v>
      </c>
      <c r="E123" s="63" t="n">
        <f aca="false">Ratio!E60*E63</f>
        <v>0.0139557906386234</v>
      </c>
      <c r="F123" s="63" t="n">
        <f aca="false">Ratio!F60*F63</f>
        <v>0.0145851615344609</v>
      </c>
      <c r="G123" s="63" t="n">
        <f aca="false">Ratio!G60*G63</f>
        <v>0.000849266223405692</v>
      </c>
      <c r="H123" s="63" t="n">
        <f aca="false">Ratio!H60*H63</f>
        <v>0.000853531497015782</v>
      </c>
      <c r="I123" s="68" t="n">
        <f aca="false">Ratio!I60*I63</f>
        <v>0.000807636097503343</v>
      </c>
      <c r="J123" s="67" t="n">
        <f aca="false">Ratio!J60*J63</f>
        <v>0.000892635378550695</v>
      </c>
      <c r="K123" s="65" t="n">
        <f aca="false">Ratio!K60*K63</f>
        <v>0.000787994566122202</v>
      </c>
      <c r="L123" s="63" t="n">
        <f aca="false">Ratio!L60*L63</f>
        <v>0.000805351375965912</v>
      </c>
      <c r="M123" s="63" t="n">
        <f aca="false">Ratio!M60*M63</f>
        <v>0.000806234917112228</v>
      </c>
      <c r="N123" s="63" t="n">
        <f aca="false">Ratio!N60*N63</f>
        <v>0.000813374351938613</v>
      </c>
      <c r="O123" s="63" t="n">
        <f aca="false">Ratio!O60*O63</f>
        <v>0.000716155134243878</v>
      </c>
      <c r="P123" s="68" t="n">
        <f aca="false">Ratio!P60*P63</f>
        <v>0.0117284396652701</v>
      </c>
      <c r="Q123" s="67" t="n">
        <f aca="false">Ratio!Q60*Q63</f>
        <v>0.0128246415483168</v>
      </c>
      <c r="R123" s="63" t="n">
        <f aca="false">Ratio!R60*R63</f>
        <v>0.0132344556761616</v>
      </c>
      <c r="S123" s="63" t="n">
        <f aca="false">Ratio!S60*S63</f>
        <v>0.0132664778199875</v>
      </c>
      <c r="T123" s="63" t="n">
        <f aca="false">Ratio!T60*T63</f>
        <v>0.0112856805059061</v>
      </c>
      <c r="U123" s="63" t="n">
        <f aca="false">Ratio!U60*U63</f>
        <v>0.0123243027103444</v>
      </c>
      <c r="V123" s="63" t="n">
        <f aca="false">Ratio!V60*V63</f>
        <v>0.0126456331042497</v>
      </c>
      <c r="W123" s="63" t="n">
        <f aca="false">Ratio!W60*W63</f>
        <v>0.0131165813120405</v>
      </c>
      <c r="X123" s="68" t="n">
        <f aca="false">Ratio!X60*X63</f>
        <v>0.015679200536423</v>
      </c>
      <c r="Y123" s="67" t="n">
        <f aca="false">Ratio!Y60*Y63</f>
        <v>0.00987383546976803</v>
      </c>
      <c r="Z123" s="63" t="n">
        <f aca="false">Ratio!Z60*Z63</f>
        <v>0.0143483353230868</v>
      </c>
      <c r="AA123" s="63" t="n">
        <f aca="false">Ratio!AA60*AA63</f>
        <v>0.023926165761103</v>
      </c>
      <c r="AB123" s="63" t="n">
        <f aca="false">Ratio!AB60*AB63</f>
        <v>0.026624230676268</v>
      </c>
      <c r="AC123" s="68" t="n">
        <f aca="false">Ratio!AC60*AC63</f>
        <v>0.0104161594498489</v>
      </c>
      <c r="AD123" s="67" t="n">
        <f aca="false">Ratio!AD60*AD63</f>
        <v>0.00637211395169858</v>
      </c>
      <c r="AE123" s="63" t="n">
        <f aca="false">Ratio!AE60*AE63</f>
        <v>0.00653104216364723</v>
      </c>
      <c r="AF123" s="63" t="n">
        <f aca="false">Ratio!AF60*AF63</f>
        <v>0.00649856236570711</v>
      </c>
      <c r="AG123" s="63" t="n">
        <f aca="false">Ratio!AG60*AG63</f>
        <v>0.00761868095153886</v>
      </c>
      <c r="AH123" s="63" t="n">
        <f aca="false">Ratio!AH60*AH63</f>
        <v>0.025757563195363</v>
      </c>
      <c r="AI123" s="68" t="n">
        <f aca="false">Ratio!AI60*AI63</f>
        <v>0.0202817860770953</v>
      </c>
      <c r="AJ123" s="67" t="n">
        <f aca="false">Ratio!AJ60*AJ63</f>
        <v>0.0292096260199601</v>
      </c>
      <c r="AK123" s="63" t="n">
        <f aca="false">Ratio!AK60*AK63</f>
        <v>0.0222239331181228</v>
      </c>
      <c r="AL123" s="63" t="n">
        <f aca="false">Ratio!AL60*AL63</f>
        <v>0.0229198457884566</v>
      </c>
      <c r="AM123" s="63" t="n">
        <f aca="false">Ratio!AM60*AM63</f>
        <v>0.0253902670328386</v>
      </c>
      <c r="AN123" s="68" t="n">
        <f aca="false">Ratio!AN60*AN63</f>
        <v>0.454170429743626</v>
      </c>
      <c r="AO123" s="67" t="n">
        <f aca="false">Ratio!AO60*AO63</f>
        <v>0.273806033170117</v>
      </c>
      <c r="AP123" s="63" t="n">
        <f aca="false">Ratio!AP60*AP63</f>
        <v>0.589531732672507</v>
      </c>
      <c r="AQ123" s="63" t="n">
        <f aca="false">Ratio!AQ60*AQ63</f>
        <v>0.562787656149559</v>
      </c>
    </row>
    <row r="124" customFormat="false" ht="12.8" hidden="false" customHeight="false" outlineLevel="0" collapsed="false">
      <c r="A124" s="139"/>
      <c r="B124" s="65"/>
      <c r="C124" s="65"/>
      <c r="D124" s="63"/>
      <c r="E124" s="63"/>
      <c r="F124" s="63"/>
      <c r="G124" s="63"/>
      <c r="H124" s="63"/>
      <c r="I124" s="68"/>
      <c r="J124" s="67"/>
      <c r="K124" s="65"/>
      <c r="L124" s="63"/>
      <c r="M124" s="63"/>
      <c r="N124" s="63"/>
      <c r="O124" s="63"/>
      <c r="P124" s="68"/>
      <c r="Q124" s="67"/>
      <c r="R124" s="63"/>
      <c r="S124" s="63"/>
      <c r="T124" s="63"/>
      <c r="U124" s="63"/>
      <c r="V124" s="63"/>
      <c r="W124" s="63"/>
      <c r="X124" s="68"/>
      <c r="Y124" s="67"/>
      <c r="Z124" s="63"/>
      <c r="AA124" s="63"/>
      <c r="AB124" s="63"/>
      <c r="AC124" s="68"/>
      <c r="AD124" s="67"/>
      <c r="AE124" s="63"/>
      <c r="AF124" s="63"/>
      <c r="AG124" s="63"/>
      <c r="AH124" s="63"/>
      <c r="AI124" s="68"/>
      <c r="AJ124" s="67"/>
      <c r="AK124" s="63"/>
      <c r="AL124" s="63"/>
      <c r="AM124" s="63"/>
      <c r="AN124" s="68"/>
      <c r="AO124" s="67"/>
      <c r="AP124" s="63"/>
      <c r="AQ124" s="63"/>
    </row>
    <row r="125" customFormat="false" ht="12.8" hidden="false" customHeight="false" outlineLevel="0" collapsed="false">
      <c r="A125" s="1" t="s">
        <v>207</v>
      </c>
      <c r="B125" s="39"/>
      <c r="K125" s="40"/>
    </row>
    <row r="126" customFormat="false" ht="12.8" hidden="false" customHeight="false" outlineLevel="0" collapsed="false">
      <c r="A126" s="139" t="s">
        <v>24</v>
      </c>
      <c r="B126" s="65" t="n">
        <f aca="false">B36*Ratio!B63</f>
        <v>0.720476006471005</v>
      </c>
      <c r="C126" s="65" t="n">
        <f aca="false">C36*Ratio!C63</f>
        <v>0.706900528152841</v>
      </c>
      <c r="D126" s="63" t="n">
        <f aca="false">D36*Ratio!D63</f>
        <v>0.746349240206706</v>
      </c>
      <c r="E126" s="63" t="n">
        <f aca="false">E36*Ratio!E63</f>
        <v>0.723097169345306</v>
      </c>
      <c r="F126" s="63" t="n">
        <f aca="false">F36*Ratio!F63</f>
        <v>0.646098370674505</v>
      </c>
      <c r="G126" s="63" t="n">
        <f aca="false">G36*Ratio!G63</f>
        <v>0.472211401597815</v>
      </c>
      <c r="H126" s="63" t="n">
        <f aca="false">H36*Ratio!H63</f>
        <v>0.47155564318197</v>
      </c>
      <c r="I126" s="68" t="n">
        <f aca="false">I36*Ratio!I63</f>
        <v>0.451203696639288</v>
      </c>
      <c r="J126" s="67" t="n">
        <f aca="false">J36*Ratio!J63</f>
        <v>0.358250807388705</v>
      </c>
      <c r="K126" s="65" t="n">
        <f aca="false">K36*Ratio!K63</f>
        <v>0.300398977635288</v>
      </c>
      <c r="L126" s="63" t="n">
        <f aca="false">L36*Ratio!L63</f>
        <v>0.284165174018629</v>
      </c>
      <c r="M126" s="63" t="n">
        <f aca="false">M36*Ratio!M63</f>
        <v>0.282172684764593</v>
      </c>
      <c r="N126" s="63" t="n">
        <f aca="false">N36*Ratio!N63</f>
        <v>0.278851537423779</v>
      </c>
      <c r="O126" s="63" t="n">
        <f aca="false">O36*Ratio!O63</f>
        <v>0.257901731905947</v>
      </c>
      <c r="P126" s="68" t="n">
        <f aca="false">P36*Ratio!P63</f>
        <v>0.285208371060152</v>
      </c>
      <c r="Q126" s="67" t="n">
        <f aca="false">Q36*Ratio!Q63</f>
        <v>0.280962091438087</v>
      </c>
      <c r="R126" s="63" t="n">
        <f aca="false">R36*Ratio!R63</f>
        <v>0.261316172686881</v>
      </c>
      <c r="S126" s="63" t="n">
        <f aca="false">S36*Ratio!S63</f>
        <v>0.266101533862812</v>
      </c>
      <c r="T126" s="63" t="n">
        <f aca="false">T36*Ratio!T63</f>
        <v>0.272735155702313</v>
      </c>
      <c r="U126" s="63" t="n">
        <f aca="false">U36*Ratio!U63</f>
        <v>0.3004439933418</v>
      </c>
      <c r="V126" s="63" t="n">
        <f aca="false">V36*Ratio!V63</f>
        <v>0.300603739485534</v>
      </c>
      <c r="W126" s="63" t="n">
        <f aca="false">W36*Ratio!W63</f>
        <v>0.264166685824294</v>
      </c>
      <c r="X126" s="68" t="n">
        <f aca="false">X36*Ratio!X63</f>
        <v>0.305396719402473</v>
      </c>
      <c r="Y126" s="67" t="n">
        <f aca="false">Y36*Ratio!Y63</f>
        <v>0.281664549957853</v>
      </c>
      <c r="Z126" s="63" t="n">
        <f aca="false">Z36*Ratio!Z63</f>
        <v>0.227219781337089</v>
      </c>
      <c r="AA126" s="63" t="n">
        <f aca="false">AA36*Ratio!AA63</f>
        <v>0.239338124683319</v>
      </c>
      <c r="AB126" s="63" t="n">
        <f aca="false">AB36*Ratio!AB63</f>
        <v>0.18178829865217</v>
      </c>
      <c r="AC126" s="68" t="n">
        <f aca="false">AC36*Ratio!AC63</f>
        <v>0.159405800532587</v>
      </c>
      <c r="AD126" s="67" t="n">
        <f aca="false">AD36*Ratio!AD63</f>
        <v>0.149475943956706</v>
      </c>
      <c r="AE126" s="63" t="n">
        <f aca="false">AE36*Ratio!AE63</f>
        <v>0.137340776381473</v>
      </c>
      <c r="AF126" s="63" t="n">
        <f aca="false">AF36*Ratio!AF63</f>
        <v>0.143129508579463</v>
      </c>
      <c r="AG126" s="63" t="n">
        <f aca="false">AG36*Ratio!AG63</f>
        <v>0.102944443140836</v>
      </c>
      <c r="AH126" s="63" t="n">
        <f aca="false">AH36*Ratio!AH63</f>
        <v>0.139802860013495</v>
      </c>
      <c r="AI126" s="68" t="n">
        <f aca="false">AI36*Ratio!AI63</f>
        <v>0.189664730918863</v>
      </c>
      <c r="AJ126" s="67" t="n">
        <f aca="false">AJ36*Ratio!AJ63</f>
        <v>0.139708377536291</v>
      </c>
      <c r="AK126" s="63" t="n">
        <f aca="false">AK36*Ratio!AK63</f>
        <v>0.105995638610747</v>
      </c>
      <c r="AL126" s="63" t="n">
        <f aca="false">AL36*Ratio!AL63</f>
        <v>0.103879486009637</v>
      </c>
      <c r="AM126" s="63" t="n">
        <f aca="false">AM36*Ratio!AM63</f>
        <v>0.102074795381186</v>
      </c>
      <c r="AN126" s="68" t="n">
        <f aca="false">AN36*Ratio!AN63</f>
        <v>0.119604483530731</v>
      </c>
      <c r="AO126" s="67" t="n">
        <f aca="false">AO36*Ratio!AO63</f>
        <v>0.0989697485664916</v>
      </c>
      <c r="AP126" s="63" t="n">
        <f aca="false">AP36*Ratio!AP63</f>
        <v>0.105637028816071</v>
      </c>
      <c r="AQ126" s="63" t="n">
        <f aca="false">AQ36*Ratio!AQ63</f>
        <v>0.103849852378218</v>
      </c>
    </row>
    <row r="127" customFormat="false" ht="12.8" hidden="false" customHeight="false" outlineLevel="0" collapsed="false">
      <c r="A127" s="139" t="s">
        <v>180</v>
      </c>
      <c r="B127" s="65" t="n">
        <f aca="false">B37*Ratio!B64</f>
        <v>0.373393079510278</v>
      </c>
      <c r="C127" s="65" t="n">
        <f aca="false">C37*Ratio!C64</f>
        <v>0.388176590074975</v>
      </c>
      <c r="D127" s="63" t="n">
        <f aca="false">D37*Ratio!D64</f>
        <v>0.393326816362985</v>
      </c>
      <c r="E127" s="63" t="n">
        <f aca="false">E37*Ratio!E64</f>
        <v>0.411942019501512</v>
      </c>
      <c r="F127" s="63" t="n">
        <f aca="false">F37*Ratio!F64</f>
        <v>0.432700031062335</v>
      </c>
      <c r="G127" s="63" t="n">
        <f aca="false">G37*Ratio!G64</f>
        <v>0.47569312742659</v>
      </c>
      <c r="H127" s="63" t="n">
        <f aca="false">H37*Ratio!H64</f>
        <v>0.478082203180453</v>
      </c>
      <c r="I127" s="68" t="n">
        <f aca="false">I37*Ratio!I64</f>
        <v>0.503308745567107</v>
      </c>
      <c r="J127" s="67" t="n">
        <f aca="false">J37*Ratio!J64</f>
        <v>0.460306469508974</v>
      </c>
      <c r="K127" s="65" t="n">
        <f aca="false">K37*Ratio!K64</f>
        <v>0.53147253924477</v>
      </c>
      <c r="L127" s="63" t="n">
        <f aca="false">L37*Ratio!L64</f>
        <v>0.514492858734835</v>
      </c>
      <c r="M127" s="63" t="n">
        <f aca="false">M37*Ratio!M64</f>
        <v>0.515057302558666</v>
      </c>
      <c r="N127" s="63" t="n">
        <f aca="false">N37*Ratio!N64</f>
        <v>0.517023434701327</v>
      </c>
      <c r="O127" s="63" t="n">
        <f aca="false">O37*Ratio!O64</f>
        <v>0.537367300804521</v>
      </c>
      <c r="P127" s="68" t="n">
        <f aca="false">P37*Ratio!P64</f>
        <v>0.484081694554264</v>
      </c>
      <c r="Q127" s="67" t="n">
        <f aca="false">Q37*Ratio!Q64</f>
        <v>0.452269351957924</v>
      </c>
      <c r="R127" s="63" t="n">
        <f aca="false">R37*Ratio!R64</f>
        <v>0.429149259033968</v>
      </c>
      <c r="S127" s="63" t="n">
        <f aca="false">S37*Ratio!S64</f>
        <v>0.458100461536226</v>
      </c>
      <c r="T127" s="63" t="n">
        <f aca="false">T37*Ratio!T64</f>
        <v>0.457455327478343</v>
      </c>
      <c r="U127" s="63" t="n">
        <f aca="false">U37*Ratio!U64</f>
        <v>0.413002462328797</v>
      </c>
      <c r="V127" s="63" t="n">
        <f aca="false">V37*Ratio!V64</f>
        <v>0.421419625487687</v>
      </c>
      <c r="W127" s="63" t="n">
        <f aca="false">W37*Ratio!W64</f>
        <v>0.415875954511578</v>
      </c>
      <c r="X127" s="68" t="n">
        <f aca="false">X37*Ratio!X64</f>
        <v>0.423200147810356</v>
      </c>
      <c r="Y127" s="67" t="n">
        <f aca="false">Y37*Ratio!Y64</f>
        <v>0.391451180211196</v>
      </c>
      <c r="Z127" s="63" t="n">
        <f aca="false">Z37*Ratio!Z64</f>
        <v>0.391832403972662</v>
      </c>
      <c r="AA127" s="63" t="n">
        <f aca="false">AA37*Ratio!AA64</f>
        <v>0.425437459195608</v>
      </c>
      <c r="AB127" s="63" t="n">
        <f aca="false">AB37*Ratio!AB64</f>
        <v>0.458611009823048</v>
      </c>
      <c r="AC127" s="68" t="n">
        <f aca="false">AC37*Ratio!AC64</f>
        <v>0.440277227026154</v>
      </c>
      <c r="AD127" s="67" t="n">
        <f aca="false">AD37*Ratio!AD64</f>
        <v>0.427464741644864</v>
      </c>
      <c r="AE127" s="63" t="n">
        <f aca="false">AE37*Ratio!AE64</f>
        <v>0.449359778265934</v>
      </c>
      <c r="AF127" s="63" t="n">
        <f aca="false">AF37*Ratio!AF64</f>
        <v>0.450364819236366</v>
      </c>
      <c r="AG127" s="63" t="n">
        <f aca="false">AG37*Ratio!AG64</f>
        <v>0.464939786070192</v>
      </c>
      <c r="AH127" s="63" t="n">
        <f aca="false">AH37*Ratio!AH64</f>
        <v>0.383487841979397</v>
      </c>
      <c r="AI127" s="68" t="n">
        <f aca="false">AI37*Ratio!AI64</f>
        <v>0.427855890896462</v>
      </c>
      <c r="AJ127" s="67" t="n">
        <f aca="false">AJ37*Ratio!AJ64</f>
        <v>0.446315101263662</v>
      </c>
      <c r="AK127" s="63" t="n">
        <f aca="false">AK37*Ratio!AK64</f>
        <v>0.437148750980578</v>
      </c>
      <c r="AL127" s="63" t="n">
        <f aca="false">AL37*Ratio!AL64</f>
        <v>0.424957562484138</v>
      </c>
      <c r="AM127" s="63" t="n">
        <f aca="false">AM37*Ratio!AM64</f>
        <v>0.430333900642225</v>
      </c>
      <c r="AN127" s="68" t="n">
        <f aca="false">AN37*Ratio!AN64</f>
        <v>0.423550556570096</v>
      </c>
      <c r="AO127" s="67" t="n">
        <f aca="false">AO37*Ratio!AO64</f>
        <v>0.432098824175181</v>
      </c>
      <c r="AP127" s="63" t="n">
        <f aca="false">AP37*Ratio!AP64</f>
        <v>0.419524773708988</v>
      </c>
      <c r="AQ127" s="63" t="n">
        <f aca="false">AQ37*Ratio!AQ64</f>
        <v>0.423327759666964</v>
      </c>
    </row>
    <row r="128" customFormat="false" ht="12.8" hidden="false" customHeight="false" outlineLevel="0" collapsed="false">
      <c r="A128" s="139" t="s">
        <v>181</v>
      </c>
      <c r="B128" s="65" t="n">
        <f aca="false">B38*Ratio!B65</f>
        <v>0.275956270225627</v>
      </c>
      <c r="C128" s="65" t="n">
        <f aca="false">C38*Ratio!C65</f>
        <v>0.267696513048981</v>
      </c>
      <c r="D128" s="63" t="n">
        <f aca="false">D38*Ratio!D65</f>
        <v>0.274200096372442</v>
      </c>
      <c r="E128" s="63" t="n">
        <f aca="false">E38*Ratio!E65</f>
        <v>0.263403289432127</v>
      </c>
      <c r="F128" s="63" t="n">
        <f aca="false">F38*Ratio!F65</f>
        <v>0.241089163944909</v>
      </c>
      <c r="G128" s="63" t="n">
        <f aca="false">G38*Ratio!G65</f>
        <v>0.263005031802722</v>
      </c>
      <c r="H128" s="63" t="n">
        <f aca="false">H38*Ratio!H65</f>
        <v>0.28027763840372</v>
      </c>
      <c r="I128" s="68" t="n">
        <f aca="false">I38*Ratio!I65</f>
        <v>0.246932243021874</v>
      </c>
      <c r="J128" s="67" t="n">
        <f aca="false">J38*Ratio!J65</f>
        <v>0.213767785761022</v>
      </c>
      <c r="K128" s="65" t="n">
        <f aca="false">K38*Ratio!K65</f>
        <v>0.204160277225818</v>
      </c>
      <c r="L128" s="63" t="n">
        <f aca="false">L38*Ratio!L65</f>
        <v>0.203497928733783</v>
      </c>
      <c r="M128" s="63" t="n">
        <f aca="false">M38*Ratio!M65</f>
        <v>0.203530598456977</v>
      </c>
      <c r="N128" s="63" t="n">
        <f aca="false">N38*Ratio!N65</f>
        <v>0.202689552906607</v>
      </c>
      <c r="O128" s="63" t="n">
        <f aca="false">O38*Ratio!O65</f>
        <v>0.197807305757034</v>
      </c>
      <c r="P128" s="68" t="n">
        <f aca="false">P38*Ratio!P65</f>
        <v>0.220371937173229</v>
      </c>
      <c r="Q128" s="67" t="n">
        <f aca="false">Q38*Ratio!Q65</f>
        <v>0.19558371064473</v>
      </c>
      <c r="R128" s="63" t="n">
        <f aca="false">R38*Ratio!R65</f>
        <v>0.181141599809862</v>
      </c>
      <c r="S128" s="63" t="n">
        <f aca="false">S38*Ratio!S65</f>
        <v>0.201879291255203</v>
      </c>
      <c r="T128" s="63" t="n">
        <f aca="false">T38*Ratio!T65</f>
        <v>0.194849895066243</v>
      </c>
      <c r="U128" s="63" t="n">
        <f aca="false">U38*Ratio!U65</f>
        <v>0.234954631782754</v>
      </c>
      <c r="V128" s="63" t="n">
        <f aca="false">V38*Ratio!V65</f>
        <v>0.231505420754286</v>
      </c>
      <c r="W128" s="63" t="n">
        <f aca="false">W38*Ratio!W65</f>
        <v>0.214132709470496</v>
      </c>
      <c r="X128" s="68" t="n">
        <f aca="false">X38*Ratio!X65</f>
        <v>0.23939109849267</v>
      </c>
      <c r="Y128" s="67" t="n">
        <f aca="false">Y38*Ratio!Y65</f>
        <v>0.257173247917985</v>
      </c>
      <c r="Z128" s="63" t="n">
        <f aca="false">Z38*Ratio!Z65</f>
        <v>0.224970037636319</v>
      </c>
      <c r="AA128" s="63" t="n">
        <f aca="false">AA38*Ratio!AA65</f>
        <v>0.238303297291759</v>
      </c>
      <c r="AB128" s="63" t="n">
        <f aca="false">AB38*Ratio!AB65</f>
        <v>0.187493342702925</v>
      </c>
      <c r="AC128" s="68" t="n">
        <f aca="false">AC38*Ratio!AC65</f>
        <v>0.178494448772598</v>
      </c>
      <c r="AD128" s="67" t="n">
        <f aca="false">AD38*Ratio!AD65</f>
        <v>0.171577470996595</v>
      </c>
      <c r="AE128" s="63" t="n">
        <f aca="false">AE38*Ratio!AE65</f>
        <v>0.158962353353611</v>
      </c>
      <c r="AF128" s="63" t="n">
        <f aca="false">AF38*Ratio!AF65</f>
        <v>0.160513690059846</v>
      </c>
      <c r="AG128" s="63" t="n">
        <f aca="false">AG38*Ratio!AG65</f>
        <v>0.146574073058809</v>
      </c>
      <c r="AH128" s="63" t="n">
        <f aca="false">AH38*Ratio!AH65</f>
        <v>0.121500024005532</v>
      </c>
      <c r="AI128" s="68" t="n">
        <f aca="false">AI38*Ratio!AI65</f>
        <v>0.172452628737874</v>
      </c>
      <c r="AJ128" s="67" t="n">
        <f aca="false">AJ38*Ratio!AJ65</f>
        <v>0.151707564626545</v>
      </c>
      <c r="AK128" s="63" t="n">
        <f aca="false">AK38*Ratio!AK65</f>
        <v>0.146913586461123</v>
      </c>
      <c r="AL128" s="63" t="n">
        <f aca="false">AL38*Ratio!AL65</f>
        <v>0.136310004224084</v>
      </c>
      <c r="AM128" s="63" t="n">
        <f aca="false">AM38*Ratio!AM65</f>
        <v>0.12008808986248</v>
      </c>
      <c r="AN128" s="68" t="n">
        <f aca="false">AN38*Ratio!AN65</f>
        <v>0.127157484315589</v>
      </c>
      <c r="AO128" s="67" t="n">
        <f aca="false">AO38*Ratio!AO65</f>
        <v>0.117067339295369</v>
      </c>
      <c r="AP128" s="63" t="n">
        <f aca="false">AP38*Ratio!AP65</f>
        <v>0.118948171923735</v>
      </c>
      <c r="AQ128" s="63" t="n">
        <f aca="false">AQ38*Ratio!AQ65</f>
        <v>0.114885223513408</v>
      </c>
    </row>
    <row r="129" customFormat="false" ht="12.8" hidden="false" customHeight="false" outlineLevel="0" collapsed="false">
      <c r="A129" s="139" t="s">
        <v>30</v>
      </c>
      <c r="B129" s="65" t="n">
        <f aca="false">B39*Ratio!B66</f>
        <v>0.301228702809445</v>
      </c>
      <c r="C129" s="65" t="n">
        <f aca="false">C39*Ratio!C66</f>
        <v>0.277405275015913</v>
      </c>
      <c r="D129" s="63" t="n">
        <f aca="false">D39*Ratio!D66</f>
        <v>0.277072999061604</v>
      </c>
      <c r="E129" s="63" t="n">
        <f aca="false">E39*Ratio!E66</f>
        <v>0.248505896942048</v>
      </c>
      <c r="F129" s="63" t="n">
        <f aca="false">F39*Ratio!F66</f>
        <v>0.240243992596975</v>
      </c>
      <c r="G129" s="63" t="n">
        <f aca="false">G39*Ratio!G66</f>
        <v>0.253835092523451</v>
      </c>
      <c r="H129" s="63" t="n">
        <f aca="false">H39*Ratio!H66</f>
        <v>0.271389249560645</v>
      </c>
      <c r="I129" s="68" t="n">
        <f aca="false">I39*Ratio!I66</f>
        <v>0.264442478714919</v>
      </c>
      <c r="J129" s="67" t="n">
        <f aca="false">J39*Ratio!J66</f>
        <v>0.242703791991835</v>
      </c>
      <c r="K129" s="65" t="n">
        <f aca="false">K39*Ratio!K66</f>
        <v>0.242144322606728</v>
      </c>
      <c r="L129" s="63" t="n">
        <f aca="false">L39*Ratio!L66</f>
        <v>0.238093480675703</v>
      </c>
      <c r="M129" s="63" t="n">
        <f aca="false">M39*Ratio!M66</f>
        <v>0.237763020735985</v>
      </c>
      <c r="N129" s="63" t="n">
        <f aca="false">N39*Ratio!N66</f>
        <v>0.237174665785084</v>
      </c>
      <c r="O129" s="63" t="n">
        <f aca="false">O39*Ratio!O66</f>
        <v>0.238220707655869</v>
      </c>
      <c r="P129" s="68" t="n">
        <f aca="false">P39*Ratio!P66</f>
        <v>0.26904590477133</v>
      </c>
      <c r="Q129" s="67" t="n">
        <f aca="false">Q39*Ratio!Q66</f>
        <v>0.273955509646807</v>
      </c>
      <c r="R129" s="63" t="n">
        <f aca="false">R39*Ratio!R66</f>
        <v>0.265585647183463</v>
      </c>
      <c r="S129" s="63" t="n">
        <f aca="false">S39*Ratio!S66</f>
        <v>0.279662702076955</v>
      </c>
      <c r="T129" s="63" t="n">
        <f aca="false">T39*Ratio!T66</f>
        <v>0.265385402939489</v>
      </c>
      <c r="U129" s="63" t="n">
        <f aca="false">U39*Ratio!U66</f>
        <v>0.314163949736947</v>
      </c>
      <c r="V129" s="63" t="n">
        <f aca="false">V39*Ratio!V66</f>
        <v>0.293519676043536</v>
      </c>
      <c r="W129" s="63" t="n">
        <f aca="false">W39*Ratio!W66</f>
        <v>0.276091725060304</v>
      </c>
      <c r="X129" s="68" t="n">
        <f aca="false">X39*Ratio!X66</f>
        <v>0.316726632514231</v>
      </c>
      <c r="Y129" s="67" t="n">
        <f aca="false">Y39*Ratio!Y66</f>
        <v>0.30409215381592</v>
      </c>
      <c r="Z129" s="63" t="n">
        <f aca="false">Z39*Ratio!Z66</f>
        <v>0.284928644517438</v>
      </c>
      <c r="AA129" s="63" t="n">
        <f aca="false">AA39*Ratio!AA66</f>
        <v>0.298612016128803</v>
      </c>
      <c r="AB129" s="63" t="n">
        <f aca="false">AB39*Ratio!AB66</f>
        <v>0.256025768452854</v>
      </c>
      <c r="AC129" s="68" t="n">
        <f aca="false">AC39*Ratio!AC66</f>
        <v>0.265239438638679</v>
      </c>
      <c r="AD129" s="67" t="n">
        <f aca="false">AD39*Ratio!AD66</f>
        <v>0.246714706845135</v>
      </c>
      <c r="AE129" s="63" t="n">
        <f aca="false">AE39*Ratio!AE66</f>
        <v>0.238032646846517</v>
      </c>
      <c r="AF129" s="63" t="n">
        <f aca="false">AF39*Ratio!AF66</f>
        <v>0.25248973972235</v>
      </c>
      <c r="AG129" s="63" t="n">
        <f aca="false">AG39*Ratio!AG66</f>
        <v>0.222390963966833</v>
      </c>
      <c r="AH129" s="63" t="n">
        <f aca="false">AH39*Ratio!AH66</f>
        <v>0.188282529682085</v>
      </c>
      <c r="AI129" s="68" t="n">
        <f aca="false">AI39*Ratio!AI66</f>
        <v>0.280929798858658</v>
      </c>
      <c r="AJ129" s="67" t="n">
        <f aca="false">AJ39*Ratio!AJ66</f>
        <v>0.257208171853537</v>
      </c>
      <c r="AK129" s="63" t="n">
        <f aca="false">AK39*Ratio!AK66</f>
        <v>0.253977142905266</v>
      </c>
      <c r="AL129" s="63" t="n">
        <f aca="false">AL38*Ratio!AL65</f>
        <v>0.136310004224084</v>
      </c>
      <c r="AM129" s="63" t="n">
        <f aca="false">AM39*Ratio!AM66</f>
        <v>0.192346297956087</v>
      </c>
      <c r="AN129" s="68" t="n">
        <f aca="false">AN38*Ratio!AN65</f>
        <v>0.127157484315589</v>
      </c>
      <c r="AO129" s="67" t="n">
        <f aca="false">AO38*Ratio!AO65</f>
        <v>0.117067339295369</v>
      </c>
      <c r="AP129" s="63" t="n">
        <f aca="false">AP38*Ratio!AP65</f>
        <v>0.118948171923735</v>
      </c>
      <c r="AQ129" s="63" t="n">
        <f aca="false">AQ38*Ratio!AQ65</f>
        <v>0.114885223513408</v>
      </c>
    </row>
    <row r="130" customFormat="false" ht="12.8" hidden="false" customHeight="false" outlineLevel="0" collapsed="false">
      <c r="A130" s="139" t="s">
        <v>182</v>
      </c>
      <c r="B130" s="65" t="n">
        <f aca="false">B40*Ratio!B67</f>
        <v>0.103680124849572</v>
      </c>
      <c r="C130" s="65" t="n">
        <f aca="false">C40*Ratio!C67</f>
        <v>0.0988620399912832</v>
      </c>
      <c r="D130" s="63" t="n">
        <f aca="false">D40*Ratio!D67</f>
        <v>0.0974680876465514</v>
      </c>
      <c r="E130" s="63" t="n">
        <f aca="false">E40*Ratio!E67</f>
        <v>0.0882105473143895</v>
      </c>
      <c r="F130" s="63" t="n">
        <f aca="false">F40*Ratio!F67</f>
        <v>0.0916545560696444</v>
      </c>
      <c r="G130" s="63" t="n">
        <f aca="false">G40*Ratio!G67</f>
        <v>0.0966781444290874</v>
      </c>
      <c r="H130" s="63" t="n">
        <f aca="false">H40*Ratio!H67</f>
        <v>0.0922879322354239</v>
      </c>
      <c r="I130" s="68" t="n">
        <f aca="false">I40*Ratio!I67</f>
        <v>0.0884089650205751</v>
      </c>
      <c r="J130" s="67" t="n">
        <f aca="false">J40*Ratio!J67</f>
        <v>0.0901531174682399</v>
      </c>
      <c r="K130" s="65" t="n">
        <f aca="false">K40*Ratio!K67</f>
        <v>0.087737067484395</v>
      </c>
      <c r="L130" s="63" t="n">
        <f aca="false">L40*Ratio!L67</f>
        <v>0.0868273694376432</v>
      </c>
      <c r="M130" s="63" t="n">
        <f aca="false">M40*Ratio!M67</f>
        <v>0.087070089498045</v>
      </c>
      <c r="N130" s="63" t="n">
        <f aca="false">N40*Ratio!N67</f>
        <v>0.0869518886688355</v>
      </c>
      <c r="O130" s="63" t="n">
        <f aca="false">O40*Ratio!O67</f>
        <v>0.0864951109336608</v>
      </c>
      <c r="P130" s="68" t="n">
        <f aca="false">P40*Ratio!P67</f>
        <v>0.104046225698217</v>
      </c>
      <c r="Q130" s="67" t="n">
        <f aca="false">Q40*Ratio!Q67</f>
        <v>0.107471495646689</v>
      </c>
      <c r="R130" s="63" t="n">
        <f aca="false">R40*Ratio!R67</f>
        <v>0.109321340949684</v>
      </c>
      <c r="S130" s="63" t="n">
        <f aca="false">S40*Ratio!S67</f>
        <v>0.108580350893419</v>
      </c>
      <c r="T130" s="63" t="n">
        <f aca="false">T40*Ratio!T67</f>
        <v>0.128686051974183</v>
      </c>
      <c r="U130" s="63" t="n">
        <f aca="false">U40*Ratio!U67</f>
        <v>0.176908758308634</v>
      </c>
      <c r="V130" s="63" t="n">
        <f aca="false">V40*Ratio!V67</f>
        <v>0.165109988847773</v>
      </c>
      <c r="W130" s="63" t="n">
        <f aca="false">W40*Ratio!W67</f>
        <v>0.165313805069768</v>
      </c>
      <c r="X130" s="68" t="n">
        <f aca="false">X40*Ratio!X67</f>
        <v>0.171613249845052</v>
      </c>
      <c r="Y130" s="67" t="n">
        <f aca="false">Y40*Ratio!Y67</f>
        <v>0.143125048782004</v>
      </c>
      <c r="Z130" s="63" t="n">
        <f aca="false">Z40*Ratio!Z67</f>
        <v>0.144471069069344</v>
      </c>
      <c r="AA130" s="63" t="n">
        <f aca="false">AA40*Ratio!AA67</f>
        <v>0.137973268399841</v>
      </c>
      <c r="AB130" s="63" t="n">
        <f aca="false">AB40*Ratio!AB67</f>
        <v>0.118425871061395</v>
      </c>
      <c r="AC130" s="68" t="n">
        <f aca="false">AC40*Ratio!AC67</f>
        <v>0.143014800684411</v>
      </c>
      <c r="AD130" s="67" t="n">
        <f aca="false">AD40*Ratio!AD67</f>
        <v>0.129087408114033</v>
      </c>
      <c r="AE130" s="63" t="n">
        <f aca="false">AE40*Ratio!AE67</f>
        <v>0.126527365860721</v>
      </c>
      <c r="AF130" s="63" t="n">
        <f aca="false">AF40*Ratio!AF67</f>
        <v>0.130708771019142</v>
      </c>
      <c r="AG130" s="63" t="n">
        <f aca="false">AG40*Ratio!AG67</f>
        <v>0.143539786222551</v>
      </c>
      <c r="AH130" s="63" t="n">
        <f aca="false">AH40*Ratio!AH67</f>
        <v>0.127867422286529</v>
      </c>
      <c r="AI130" s="68" t="n">
        <f aca="false">AI40*Ratio!AI67</f>
        <v>0.148500017558461</v>
      </c>
      <c r="AJ130" s="67" t="n">
        <f aca="false">AJ40*Ratio!AJ67</f>
        <v>0.154446770958785</v>
      </c>
      <c r="AK130" s="63" t="n">
        <f aca="false">AK40*Ratio!AK67</f>
        <v>0.148794495945944</v>
      </c>
      <c r="AL130" s="63" t="n">
        <f aca="false">AL39*Ratio!AL66</f>
        <v>0.23376964091226</v>
      </c>
      <c r="AM130" s="63" t="n">
        <f aca="false">AM40*Ratio!AM67</f>
        <v>0.139234539015084</v>
      </c>
      <c r="AN130" s="68" t="n">
        <f aca="false">AN39*Ratio!AN66</f>
        <v>0.214732351110264</v>
      </c>
      <c r="AO130" s="67" t="n">
        <f aca="false">AO39*Ratio!AO66</f>
        <v>0.218450040815967</v>
      </c>
      <c r="AP130" s="63" t="n">
        <f aca="false">AP39*Ratio!AP66</f>
        <v>0.211122572294864</v>
      </c>
      <c r="AQ130" s="63" t="n">
        <f aca="false">AQ39*Ratio!AQ66</f>
        <v>0.204118986208601</v>
      </c>
    </row>
    <row r="131" customFormat="false" ht="12.8" hidden="false" customHeight="false" outlineLevel="0" collapsed="false">
      <c r="A131" s="139" t="s">
        <v>183</v>
      </c>
      <c r="B131" s="65" t="n">
        <f aca="false">B41*Ratio!B68</f>
        <v>0.143818745497567</v>
      </c>
      <c r="C131" s="65" t="n">
        <f aca="false">C41*Ratio!C68</f>
        <v>0.147032151625837</v>
      </c>
      <c r="D131" s="63" t="n">
        <f aca="false">D41*Ratio!D68</f>
        <v>0.145172165862498</v>
      </c>
      <c r="E131" s="63" t="n">
        <f aca="false">E41*Ratio!E68</f>
        <v>0.144511591225661</v>
      </c>
      <c r="F131" s="63" t="n">
        <f aca="false">F41*Ratio!F68</f>
        <v>0.146303775829637</v>
      </c>
      <c r="G131" s="63" t="n">
        <f aca="false">G41*Ratio!G68</f>
        <v>0.138617780194816</v>
      </c>
      <c r="H131" s="63" t="n">
        <f aca="false">H41*Ratio!H68</f>
        <v>0.133469581376726</v>
      </c>
      <c r="I131" s="68" t="n">
        <f aca="false">I41*Ratio!I68</f>
        <v>0.132098128030075</v>
      </c>
      <c r="J131" s="67" t="n">
        <f aca="false">J41*Ratio!J68</f>
        <v>0.141656494130582</v>
      </c>
      <c r="K131" s="65" t="n">
        <f aca="false">K41*Ratio!K68</f>
        <v>0.14644618144391</v>
      </c>
      <c r="L131" s="63" t="n">
        <f aca="false">L41*Ratio!L68</f>
        <v>0.140521311570531</v>
      </c>
      <c r="M131" s="63" t="n">
        <f aca="false">M41*Ratio!M68</f>
        <v>0.140783273082538</v>
      </c>
      <c r="N131" s="63" t="n">
        <f aca="false">N41*Ratio!N68</f>
        <v>0.142030491950474</v>
      </c>
      <c r="O131" s="63" t="n">
        <f aca="false">O41*Ratio!O68</f>
        <v>0.148404829663499</v>
      </c>
      <c r="P131" s="68" t="n">
        <f aca="false">P41*Ratio!P68</f>
        <v>0.18328477593982</v>
      </c>
      <c r="Q131" s="67" t="n">
        <f aca="false">Q41*Ratio!Q68</f>
        <v>0.187379643314425</v>
      </c>
      <c r="R131" s="63" t="n">
        <f aca="false">R41*Ratio!R68</f>
        <v>0.186109267985983</v>
      </c>
      <c r="S131" s="63" t="n">
        <f aca="false">S41*Ratio!S68</f>
        <v>0.187856812093125</v>
      </c>
      <c r="T131" s="63" t="n">
        <f aca="false">T41*Ratio!T68</f>
        <v>0.232308172479719</v>
      </c>
      <c r="U131" s="63" t="n">
        <f aca="false">U41*Ratio!U68</f>
        <v>0.265878427548829</v>
      </c>
      <c r="V131" s="63" t="n">
        <f aca="false">V41*Ratio!V68</f>
        <v>0.249201241217073</v>
      </c>
      <c r="W131" s="63" t="n">
        <f aca="false">W41*Ratio!W68</f>
        <v>0.256259235621403</v>
      </c>
      <c r="X131" s="68" t="n">
        <f aca="false">X41*Ratio!X68</f>
        <v>0.266680438416827</v>
      </c>
      <c r="Y131" s="67" t="n">
        <f aca="false">Y41*Ratio!Y68</f>
        <v>0.250223758729454</v>
      </c>
      <c r="Z131" s="63" t="n">
        <f aca="false">Z41*Ratio!Z68</f>
        <v>0.255491710215102</v>
      </c>
      <c r="AA131" s="63" t="n">
        <f aca="false">AA41*Ratio!AA68</f>
        <v>0.242936509655384</v>
      </c>
      <c r="AB131" s="63" t="n">
        <f aca="false">AB41*Ratio!AB68</f>
        <v>0.230632639910734</v>
      </c>
      <c r="AC131" s="68" t="n">
        <f aca="false">AC41*Ratio!AC68</f>
        <v>0.185438549314519</v>
      </c>
      <c r="AD131" s="67" t="n">
        <f aca="false">AD41*Ratio!AD68</f>
        <v>0.178189302538467</v>
      </c>
      <c r="AE131" s="63" t="n">
        <f aca="false">AE41*Ratio!AE68</f>
        <v>0.166864302692563</v>
      </c>
      <c r="AF131" s="63" t="n">
        <f aca="false">AF41*Ratio!AF68</f>
        <v>0.159564727462664</v>
      </c>
      <c r="AG131" s="63" t="n">
        <f aca="false">AG41*Ratio!AG68</f>
        <v>0.161637051657962</v>
      </c>
      <c r="AH131" s="63" t="n">
        <f aca="false">AH41*Ratio!AH68</f>
        <v>0.146325745764226</v>
      </c>
      <c r="AI131" s="68" t="n">
        <f aca="false">AI41*Ratio!AI68</f>
        <v>0.183866909323922</v>
      </c>
      <c r="AJ131" s="67" t="n">
        <f aca="false">AJ41*Ratio!AJ68</f>
        <v>0.200903792518801</v>
      </c>
      <c r="AK131" s="63" t="n">
        <f aca="false">AK41*Ratio!AK68</f>
        <v>0.181734670417489</v>
      </c>
      <c r="AL131" s="63" t="n">
        <f aca="false">AL40*Ratio!AL67</f>
        <v>0.153447138957479</v>
      </c>
      <c r="AM131" s="63" t="n">
        <f aca="false">AM41*Ratio!AM68</f>
        <v>0.167428415717091</v>
      </c>
      <c r="AN131" s="68" t="n">
        <f aca="false">AN40*Ratio!AN67</f>
        <v>0.152235829468776</v>
      </c>
      <c r="AO131" s="67" t="n">
        <f aca="false">AO40*Ratio!AO67</f>
        <v>0.157109584860558</v>
      </c>
      <c r="AP131" s="63" t="n">
        <f aca="false">AP40*Ratio!AP67</f>
        <v>0.15426731574604</v>
      </c>
      <c r="AQ131" s="63" t="n">
        <f aca="false">AQ40*Ratio!AQ67</f>
        <v>0.154796523162786</v>
      </c>
    </row>
    <row r="132" customFormat="false" ht="12.8" hidden="false" customHeight="false" outlineLevel="0" collapsed="false">
      <c r="A132" s="139" t="s">
        <v>27</v>
      </c>
      <c r="B132" s="65" t="n">
        <f aca="false">B42*Ratio!B69</f>
        <v>0.0235859325549554</v>
      </c>
      <c r="C132" s="65" t="n">
        <f aca="false">C42*Ratio!C69</f>
        <v>0.02356121464228</v>
      </c>
      <c r="D132" s="63" t="n">
        <f aca="false">D42*Ratio!D69</f>
        <v>0.0232631606226861</v>
      </c>
      <c r="E132" s="63" t="n">
        <f aca="false">E42*Ratio!E69</f>
        <v>0.0208977613030329</v>
      </c>
      <c r="F132" s="63" t="n">
        <f aca="false">F42*Ratio!F69</f>
        <v>0.0193822645043039</v>
      </c>
      <c r="G132" s="63" t="n">
        <f aca="false">G42*Ratio!G69</f>
        <v>0.0206548166408337</v>
      </c>
      <c r="H132" s="63" t="n">
        <f aca="false">H42*Ratio!H69</f>
        <v>0.0198877065163695</v>
      </c>
      <c r="I132" s="68" t="n">
        <f aca="false">I42*Ratio!I69</f>
        <v>0.0192032859038705</v>
      </c>
      <c r="J132" s="67" t="n">
        <f aca="false">J42*Ratio!J69</f>
        <v>0.0210504041371444</v>
      </c>
      <c r="K132" s="65" t="n">
        <f aca="false">K42*Ratio!K69</f>
        <v>0.0278347955557778</v>
      </c>
      <c r="L132" s="63" t="n">
        <f aca="false">L42*Ratio!L69</f>
        <v>0.0267086648503265</v>
      </c>
      <c r="M132" s="63" t="n">
        <f aca="false">M42*Ratio!M69</f>
        <v>0.0268798543831194</v>
      </c>
      <c r="N132" s="63" t="n">
        <f aca="false">N42*Ratio!N69</f>
        <v>0.0247360062837988</v>
      </c>
      <c r="O132" s="63" t="n">
        <f aca="false">O42*Ratio!O69</f>
        <v>0.0151761554760728</v>
      </c>
      <c r="P132" s="68" t="n">
        <f aca="false">P42*Ratio!P69</f>
        <v>0.0175447018334825</v>
      </c>
      <c r="Q132" s="67" t="n">
        <f aca="false">Q42*Ratio!Q69</f>
        <v>0.0192890829966006</v>
      </c>
      <c r="R132" s="63" t="n">
        <f aca="false">R42*Ratio!R69</f>
        <v>0.01839651690554</v>
      </c>
      <c r="S132" s="63" t="n">
        <f aca="false">S42*Ratio!S69</f>
        <v>0.0206108399636953</v>
      </c>
      <c r="T132" s="63" t="n">
        <f aca="false">T42*Ratio!T69</f>
        <v>0.0184727964647689</v>
      </c>
      <c r="U132" s="63" t="n">
        <f aca="false">U42*Ratio!U69</f>
        <v>0.0256611110154041</v>
      </c>
      <c r="V132" s="63" t="n">
        <f aca="false">V42*Ratio!V69</f>
        <v>0.0248029109645928</v>
      </c>
      <c r="W132" s="63" t="n">
        <f aca="false">W42*Ratio!W69</f>
        <v>0.0255053906390287</v>
      </c>
      <c r="X132" s="68" t="n">
        <f aca="false">X42*Ratio!X69</f>
        <v>0.0265426092492431</v>
      </c>
      <c r="Y132" s="67" t="n">
        <f aca="false">Y42*Ratio!Y69</f>
        <v>0.0278551535858709</v>
      </c>
      <c r="Z132" s="63" t="n">
        <f aca="false">Z42*Ratio!Z69</f>
        <v>0.0222796853683589</v>
      </c>
      <c r="AA132" s="63" t="n">
        <f aca="false">AA42*Ratio!AA69</f>
        <v>0.0295112395156149</v>
      </c>
      <c r="AB132" s="63" t="n">
        <f aca="false">AB42*Ratio!AB69</f>
        <v>0.0294103524967783</v>
      </c>
      <c r="AC132" s="68" t="n">
        <f aca="false">AC42*Ratio!AC69</f>
        <v>0.0298620360711086</v>
      </c>
      <c r="AD132" s="67" t="n">
        <f aca="false">AD42*Ratio!AD69</f>
        <v>0.0319975695076211</v>
      </c>
      <c r="AE132" s="63" t="n">
        <f aca="false">AE42*Ratio!AE69</f>
        <v>0.0329333928308652</v>
      </c>
      <c r="AF132" s="63" t="n">
        <f aca="false">AF42*Ratio!AF69</f>
        <v>0.027622331525589</v>
      </c>
      <c r="AG132" s="63" t="n">
        <f aca="false">AG42*Ratio!AG69</f>
        <v>0.0299038600151515</v>
      </c>
      <c r="AH132" s="63" t="n">
        <f aca="false">AH42*Ratio!AH69</f>
        <v>0.0270731037675915</v>
      </c>
      <c r="AI132" s="68" t="n">
        <f aca="false">AI42*Ratio!AI69</f>
        <v>0.0489879409294369</v>
      </c>
      <c r="AJ132" s="67" t="n">
        <f aca="false">AJ42*Ratio!AJ69</f>
        <v>0.0548532915684289</v>
      </c>
      <c r="AK132" s="63" t="n">
        <f aca="false">AK42*Ratio!AK69</f>
        <v>0.0538693130463319</v>
      </c>
      <c r="AL132" s="63" t="n">
        <f aca="false">AL41*Ratio!AL68</f>
        <v>0.170236839220879</v>
      </c>
      <c r="AM132" s="63" t="n">
        <f aca="false">AM42*Ratio!AM69</f>
        <v>0.045727995940101</v>
      </c>
      <c r="AN132" s="68" t="n">
        <f aca="false">AN41*Ratio!AN68</f>
        <v>0.147846466917509</v>
      </c>
      <c r="AO132" s="67" t="n">
        <f aca="false">AO41*Ratio!AO68</f>
        <v>0.138182055232562</v>
      </c>
      <c r="AP132" s="63" t="n">
        <f aca="false">AP41*Ratio!AP68</f>
        <v>0.143399200820302</v>
      </c>
      <c r="AQ132" s="63" t="n">
        <f aca="false">AQ41*Ratio!AQ68</f>
        <v>0.141154730428149</v>
      </c>
    </row>
    <row r="133" customFormat="false" ht="12.8" hidden="false" customHeight="false" outlineLevel="0" collapsed="false">
      <c r="A133" s="139" t="s">
        <v>31</v>
      </c>
      <c r="B133" s="65" t="n">
        <f aca="false">B43*Ratio!B70</f>
        <v>0.0194678210396213</v>
      </c>
      <c r="C133" s="65" t="n">
        <f aca="false">C43*Ratio!C70</f>
        <v>0.0176483259652682</v>
      </c>
      <c r="D133" s="63" t="n">
        <f aca="false">D43*Ratio!D70</f>
        <v>0.0173951362169567</v>
      </c>
      <c r="E133" s="63" t="n">
        <f aca="false">E43*Ratio!E70</f>
        <v>0.0162975481994188</v>
      </c>
      <c r="F133" s="63" t="n">
        <f aca="false">F43*Ratio!F70</f>
        <v>0.0145202227345026</v>
      </c>
      <c r="G133" s="63" t="n">
        <f aca="false">G43*Ratio!G70</f>
        <v>0.01669485318941</v>
      </c>
      <c r="H133" s="63" t="n">
        <f aca="false">H43*Ratio!H70</f>
        <v>0.01495492810613</v>
      </c>
      <c r="I133" s="68" t="n">
        <f aca="false">I43*Ratio!I70</f>
        <v>0.0142949812803679</v>
      </c>
      <c r="J133" s="67" t="n">
        <f aca="false">J43*Ratio!J70</f>
        <v>0.0160305716084609</v>
      </c>
      <c r="K133" s="65" t="n">
        <f aca="false">K43*Ratio!K70</f>
        <v>0.0186479374342081</v>
      </c>
      <c r="L133" s="63" t="n">
        <f aca="false">L43*Ratio!L70</f>
        <v>0.0189838139383734</v>
      </c>
      <c r="M133" s="63" t="n">
        <f aca="false">M43*Ratio!M70</f>
        <v>0.0189950311386403</v>
      </c>
      <c r="N133" s="63" t="n">
        <f aca="false">N43*Ratio!N70</f>
        <v>0.0174799834872705</v>
      </c>
      <c r="O133" s="63" t="n">
        <f aca="false">O43*Ratio!O70</f>
        <v>0.0109983621647383</v>
      </c>
      <c r="P133" s="68" t="n">
        <f aca="false">P43*Ratio!P70</f>
        <v>0.0127652751193871</v>
      </c>
      <c r="Q133" s="67" t="n">
        <f aca="false">Q43*Ratio!Q70</f>
        <v>0.0147184498211482</v>
      </c>
      <c r="R133" s="63" t="n">
        <f aca="false">R43*Ratio!R70</f>
        <v>0.0168578213597801</v>
      </c>
      <c r="S133" s="63" t="n">
        <f aca="false">S43*Ratio!S70</f>
        <v>0.0165264089683205</v>
      </c>
      <c r="T133" s="63" t="n">
        <f aca="false">T43*Ratio!T70</f>
        <v>0.0138510565993245</v>
      </c>
      <c r="U133" s="63" t="n">
        <f aca="false">U43*Ratio!U70</f>
        <v>0.0154266285562231</v>
      </c>
      <c r="V133" s="63" t="n">
        <f aca="false">V43*Ratio!V70</f>
        <v>0.0144704527554694</v>
      </c>
      <c r="W133" s="63" t="n">
        <f aca="false">W43*Ratio!W70</f>
        <v>0.0150093608302908</v>
      </c>
      <c r="X133" s="68" t="n">
        <f aca="false">X43*Ratio!X70</f>
        <v>0.0156153091152894</v>
      </c>
      <c r="Y133" s="67" t="n">
        <f aca="false">Y43*Ratio!Y70</f>
        <v>0.016846636136305</v>
      </c>
      <c r="Z133" s="63" t="n">
        <f aca="false">Z43*Ratio!Z70</f>
        <v>0.0167366428994396</v>
      </c>
      <c r="AA133" s="63" t="n">
        <f aca="false">AA43*Ratio!AA70</f>
        <v>0.0168976213609035</v>
      </c>
      <c r="AB133" s="63" t="n">
        <f aca="false">AB43*Ratio!AB70</f>
        <v>0.015744178053089</v>
      </c>
      <c r="AC133" s="68" t="n">
        <f aca="false">AC43*Ratio!AC70</f>
        <v>0.0127191183783256</v>
      </c>
      <c r="AD133" s="67" t="n">
        <f aca="false">AD43*Ratio!AD70</f>
        <v>0.0141605069261461</v>
      </c>
      <c r="AE133" s="63" t="n">
        <f aca="false">AE43*Ratio!AE70</f>
        <v>0.014119174342271</v>
      </c>
      <c r="AF133" s="63" t="n">
        <f aca="false">AF43*Ratio!AF70</f>
        <v>0.0123187741662406</v>
      </c>
      <c r="AG133" s="63" t="n">
        <f aca="false">AG43*Ratio!AG70</f>
        <v>0.0124736755662567</v>
      </c>
      <c r="AH133" s="63" t="n">
        <f aca="false">AH43*Ratio!AH70</f>
        <v>0.0112606523189286</v>
      </c>
      <c r="AI133" s="68" t="n">
        <f aca="false">AI43*Ratio!AI70</f>
        <v>0.0202424038820631</v>
      </c>
      <c r="AJ133" s="67" t="n">
        <f aca="false">AJ43*Ratio!AJ70</f>
        <v>0.0210755850480013</v>
      </c>
      <c r="AK133" s="63" t="n">
        <f aca="false">AK43*Ratio!AK70</f>
        <v>0.0200631502082272</v>
      </c>
      <c r="AL133" s="63" t="n">
        <f aca="false">AL42*Ratio!AL69</f>
        <v>0.0475455521242598</v>
      </c>
      <c r="AM133" s="63" t="n">
        <f aca="false">AM43*Ratio!AM70</f>
        <v>0.0170723297925334</v>
      </c>
      <c r="AN133" s="68" t="n">
        <f aca="false">AN42*Ratio!AN69</f>
        <v>0.0409862921606492</v>
      </c>
      <c r="AO133" s="67" t="n">
        <f aca="false">AO42*Ratio!AO69</f>
        <v>0.037174065429099</v>
      </c>
      <c r="AP133" s="63" t="n">
        <f aca="false">AP42*Ratio!AP69</f>
        <v>0.0460005372288408</v>
      </c>
      <c r="AQ133" s="63" t="n">
        <f aca="false">AQ42*Ratio!AQ69</f>
        <v>0.0402764651021012</v>
      </c>
    </row>
    <row r="134" customFormat="false" ht="12.8" hidden="false" customHeight="false" outlineLevel="0" collapsed="false">
      <c r="A134" s="139" t="s">
        <v>184</v>
      </c>
      <c r="B134" s="65" t="n">
        <f aca="false">B44*Ratio!B71</f>
        <v>0.0113346222317776</v>
      </c>
      <c r="C134" s="65" t="n">
        <f aca="false">C44*Ratio!C71</f>
        <v>0.0102628514538352</v>
      </c>
      <c r="D134" s="63" t="n">
        <f aca="false">D44*Ratio!D71</f>
        <v>0.010390183331477</v>
      </c>
      <c r="E134" s="63" t="n">
        <f aca="false">E44*Ratio!E71</f>
        <v>0.0104130445181384</v>
      </c>
      <c r="F134" s="63" t="n">
        <f aca="false">F44*Ratio!F71</f>
        <v>0.00983548538484</v>
      </c>
      <c r="G134" s="63" t="n">
        <f aca="false">G44*Ratio!G71</f>
        <v>0.0119499457908982</v>
      </c>
      <c r="H134" s="63" t="n">
        <f aca="false">H44*Ratio!H71</f>
        <v>0.0104007024543974</v>
      </c>
      <c r="I134" s="68" t="n">
        <f aca="false">I44*Ratio!I71</f>
        <v>0.010663759431447</v>
      </c>
      <c r="J134" s="67" t="n">
        <f aca="false">J44*Ratio!J71</f>
        <v>0.00939613930087424</v>
      </c>
      <c r="K134" s="65" t="n">
        <f aca="false">K44*Ratio!K71</f>
        <v>0.00793339568804783</v>
      </c>
      <c r="L134" s="63" t="n">
        <f aca="false">L44*Ratio!L71</f>
        <v>0.00807296163504065</v>
      </c>
      <c r="M134" s="63" t="n">
        <f aca="false">M44*Ratio!M71</f>
        <v>0.00804124991449299</v>
      </c>
      <c r="N134" s="63" t="n">
        <f aca="false">N44*Ratio!N71</f>
        <v>0.00811407991444524</v>
      </c>
      <c r="O134" s="63" t="n">
        <f aca="false">O44*Ratio!O71</f>
        <v>0.00886157415448502</v>
      </c>
      <c r="P134" s="68" t="n">
        <f aca="false">P44*Ratio!P71</f>
        <v>0.0086204174012867</v>
      </c>
      <c r="Q134" s="67" t="n">
        <f aca="false">Q44*Ratio!Q71</f>
        <v>0.00777693462733906</v>
      </c>
      <c r="R134" s="63" t="n">
        <f aca="false">R44*Ratio!R71</f>
        <v>0.00746962808276216</v>
      </c>
      <c r="S134" s="63" t="n">
        <f aca="false">S44*Ratio!S71</f>
        <v>0.00599050690940352</v>
      </c>
      <c r="T134" s="63" t="n">
        <f aca="false">T44*Ratio!T71</f>
        <v>0.0060753928628267</v>
      </c>
      <c r="U134" s="63" t="n">
        <f aca="false">U44*Ratio!U71</f>
        <v>0.00548923660800981</v>
      </c>
      <c r="V134" s="63" t="n">
        <f aca="false">V44*Ratio!V71</f>
        <v>0.00543330274584027</v>
      </c>
      <c r="W134" s="63" t="n">
        <f aca="false">W44*Ratio!W71</f>
        <v>0.00561662679270774</v>
      </c>
      <c r="X134" s="68" t="n">
        <f aca="false">X44*Ratio!X71</f>
        <v>0.00584337764579203</v>
      </c>
      <c r="Y134" s="67" t="n">
        <f aca="false">Y44*Ratio!Y71</f>
        <v>0.00596144432064872</v>
      </c>
      <c r="Z134" s="63" t="n">
        <f aca="false">Z44*Ratio!Z71</f>
        <v>0.00632304897106819</v>
      </c>
      <c r="AA134" s="63" t="n">
        <f aca="false">AA44*Ratio!AA71</f>
        <v>0.00615038995916729</v>
      </c>
      <c r="AB134" s="63" t="n">
        <f aca="false">AB44*Ratio!AB71</f>
        <v>0.00636276816952427</v>
      </c>
      <c r="AC134" s="68" t="n">
        <f aca="false">AC44*Ratio!AC71</f>
        <v>0.00528228971688794</v>
      </c>
      <c r="AD134" s="67" t="n">
        <f aca="false">AD44*Ratio!AD71</f>
        <v>0.00547615973628142</v>
      </c>
      <c r="AE134" s="63" t="n">
        <f aca="false">AE44*Ratio!AE71</f>
        <v>0.00516656152813579</v>
      </c>
      <c r="AF134" s="63" t="n">
        <f aca="false">AF44*Ratio!AF71</f>
        <v>0.00513956979099849</v>
      </c>
      <c r="AG134" s="63" t="n">
        <f aca="false">AG44*Ratio!AG71</f>
        <v>0.00426501663031614</v>
      </c>
      <c r="AH134" s="63" t="n">
        <f aca="false">AH44*Ratio!AH71</f>
        <v>0.00399518934358254</v>
      </c>
      <c r="AI134" s="68" t="n">
        <f aca="false">AI44*Ratio!AI71</f>
        <v>0.00569601188845979</v>
      </c>
      <c r="AJ134" s="67" t="n">
        <f aca="false">AJ44*Ratio!AJ71</f>
        <v>0.00607163399899106</v>
      </c>
      <c r="AK134" s="63" t="n">
        <f aca="false">AK44*Ratio!AK71</f>
        <v>0.00519602208576836</v>
      </c>
      <c r="AL134" s="63" t="n">
        <f aca="false">AL43*Ratio!AL70</f>
        <v>0.0178510617347412</v>
      </c>
      <c r="AM134" s="63" t="n">
        <f aca="false">AM44*Ratio!AM71</f>
        <v>0.00481999417288772</v>
      </c>
      <c r="AN134" s="68" t="n">
        <f aca="false">AN43*Ratio!AN70</f>
        <v>0.0149546809536246</v>
      </c>
      <c r="AO134" s="67" t="n">
        <f aca="false">AO43*Ratio!AO70</f>
        <v>0.0143572679806364</v>
      </c>
      <c r="AP134" s="63" t="n">
        <f aca="false">AP43*Ratio!AP70</f>
        <v>0.018852563974734</v>
      </c>
      <c r="AQ134" s="63" t="n">
        <f aca="false">AQ43*Ratio!AQ70</f>
        <v>0.0161465101144114</v>
      </c>
    </row>
    <row r="135" customFormat="false" ht="12.8" hidden="false" customHeight="false" outlineLevel="0" collapsed="false">
      <c r="A135" s="139" t="s">
        <v>29</v>
      </c>
      <c r="B135" s="65" t="n">
        <f aca="false">B45*Ratio!B72</f>
        <v>0.0147682508295873</v>
      </c>
      <c r="C135" s="65" t="n">
        <f aca="false">C45*Ratio!C72</f>
        <v>0.0137960695379504</v>
      </c>
      <c r="D135" s="63" t="n">
        <f aca="false">D45*Ratio!D72</f>
        <v>0.0136015452950539</v>
      </c>
      <c r="E135" s="63" t="n">
        <f aca="false">E45*Ratio!E72</f>
        <v>0.0152621590291496</v>
      </c>
      <c r="F135" s="63" t="n">
        <f aca="false">F45*Ratio!F72</f>
        <v>0.00971645710115009</v>
      </c>
      <c r="G135" s="63" t="n">
        <f aca="false">G45*Ratio!G72</f>
        <v>0.0102632325131023</v>
      </c>
      <c r="H135" s="63" t="n">
        <f aca="false">H45*Ratio!H72</f>
        <v>0.00931468295889221</v>
      </c>
      <c r="I135" s="68" t="n">
        <f aca="false">I45*Ratio!I72</f>
        <v>0.00888408126053032</v>
      </c>
      <c r="J135" s="67" t="n">
        <f aca="false">J45*Ratio!J72</f>
        <v>0.00865776734338821</v>
      </c>
      <c r="K135" s="65" t="n">
        <f aca="false">K45*Ratio!K72</f>
        <v>0.00762848975187172</v>
      </c>
      <c r="L135" s="63" t="n">
        <f aca="false">L45*Ratio!L72</f>
        <v>0.00744217872872541</v>
      </c>
      <c r="M135" s="63" t="n">
        <f aca="false">M45*Ratio!M72</f>
        <v>0.00745034345200185</v>
      </c>
      <c r="N135" s="63" t="n">
        <f aca="false">N45*Ratio!N72</f>
        <v>0.0066580535975456</v>
      </c>
      <c r="O135" s="63" t="n">
        <f aca="false">O45*Ratio!O72</f>
        <v>0.00681408219427082</v>
      </c>
      <c r="P135" s="68" t="n">
        <f aca="false">P45*Ratio!P72</f>
        <v>0.00787794836803389</v>
      </c>
      <c r="Q135" s="67" t="n">
        <f aca="false">Q45*Ratio!Q72</f>
        <v>0.00933494911337632</v>
      </c>
      <c r="R135" s="63" t="n">
        <f aca="false">R45*Ratio!R72</f>
        <v>0.0104074249341899</v>
      </c>
      <c r="S135" s="63" t="n">
        <f aca="false">S45*Ratio!S72</f>
        <v>0.0100274959464736</v>
      </c>
      <c r="T135" s="63" t="n">
        <f aca="false">T45*Ratio!T72</f>
        <v>0.00878481974819283</v>
      </c>
      <c r="U135" s="63" t="n">
        <f aca="false">U45*Ratio!U72</f>
        <v>0.00821026239528067</v>
      </c>
      <c r="V135" s="63" t="n">
        <f aca="false">V45*Ratio!V72</f>
        <v>0.0103493207127836</v>
      </c>
      <c r="W135" s="63" t="n">
        <f aca="false">W45*Ratio!W72</f>
        <v>0.010734749738073</v>
      </c>
      <c r="X135" s="68" t="n">
        <f aca="false">X45*Ratio!X72</f>
        <v>0.0100541663739537</v>
      </c>
      <c r="Y135" s="67" t="n">
        <f aca="false">Y45*Ratio!Y72</f>
        <v>0.0127574058890483</v>
      </c>
      <c r="Z135" s="63" t="n">
        <f aca="false">Z45*Ratio!Z72</f>
        <v>0.0146243355383612</v>
      </c>
      <c r="AA135" s="63" t="n">
        <f aca="false">AA45*Ratio!AA72</f>
        <v>0.0137901457704381</v>
      </c>
      <c r="AB135" s="63" t="n">
        <f aca="false">AB45*Ratio!AB72</f>
        <v>0.0164427400247373</v>
      </c>
      <c r="AC135" s="68" t="n">
        <f aca="false">AC45*Ratio!AC72</f>
        <v>0.0171617794160399</v>
      </c>
      <c r="AD135" s="67" t="n">
        <f aca="false">AD45*Ratio!AD72</f>
        <v>0.019493382956684</v>
      </c>
      <c r="AE135" s="63" t="n">
        <f aca="false">AE45*Ratio!AE72</f>
        <v>0.014631858864297</v>
      </c>
      <c r="AF135" s="63" t="n">
        <f aca="false">AF45*Ratio!AF72</f>
        <v>0.0132104731746157</v>
      </c>
      <c r="AG135" s="63" t="n">
        <f aca="false">AG45*Ratio!AG72</f>
        <v>0.0132144347035458</v>
      </c>
      <c r="AH135" s="63" t="n">
        <f aca="false">AH45*Ratio!AH72</f>
        <v>0.0193891561296556</v>
      </c>
      <c r="AI135" s="68" t="n">
        <f aca="false">AI45*Ratio!AI72</f>
        <v>0.0150849392388068</v>
      </c>
      <c r="AJ135" s="67" t="n">
        <f aca="false">AJ45*Ratio!AJ72</f>
        <v>0.0134471713295686</v>
      </c>
      <c r="AK135" s="63" t="n">
        <f aca="false">AK45*Ratio!AK72</f>
        <v>0.0144150972935196</v>
      </c>
      <c r="AL135" s="63" t="n">
        <f aca="false">AL44*Ratio!AL71</f>
        <v>0.00491801914131585</v>
      </c>
      <c r="AM135" s="63" t="n">
        <f aca="false">AM45*Ratio!AM72</f>
        <v>0.0142877604405417</v>
      </c>
      <c r="AN135" s="68" t="n">
        <f aca="false">AN44*Ratio!AN71</f>
        <v>0.00491343943794025</v>
      </c>
      <c r="AO135" s="67" t="n">
        <f aca="false">AO44*Ratio!AO71</f>
        <v>0.00443824211584482</v>
      </c>
      <c r="AP135" s="63" t="n">
        <f aca="false">AP44*Ratio!AP71</f>
        <v>0.0053175592532385</v>
      </c>
      <c r="AQ135" s="63" t="n">
        <f aca="false">AQ44*Ratio!AQ71</f>
        <v>0.00519531860021471</v>
      </c>
    </row>
    <row r="136" customFormat="false" ht="12.8" hidden="false" customHeight="false" outlineLevel="0" collapsed="false">
      <c r="A136" s="139" t="s">
        <v>185</v>
      </c>
      <c r="B136" s="65" t="n">
        <f aca="false">B46*Ratio!B73</f>
        <v>0.0252442326406395</v>
      </c>
      <c r="C136" s="65" t="n">
        <f aca="false">C46*Ratio!C73</f>
        <v>0.0246855500275785</v>
      </c>
      <c r="D136" s="63" t="n">
        <f aca="false">D46*Ratio!D73</f>
        <v>0.0249980732378837</v>
      </c>
      <c r="E136" s="63" t="n">
        <f aca="false">E46*Ratio!E73</f>
        <v>0.0260630724719701</v>
      </c>
      <c r="F136" s="63" t="n">
        <f aca="false">F46*Ratio!F73</f>
        <v>0.0206475706250569</v>
      </c>
      <c r="G136" s="63" t="n">
        <f aca="false">G46*Ratio!G73</f>
        <v>0.0314381857024988</v>
      </c>
      <c r="H136" s="63" t="n">
        <f aca="false">H46*Ratio!H73</f>
        <v>0.029173080580627</v>
      </c>
      <c r="I136" s="68" t="n">
        <f aca="false">I46*Ratio!I73</f>
        <v>0.0298569312045563</v>
      </c>
      <c r="J136" s="67" t="n">
        <f aca="false">J46*Ratio!J73</f>
        <v>0.0246814481983241</v>
      </c>
      <c r="K136" s="65" t="n">
        <f aca="false">K46*Ratio!K73</f>
        <v>0.020526007062425</v>
      </c>
      <c r="L136" s="63" t="n">
        <f aca="false">L46*Ratio!L73</f>
        <v>0.0204874278416526</v>
      </c>
      <c r="M136" s="63" t="n">
        <f aca="false">M46*Ratio!M73</f>
        <v>0.0205099043482067</v>
      </c>
      <c r="N136" s="63" t="n">
        <f aca="false">N46*Ratio!N73</f>
        <v>0.0194782715960361</v>
      </c>
      <c r="O136" s="63" t="n">
        <f aca="false">O46*Ratio!O73</f>
        <v>0.0205363379848219</v>
      </c>
      <c r="P136" s="68" t="n">
        <f aca="false">P46*Ratio!P73</f>
        <v>0.0194057482952751</v>
      </c>
      <c r="Q136" s="67" t="n">
        <f aca="false">Q46*Ratio!Q73</f>
        <v>0.0176059076339016</v>
      </c>
      <c r="R136" s="63" t="n">
        <f aca="false">R46*Ratio!R73</f>
        <v>0.0149450094251637</v>
      </c>
      <c r="S136" s="63" t="n">
        <f aca="false">S46*Ratio!S73</f>
        <v>0.012945862769054</v>
      </c>
      <c r="T136" s="63" t="n">
        <f aca="false">T46*Ratio!T73</f>
        <v>0.0130521073546445</v>
      </c>
      <c r="U136" s="63" t="n">
        <f aca="false">U46*Ratio!U73</f>
        <v>0.0107378188493399</v>
      </c>
      <c r="V136" s="63" t="n">
        <f aca="false">V46*Ratio!V73</f>
        <v>0.0129322050554361</v>
      </c>
      <c r="W136" s="63" t="n">
        <f aca="false">W46*Ratio!W73</f>
        <v>0.0133685481558639</v>
      </c>
      <c r="X136" s="68" t="n">
        <f aca="false">X46*Ratio!X73</f>
        <v>0.0125209819154477</v>
      </c>
      <c r="Y136" s="67" t="n">
        <f aca="false">Y46*Ratio!Y73</f>
        <v>0.0133553883191056</v>
      </c>
      <c r="Z136" s="63" t="n">
        <f aca="false">Z46*Ratio!Z73</f>
        <v>0.0157343358292012</v>
      </c>
      <c r="AA136" s="63" t="n">
        <f aca="false">AA46*Ratio!AA73</f>
        <v>0.0151103645251084</v>
      </c>
      <c r="AB136" s="63" t="n">
        <f aca="false">AB46*Ratio!AB73</f>
        <v>0.0175434549376471</v>
      </c>
      <c r="AC136" s="68" t="n">
        <f aca="false">AC46*Ratio!AC73</f>
        <v>0.015876038747772</v>
      </c>
      <c r="AD136" s="67" t="n">
        <f aca="false">AD46*Ratio!AD73</f>
        <v>0.0161264702414453</v>
      </c>
      <c r="AE136" s="63" t="n">
        <f aca="false">AE46*Ratio!AE73</f>
        <v>0.0141447390819225</v>
      </c>
      <c r="AF136" s="63" t="n">
        <f aca="false">AF46*Ratio!AF73</f>
        <v>0.0134066964896256</v>
      </c>
      <c r="AG136" s="63" t="n">
        <f aca="false">AG46*Ratio!AG73</f>
        <v>0.0119008363627763</v>
      </c>
      <c r="AH136" s="63" t="n">
        <f aca="false">AH46*Ratio!AH73</f>
        <v>0.0124923160844958</v>
      </c>
      <c r="AI136" s="68" t="n">
        <f aca="false">AI46*Ratio!AI73</f>
        <v>0.0116735693478107</v>
      </c>
      <c r="AJ136" s="67" t="n">
        <f aca="false">AJ46*Ratio!AJ73</f>
        <v>0.0122496543616023</v>
      </c>
      <c r="AK136" s="63" t="n">
        <f aca="false">AK46*Ratio!AK73</f>
        <v>0.0116507408745711</v>
      </c>
      <c r="AL136" s="63" t="n">
        <f aca="false">AL46*Ratio!AL72</f>
        <v>0.00886999097449343</v>
      </c>
      <c r="AM136" s="63" t="n">
        <f aca="false">AM46*Ratio!AM73</f>
        <v>0.0121231170544125</v>
      </c>
      <c r="AN136" s="68" t="n">
        <f aca="false">AN46*Ratio!AN72</f>
        <v>0.0112310641022393</v>
      </c>
      <c r="AO136" s="67" t="n">
        <f aca="false">AO46*Ratio!AO72</f>
        <v>0.00957728035914106</v>
      </c>
      <c r="AP136" s="63" t="n">
        <f aca="false">AP46*Ratio!AP72</f>
        <v>0.0101627792280765</v>
      </c>
      <c r="AQ136" s="63" t="n">
        <f aca="false">AQ46*Ratio!AQ72</f>
        <v>0.0103049513704684</v>
      </c>
    </row>
    <row r="137" customFormat="false" ht="12.8" hidden="false" customHeight="false" outlineLevel="0" collapsed="false">
      <c r="A137" s="139" t="s">
        <v>186</v>
      </c>
      <c r="B137" s="65" t="n">
        <f aca="false">B47*Ratio!B74</f>
        <v>0.0172307367159536</v>
      </c>
      <c r="C137" s="65" t="n">
        <f aca="false">C47*Ratio!C74</f>
        <v>0.0157406045000855</v>
      </c>
      <c r="D137" s="63" t="n">
        <f aca="false">D47*Ratio!D74</f>
        <v>0.0146297600631122</v>
      </c>
      <c r="E137" s="63" t="n">
        <f aca="false">E47*Ratio!E74</f>
        <v>0.017969711290383</v>
      </c>
      <c r="F137" s="63" t="n">
        <f aca="false">F47*Ratio!F74</f>
        <v>0.0124054308912792</v>
      </c>
      <c r="G137" s="63" t="n">
        <f aca="false">G47*Ratio!G74</f>
        <v>0.0101987838399642</v>
      </c>
      <c r="H137" s="63" t="n">
        <f aca="false">H47*Ratio!H74</f>
        <v>0.00884140219129916</v>
      </c>
      <c r="I137" s="68" t="n">
        <f aca="false">I47*Ratio!I74</f>
        <v>0.00877361548755455</v>
      </c>
      <c r="J137" s="67" t="n">
        <f aca="false">J47*Ratio!J74</f>
        <v>0.00876045155841238</v>
      </c>
      <c r="K137" s="65" t="n">
        <f aca="false">K47*Ratio!K74</f>
        <v>0.00749212873999825</v>
      </c>
      <c r="L137" s="63" t="n">
        <f aca="false">L47*Ratio!L74</f>
        <v>0.00765715456562631</v>
      </c>
      <c r="M137" s="63" t="n">
        <f aca="false">M47*Ratio!M74</f>
        <v>0.00766555513626458</v>
      </c>
      <c r="N137" s="63" t="n">
        <f aca="false">N47*Ratio!N74</f>
        <v>0.00755867449491054</v>
      </c>
      <c r="O137" s="63" t="n">
        <f aca="false">O47*Ratio!O74</f>
        <v>0.00802895315915435</v>
      </c>
      <c r="P137" s="68" t="n">
        <f aca="false">P47*Ratio!P74</f>
        <v>0.00824256643318672</v>
      </c>
      <c r="Q137" s="67" t="n">
        <f aca="false">Q47*Ratio!Q74</f>
        <v>0.00801233768230982</v>
      </c>
      <c r="R137" s="63" t="n">
        <f aca="false">R47*Ratio!R74</f>
        <v>0.00826837362428163</v>
      </c>
      <c r="S137" s="63" t="n">
        <f aca="false">S47*Ratio!S74</f>
        <v>0.00793784207593524</v>
      </c>
      <c r="T137" s="63" t="n">
        <f aca="false">T47*Ratio!T74</f>
        <v>0.00838741981686814</v>
      </c>
      <c r="U137" s="63" t="n">
        <f aca="false">U47*Ratio!U74</f>
        <v>0.0088396128407733</v>
      </c>
      <c r="V137" s="63" t="n">
        <f aca="false">V47*Ratio!V74</f>
        <v>0.00946872529087783</v>
      </c>
      <c r="W137" s="63" t="n">
        <f aca="false">W47*Ratio!W74</f>
        <v>0.00982135921351659</v>
      </c>
      <c r="X137" s="68" t="n">
        <f aca="false">X47*Ratio!X74</f>
        <v>0.00919868482828602</v>
      </c>
      <c r="Y137" s="67" t="n">
        <f aca="false">Y47*Ratio!Y74</f>
        <v>0.0101412814352966</v>
      </c>
      <c r="Z137" s="63" t="n">
        <f aca="false">Z47*Ratio!Z74</f>
        <v>0.0100792723336672</v>
      </c>
      <c r="AA137" s="63" t="n">
        <f aca="false">AA47*Ratio!AA74</f>
        <v>0.011098340475163</v>
      </c>
      <c r="AB137" s="63" t="n">
        <f aca="false">AB47*Ratio!AB74</f>
        <v>0.0100073884593206</v>
      </c>
      <c r="AC137" s="68" t="n">
        <f aca="false">AC47*Ratio!AC74</f>
        <v>0.00874111618114853</v>
      </c>
      <c r="AD137" s="67" t="n">
        <f aca="false">AD47*Ratio!AD74</f>
        <v>0.00918723297921138</v>
      </c>
      <c r="AE137" s="63" t="n">
        <f aca="false">AE47*Ratio!AE74</f>
        <v>0.00867719974159348</v>
      </c>
      <c r="AF137" s="63" t="n">
        <f aca="false">AF47*Ratio!AF74</f>
        <v>0.0086340467979696</v>
      </c>
      <c r="AG137" s="63" t="n">
        <f aca="false">AG47*Ratio!AG74</f>
        <v>0.0115802965918022</v>
      </c>
      <c r="AH137" s="63" t="n">
        <f aca="false">AH47*Ratio!AH74</f>
        <v>0.0128410059917026</v>
      </c>
      <c r="AI137" s="68" t="n">
        <f aca="false">AI47*Ratio!AI74</f>
        <v>0.016968553834814</v>
      </c>
      <c r="AJ137" s="67" t="n">
        <f aca="false">AJ47*Ratio!AJ74</f>
        <v>0.0172699036793426</v>
      </c>
      <c r="AK137" s="63" t="n">
        <f aca="false">AK47*Ratio!AK74</f>
        <v>0.0161421896670561</v>
      </c>
      <c r="AL137" s="63" t="n">
        <f aca="false">AL47*Ratio!AL74</f>
        <v>0.0166413921603943</v>
      </c>
      <c r="AM137" s="63" t="n">
        <f aca="false">AM47*Ratio!AM74</f>
        <v>0.0177123957359437</v>
      </c>
      <c r="AN137" s="68" t="n">
        <f aca="false">AN47*Ratio!AN74</f>
        <v>0.0164454454597377</v>
      </c>
      <c r="AO137" s="67" t="n">
        <f aca="false">AO47*Ratio!AO74</f>
        <v>0.0166849627259077</v>
      </c>
      <c r="AP137" s="63" t="n">
        <f aca="false">AP47*Ratio!AP74</f>
        <v>0.0156320469468892</v>
      </c>
      <c r="AQ137" s="63" t="n">
        <f aca="false">AQ47*Ratio!AQ74</f>
        <v>0.0151618157145568</v>
      </c>
    </row>
    <row r="138" customFormat="false" ht="12.8" hidden="false" customHeight="false" outlineLevel="0" collapsed="false">
      <c r="A138" s="139" t="s">
        <v>187</v>
      </c>
      <c r="B138" s="65" t="n">
        <f aca="false">B48*Ratio!B75</f>
        <v>0.00429737833867138</v>
      </c>
      <c r="C138" s="65" t="n">
        <f aca="false">C48*Ratio!C75</f>
        <v>0.00453954883170913</v>
      </c>
      <c r="D138" s="63" t="n">
        <f aca="false">D48*Ratio!D75</f>
        <v>0.00447554130426439</v>
      </c>
      <c r="E138" s="63" t="n">
        <f aca="false">E48*Ratio!E75</f>
        <v>0.00441957222058642</v>
      </c>
      <c r="F138" s="63" t="n">
        <f aca="false">F48*Ratio!F75</f>
        <v>0.00478051292510976</v>
      </c>
      <c r="G138" s="63" t="n">
        <f aca="false">G48*Ratio!G75</f>
        <v>0.00508309247770964</v>
      </c>
      <c r="H138" s="63" t="n">
        <f aca="false">H48*Ratio!H75</f>
        <v>0.00518631786393619</v>
      </c>
      <c r="I138" s="68" t="n">
        <f aca="false">I48*Ratio!I75</f>
        <v>0.00648968702608303</v>
      </c>
      <c r="J138" s="67" t="n">
        <f aca="false">J48*Ratio!J75</f>
        <v>0.00545250951759839</v>
      </c>
      <c r="K138" s="65" t="n">
        <f aca="false">K48*Ratio!K75</f>
        <v>0.00573365428482648</v>
      </c>
      <c r="L138" s="63" t="n">
        <f aca="false">L48*Ratio!L75</f>
        <v>0.00552271091771451</v>
      </c>
      <c r="M138" s="63" t="n">
        <f aca="false">M48*Ratio!M75</f>
        <v>0.00552876981632774</v>
      </c>
      <c r="N138" s="63" t="n">
        <f aca="false">N48*Ratio!N75</f>
        <v>0.00548954456952726</v>
      </c>
      <c r="O138" s="63" t="n">
        <f aca="false">O48*Ratio!O75</f>
        <v>0.00608117268908248</v>
      </c>
      <c r="P138" s="68" t="n">
        <f aca="false">P48*Ratio!P75</f>
        <v>0.00958049281828311</v>
      </c>
      <c r="Q138" s="67" t="n">
        <f aca="false">Q48*Ratio!Q75</f>
        <v>0.00966363112677312</v>
      </c>
      <c r="R138" s="63" t="n">
        <f aca="false">R48*Ratio!R75</f>
        <v>0.00796924804687542</v>
      </c>
      <c r="S138" s="63" t="n">
        <f aca="false">S48*Ratio!S75</f>
        <v>0.00813655568481119</v>
      </c>
      <c r="T138" s="63" t="n">
        <f aca="false">T48*Ratio!T75</f>
        <v>0.0079019938934914</v>
      </c>
      <c r="U138" s="63" t="n">
        <f aca="false">U48*Ratio!U75</f>
        <v>0.0102262497286212</v>
      </c>
      <c r="V138" s="63" t="n">
        <f aca="false">V48*Ratio!V75</f>
        <v>0.00799193071473595</v>
      </c>
      <c r="W138" s="63" t="n">
        <f aca="false">W48*Ratio!W75</f>
        <v>0.00694971624604405</v>
      </c>
      <c r="X138" s="68" t="n">
        <f aca="false">X48*Ratio!X75</f>
        <v>0.00697631771310788</v>
      </c>
      <c r="Y138" s="67" t="n">
        <f aca="false">Y48*Ratio!Y75</f>
        <v>0.00854856444903574</v>
      </c>
      <c r="Z138" s="63" t="n">
        <f aca="false">Z48*Ratio!Z75</f>
        <v>0.00752867572134584</v>
      </c>
      <c r="AA138" s="63" t="n">
        <f aca="false">AA48*Ratio!AA75</f>
        <v>0.00862893832588206</v>
      </c>
      <c r="AB138" s="63" t="n">
        <f aca="false">AB48*Ratio!AB75</f>
        <v>0.00864719137929615</v>
      </c>
      <c r="AC138" s="68" t="n">
        <f aca="false">AC48*Ratio!AC75</f>
        <v>0.00438308216840971</v>
      </c>
      <c r="AD138" s="67" t="n">
        <f aca="false">AD48*Ratio!AD75</f>
        <v>0.00495937411976759</v>
      </c>
      <c r="AE138" s="63" t="n">
        <f aca="false">AE48*Ratio!AE75</f>
        <v>0.00634964400555108</v>
      </c>
      <c r="AF138" s="63" t="n">
        <f aca="false">AF48*Ratio!AF75</f>
        <v>0.00703031435032478</v>
      </c>
      <c r="AG138" s="63" t="n">
        <f aca="false">AG48*Ratio!AG75</f>
        <v>0.00783118895572959</v>
      </c>
      <c r="AH138" s="63" t="n">
        <f aca="false">AH48*Ratio!AH75</f>
        <v>0.0080815094081179</v>
      </c>
      <c r="AI138" s="68" t="n">
        <f aca="false">AI48*Ratio!AI75</f>
        <v>0.00983571920349079</v>
      </c>
      <c r="AJ138" s="67" t="n">
        <f aca="false">AJ48*Ratio!AJ75</f>
        <v>0.0104595369506713</v>
      </c>
      <c r="AK138" s="63" t="n">
        <f aca="false">AK48*Ratio!AK75</f>
        <v>0.0148522654195324</v>
      </c>
      <c r="AL138" s="63" t="n">
        <f aca="false">AL48*Ratio!AL75</f>
        <v>0.0132718550994142</v>
      </c>
      <c r="AM138" s="63" t="n">
        <f aca="false">AM48*Ratio!AM75</f>
        <v>0.0154313861573795</v>
      </c>
      <c r="AN138" s="68" t="n">
        <f aca="false">AN48*Ratio!AN75</f>
        <v>0.0167835183680393</v>
      </c>
      <c r="AO138" s="67" t="n">
        <f aca="false">AO48*Ratio!AO75</f>
        <v>0.0186657161752314</v>
      </c>
      <c r="AP138" s="63" t="n">
        <f aca="false">AP48*Ratio!AP75</f>
        <v>0.0292464457404483</v>
      </c>
      <c r="AQ138" s="63" t="n">
        <f aca="false">AQ48*Ratio!AQ75</f>
        <v>0.0263633212706215</v>
      </c>
    </row>
    <row r="139" customFormat="false" ht="12.8" hidden="false" customHeight="false" outlineLevel="0" collapsed="false">
      <c r="A139" s="139" t="s">
        <v>188</v>
      </c>
      <c r="B139" s="65" t="n">
        <f aca="false">B49*Ratio!B76</f>
        <v>0.00442353373219894</v>
      </c>
      <c r="C139" s="65" t="n">
        <f aca="false">C49*Ratio!C76</f>
        <v>0.00453894222748937</v>
      </c>
      <c r="D139" s="63" t="n">
        <f aca="false">D49*Ratio!D76</f>
        <v>0.00447494325314928</v>
      </c>
      <c r="E139" s="63" t="n">
        <f aca="false">E49*Ratio!E76</f>
        <v>0.00463965974986314</v>
      </c>
      <c r="F139" s="63" t="n">
        <f aca="false">F49*Ratio!F76</f>
        <v>0.0048488966815975</v>
      </c>
      <c r="G139" s="63" t="n">
        <f aca="false">G49*Ratio!G76</f>
        <v>0.00579461073822911</v>
      </c>
      <c r="H139" s="63" t="n">
        <f aca="false">H49*Ratio!H76</f>
        <v>0.00582371303805141</v>
      </c>
      <c r="I139" s="68" t="n">
        <f aca="false">I49*Ratio!I76</f>
        <v>0.00539964021834165</v>
      </c>
      <c r="J139" s="67" t="n">
        <f aca="false">J49*Ratio!J76</f>
        <v>0.00591573137997051</v>
      </c>
      <c r="K139" s="65" t="n">
        <f aca="false">K49*Ratio!K76</f>
        <v>0.00531082748148984</v>
      </c>
      <c r="L139" s="63" t="n">
        <f aca="false">L49*Ratio!L76</f>
        <v>0.00542780674336799</v>
      </c>
      <c r="M139" s="63" t="n">
        <f aca="false">M49*Ratio!M76</f>
        <v>0.00543376152377208</v>
      </c>
      <c r="N139" s="63" t="n">
        <f aca="false">N49*Ratio!N76</f>
        <v>0.00536640450890998</v>
      </c>
      <c r="O139" s="63" t="n">
        <f aca="false">O49*Ratio!O76</f>
        <v>0.00550012377216171</v>
      </c>
      <c r="P139" s="68" t="n">
        <f aca="false">P49*Ratio!P76</f>
        <v>0.00595088996662756</v>
      </c>
      <c r="Q139" s="67" t="n">
        <f aca="false">Q49*Ratio!Q76</f>
        <v>0.00571728483237729</v>
      </c>
      <c r="R139" s="63" t="n">
        <f aca="false">R49*Ratio!R76</f>
        <v>0.0052498176801196</v>
      </c>
      <c r="S139" s="63" t="n">
        <f aca="false">S49*Ratio!S76</f>
        <v>0.00505817008914345</v>
      </c>
      <c r="T139" s="63" t="n">
        <f aca="false">T49*Ratio!T76</f>
        <v>0.00462231367895497</v>
      </c>
      <c r="U139" s="63" t="n">
        <f aca="false">U49*Ratio!U76</f>
        <v>0.00562608269462477</v>
      </c>
      <c r="V139" s="63" t="n">
        <f aca="false">V49*Ratio!V76</f>
        <v>0.00577277102344114</v>
      </c>
      <c r="W139" s="63" t="n">
        <f aca="false">W49*Ratio!W76</f>
        <v>0.00598776035177794</v>
      </c>
      <c r="X139" s="68" t="n">
        <f aca="false">X49*Ratio!X76</f>
        <v>0.00560813621677837</v>
      </c>
      <c r="Y139" s="67" t="n">
        <f aca="false">Y49*Ratio!Y76</f>
        <v>0.00580627884084593</v>
      </c>
      <c r="Z139" s="63" t="n">
        <f aca="false">Z49*Ratio!Z76</f>
        <v>0.00599178499354582</v>
      </c>
      <c r="AA139" s="63" t="n">
        <f aca="false">AA49*Ratio!AA76</f>
        <v>0.00569319761487535</v>
      </c>
      <c r="AB139" s="63" t="n">
        <f aca="false">AB49*Ratio!AB76</f>
        <v>0.00594929589431121</v>
      </c>
      <c r="AC139" s="68" t="n">
        <f aca="false">AC49*Ratio!AC76</f>
        <v>0.00605325991637536</v>
      </c>
      <c r="AD139" s="67" t="n">
        <f aca="false">AD49*Ratio!AD76</f>
        <v>0.00514110574095007</v>
      </c>
      <c r="AE139" s="63" t="n">
        <f aca="false">AE49*Ratio!AE76</f>
        <v>0.00527167278724703</v>
      </c>
      <c r="AF139" s="63" t="n">
        <f aca="false">AF49*Ratio!AF76</f>
        <v>0.00524545601163207</v>
      </c>
      <c r="AG139" s="63" t="n">
        <f aca="false">AG49*Ratio!AG76</f>
        <v>0.00664186550646325</v>
      </c>
      <c r="AH139" s="63" t="n">
        <f aca="false">AH49*Ratio!AH76</f>
        <v>0.00814666229272696</v>
      </c>
      <c r="AI139" s="68" t="n">
        <f aca="false">AI49*Ratio!AI76</f>
        <v>0.00785501967172497</v>
      </c>
      <c r="AJ139" s="67" t="n">
        <f aca="false">AJ49*Ratio!AJ76</f>
        <v>0.00889926025360991</v>
      </c>
      <c r="AK139" s="63" t="n">
        <f aca="false">AK49*Ratio!AK76</f>
        <v>0.00864286813669028</v>
      </c>
      <c r="AL139" s="63" t="n">
        <f aca="false">AL49*Ratio!AL76</f>
        <v>0.0084680389629143</v>
      </c>
      <c r="AM139" s="63" t="n">
        <f aca="false">AM49*Ratio!AM76</f>
        <v>0.010183606624938</v>
      </c>
      <c r="AN139" s="68" t="n">
        <f aca="false">AN49*Ratio!AN76</f>
        <v>0.0100918993779602</v>
      </c>
      <c r="AO139" s="67" t="n">
        <f aca="false">AO49*Ratio!AO76</f>
        <v>0.00798571428711542</v>
      </c>
      <c r="AP139" s="63" t="n">
        <f aca="false">AP49*Ratio!AP76</f>
        <v>0.00786820704248505</v>
      </c>
      <c r="AQ139" s="63" t="n">
        <f aca="false">AQ49*Ratio!AQ76</f>
        <v>0.0083536185450682</v>
      </c>
    </row>
    <row r="140" customFormat="false" ht="12.8" hidden="false" customHeight="false" outlineLevel="0" collapsed="false">
      <c r="A140" s="139" t="s">
        <v>189</v>
      </c>
      <c r="B140" s="65" t="n">
        <f aca="false">B50*Ratio!B77</f>
        <v>0.00776394959218669</v>
      </c>
      <c r="C140" s="65" t="n">
        <f aca="false">C50*Ratio!C77</f>
        <v>0.00847563785154128</v>
      </c>
      <c r="D140" s="63" t="n">
        <f aca="false">D50*Ratio!D77</f>
        <v>0.00866533164462281</v>
      </c>
      <c r="E140" s="63" t="n">
        <f aca="false">E50*Ratio!E77</f>
        <v>0.0064242473735901</v>
      </c>
      <c r="F140" s="63" t="n">
        <f aca="false">F50*Ratio!F77</f>
        <v>0.00597733238499344</v>
      </c>
      <c r="G140" s="63" t="n">
        <f aca="false">G50*Ratio!G77</f>
        <v>0.00623715329814042</v>
      </c>
      <c r="H140" s="63" t="n">
        <f aca="false">H50*Ratio!H77</f>
        <v>0.00631178360148788</v>
      </c>
      <c r="I140" s="68" t="n">
        <f aca="false">I50*Ratio!I77</f>
        <v>0.0071939050670046</v>
      </c>
      <c r="J140" s="67" t="n">
        <f aca="false">J50*Ratio!J77</f>
        <v>0.00788978516939812</v>
      </c>
      <c r="K140" s="65" t="n">
        <f aca="false">K50*Ratio!K77</f>
        <v>0.00590377902058837</v>
      </c>
      <c r="L140" s="63" t="n">
        <f aca="false">L50*Ratio!L77</f>
        <v>0.00603497748635338</v>
      </c>
      <c r="M140" s="63" t="n">
        <f aca="false">M50*Ratio!M77</f>
        <v>0.00604014866369738</v>
      </c>
      <c r="N140" s="63" t="n">
        <f aca="false">N50*Ratio!N77</f>
        <v>0.00609314838191778</v>
      </c>
      <c r="O140" s="63" t="n">
        <f aca="false">O50*Ratio!O77</f>
        <v>0.00623111392474268</v>
      </c>
      <c r="P140" s="68" t="n">
        <f aca="false">P50*Ratio!P77</f>
        <v>0.00718412571067593</v>
      </c>
      <c r="Q140" s="67" t="n">
        <f aca="false">Q50*Ratio!Q77</f>
        <v>0.00774750660475158</v>
      </c>
      <c r="R140" s="63" t="n">
        <f aca="false">R50*Ratio!R77</f>
        <v>0.0082928228086654</v>
      </c>
      <c r="S140" s="63" t="n">
        <f aca="false">S50*Ratio!S77</f>
        <v>0.00776017004561728</v>
      </c>
      <c r="T140" s="63" t="n">
        <f aca="false">T50*Ratio!T77</f>
        <v>0.00830504083842159</v>
      </c>
      <c r="U140" s="63" t="n">
        <f aca="false">U50*Ratio!U77</f>
        <v>0.00747953729261438</v>
      </c>
      <c r="V140" s="63" t="n">
        <f aca="false">V50*Ratio!V77</f>
        <v>0.00745928875516647</v>
      </c>
      <c r="W140" s="63" t="n">
        <f aca="false">W50*Ratio!W77</f>
        <v>0.00683714795495791</v>
      </c>
      <c r="X140" s="68" t="n">
        <f aca="false">X50*Ratio!X77</f>
        <v>0.00640367262766057</v>
      </c>
      <c r="Y140" s="67" t="n">
        <f aca="false">Y50*Ratio!Y77</f>
        <v>0.00790019734530705</v>
      </c>
      <c r="Z140" s="63" t="n">
        <f aca="false">Z50*Ratio!Z77</f>
        <v>0.00812883290172913</v>
      </c>
      <c r="AA140" s="63" t="n">
        <f aca="false">AA50*Ratio!AA77</f>
        <v>0.00834467439005785</v>
      </c>
      <c r="AB140" s="63" t="n">
        <f aca="false">AB50*Ratio!AB77</f>
        <v>0.0094420224577121</v>
      </c>
      <c r="AC140" s="68" t="n">
        <f aca="false">AC50*Ratio!AC77</f>
        <v>0.00926472479613633</v>
      </c>
      <c r="AD140" s="67" t="n">
        <f aca="false">AD50*Ratio!AD77</f>
        <v>0.00900525778424659</v>
      </c>
      <c r="AE140" s="63" t="n">
        <f aca="false">AE50*Ratio!AE77</f>
        <v>0.00851147579971132</v>
      </c>
      <c r="AF140" s="63" t="n">
        <f aca="false">AF50*Ratio!AF77</f>
        <v>0.00893091549413767</v>
      </c>
      <c r="AG140" s="63" t="n">
        <f aca="false">AG50*Ratio!AG77</f>
        <v>0.00733489548818761</v>
      </c>
      <c r="AH140" s="63" t="n">
        <f aca="false">AH50*Ratio!AH77</f>
        <v>0.00813958191584857</v>
      </c>
      <c r="AI140" s="68" t="n">
        <f aca="false">AI50*Ratio!AI77</f>
        <v>0.0131946630119578</v>
      </c>
      <c r="AJ140" s="67" t="n">
        <f aca="false">AJ50*Ratio!AJ77</f>
        <v>0.0120820796710493</v>
      </c>
      <c r="AK140" s="63" t="n">
        <f aca="false">AK50*Ratio!AK77</f>
        <v>0.0106890234078715</v>
      </c>
      <c r="AL140" s="63" t="n">
        <f aca="false">AL50*Ratio!AL77</f>
        <v>0.0118081035725596</v>
      </c>
      <c r="AM140" s="63" t="n">
        <f aca="false">AM50*Ratio!AM77</f>
        <v>0.0094589730922676</v>
      </c>
      <c r="AN140" s="68" t="n">
        <f aca="false">AN50*Ratio!AN77</f>
        <v>0.0107273892368025</v>
      </c>
      <c r="AO140" s="67" t="n">
        <f aca="false">AO50*Ratio!AO77</f>
        <v>0.00943538768857055</v>
      </c>
      <c r="AP140" s="63" t="n">
        <f aca="false">AP50*Ratio!AP77</f>
        <v>0.00823346225814991</v>
      </c>
      <c r="AQ140" s="63" t="n">
        <f aca="false">AQ50*Ratio!AQ77</f>
        <v>0.00723857544596231</v>
      </c>
    </row>
    <row r="141" customFormat="false" ht="12.8" hidden="false" customHeight="false" outlineLevel="0" collapsed="false">
      <c r="A141" s="139" t="s">
        <v>190</v>
      </c>
      <c r="B141" s="65" t="n">
        <f aca="false">B51*Ratio!B78</f>
        <v>0.00289218782788384</v>
      </c>
      <c r="C141" s="65" t="n">
        <f aca="false">C51*Ratio!C78</f>
        <v>0.00296936514935482</v>
      </c>
      <c r="D141" s="63" t="n">
        <f aca="false">D51*Ratio!D78</f>
        <v>0.00292749717340902</v>
      </c>
      <c r="E141" s="63" t="n">
        <f aca="false">E51*Ratio!E78</f>
        <v>0.00303525431160385</v>
      </c>
      <c r="F141" s="63" t="n">
        <f aca="false">F51*Ratio!F78</f>
        <v>0.00317213661190879</v>
      </c>
      <c r="G141" s="63" t="n">
        <f aca="false">G51*Ratio!G78</f>
        <v>0.00354100000089295</v>
      </c>
      <c r="H141" s="63" t="n">
        <f aca="false">H51*Ratio!H78</f>
        <v>0.00335450109016584</v>
      </c>
      <c r="I141" s="68" t="n">
        <f aca="false">I51*Ratio!I78</f>
        <v>0.00353150509360749</v>
      </c>
      <c r="J141" s="67" t="n">
        <f aca="false">J51*Ratio!J78</f>
        <v>0.00316015493889753</v>
      </c>
      <c r="K141" s="65" t="n">
        <f aca="false">K51*Ratio!K78</f>
        <v>0.00318176737296774</v>
      </c>
      <c r="L141" s="63" t="n">
        <f aca="false">L51*Ratio!L78</f>
        <v>0.00325185076393742</v>
      </c>
      <c r="M141" s="63" t="n">
        <f aca="false">M51*Ratio!M78</f>
        <v>0.00325541832964521</v>
      </c>
      <c r="N141" s="63" t="n">
        <f aca="false">N51*Ratio!N78</f>
        <v>0.00328424596598769</v>
      </c>
      <c r="O141" s="63" t="n">
        <f aca="false">O51*Ratio!O78</f>
        <v>0.00334118620344334</v>
      </c>
      <c r="P141" s="68" t="n">
        <f aca="false">P51*Ratio!P78</f>
        <v>0.0038083856628644</v>
      </c>
      <c r="Q141" s="67" t="n">
        <f aca="false">Q51*Ratio!Q78</f>
        <v>0.00395872332697412</v>
      </c>
      <c r="R141" s="63" t="n">
        <f aca="false">R51*Ratio!R78</f>
        <v>0.00434401462205074</v>
      </c>
      <c r="S141" s="63" t="n">
        <f aca="false">S51*Ratio!S78</f>
        <v>0.00418594126018021</v>
      </c>
      <c r="T141" s="63" t="n">
        <f aca="false">T51*Ratio!T78</f>
        <v>0.00410504931511944</v>
      </c>
      <c r="U141" s="63" t="n">
        <f aca="false">U51*Ratio!U78</f>
        <v>0.0041866411244418</v>
      </c>
      <c r="V141" s="63" t="n">
        <f aca="false">V51*Ratio!V78</f>
        <v>0.00540032035700119</v>
      </c>
      <c r="W141" s="63" t="n">
        <f aca="false">W51*Ratio!W78</f>
        <v>0.00560143889117494</v>
      </c>
      <c r="X141" s="68" t="n">
        <f aca="false">X51*Ratio!X78</f>
        <v>0.00524630754508093</v>
      </c>
      <c r="Y141" s="67" t="n">
        <f aca="false">Y51*Ratio!Y78</f>
        <v>0.00542873066040501</v>
      </c>
      <c r="Z141" s="63" t="n">
        <f aca="false">Z51*Ratio!Z78</f>
        <v>0.00603095823953354</v>
      </c>
      <c r="AA141" s="63" t="n">
        <f aca="false">AA51*Ratio!AA78</f>
        <v>0.00486491673287995</v>
      </c>
      <c r="AB141" s="63" t="n">
        <f aca="false">AB51*Ratio!AB78</f>
        <v>0.0054132015242405</v>
      </c>
      <c r="AC141" s="68" t="n">
        <f aca="false">AC51*Ratio!AC78</f>
        <v>0.00607191280185549</v>
      </c>
      <c r="AD141" s="67" t="n">
        <f aca="false">AD51*Ratio!AD78</f>
        <v>0.00582243183390642</v>
      </c>
      <c r="AE141" s="63" t="n">
        <f aca="false">AE51*Ratio!AE78</f>
        <v>0.00576860821186067</v>
      </c>
      <c r="AF141" s="63" t="n">
        <f aca="false">AF51*Ratio!AF78</f>
        <v>0.00573992010597768</v>
      </c>
      <c r="AG141" s="63" t="n">
        <f aca="false">AG51*Ratio!AG78</f>
        <v>0.00578496368531664</v>
      </c>
      <c r="AH141" s="63" t="n">
        <f aca="false">AH51*Ratio!AH78</f>
        <v>0.00941667610483351</v>
      </c>
      <c r="AI141" s="68" t="n">
        <f aca="false">AI51*Ratio!AI78</f>
        <v>0.00741479342851464</v>
      </c>
      <c r="AJ141" s="67" t="n">
        <f aca="false">AJ51*Ratio!AJ78</f>
        <v>0.00908527658017132</v>
      </c>
      <c r="AK141" s="63" t="n">
        <f aca="false">AK51*Ratio!AK78</f>
        <v>0.00885799210297006</v>
      </c>
      <c r="AL141" s="63" t="n">
        <f aca="false">AL51*Ratio!AL78</f>
        <v>0.00906603816874476</v>
      </c>
      <c r="AM141" s="63" t="n">
        <f aca="false">AM51*Ratio!AM78</f>
        <v>0.0104295512751599</v>
      </c>
      <c r="AN141" s="68" t="n">
        <f aca="false">AN51*Ratio!AN78</f>
        <v>0.0120232677048902</v>
      </c>
      <c r="AO141" s="67" t="n">
        <f aca="false">AO51*Ratio!AO78</f>
        <v>0.0133147507515513</v>
      </c>
      <c r="AP141" s="63" t="n">
        <f aca="false">AP51*Ratio!AP78</f>
        <v>0.0133939208899321</v>
      </c>
      <c r="AQ141" s="63" t="n">
        <f aca="false">AQ51*Ratio!AQ78</f>
        <v>0.012538842991032</v>
      </c>
    </row>
    <row r="142" customFormat="false" ht="12.8" hidden="false" customHeight="false" outlineLevel="0" collapsed="false">
      <c r="A142" s="139" t="s">
        <v>26</v>
      </c>
      <c r="B142" s="65" t="n">
        <f aca="false">B52*Ratio!B79</f>
        <v>0.00347366997996763</v>
      </c>
      <c r="C142" s="65" t="n">
        <f aca="false">C52*Ratio!C79</f>
        <v>0.00390615932040386</v>
      </c>
      <c r="D142" s="63" t="n">
        <f aca="false">D52*Ratio!D79</f>
        <v>0.00325623623502249</v>
      </c>
      <c r="E142" s="63" t="n">
        <f aca="false">E52*Ratio!E79</f>
        <v>0.00341912677654184</v>
      </c>
      <c r="F142" s="63" t="n">
        <f aca="false">F52*Ratio!F79</f>
        <v>0.00334650226803298</v>
      </c>
      <c r="G142" s="63" t="n">
        <f aca="false">G52*Ratio!G79</f>
        <v>0.0029991395021496</v>
      </c>
      <c r="H142" s="63" t="n">
        <f aca="false">H52*Ratio!H79</f>
        <v>0.00251121706542999</v>
      </c>
      <c r="I142" s="68" t="n">
        <f aca="false">I52*Ratio!I79</f>
        <v>0.00245351451678155</v>
      </c>
      <c r="J142" s="67" t="n">
        <f aca="false">J52*Ratio!J79</f>
        <v>0.00238030164368517</v>
      </c>
      <c r="K142" s="65" t="n">
        <f aca="false">K52*Ratio!K79</f>
        <v>0.00322020716796962</v>
      </c>
      <c r="L142" s="63" t="n">
        <f aca="false">L52*Ratio!L79</f>
        <v>0.00310227941979399</v>
      </c>
      <c r="M142" s="63" t="n">
        <f aca="false">M52*Ratio!M79</f>
        <v>0.00245205622849638</v>
      </c>
      <c r="N142" s="63" t="n">
        <f aca="false">N52*Ratio!N79</f>
        <v>0.00247376986959827</v>
      </c>
      <c r="O142" s="63" t="n">
        <f aca="false">O52*Ratio!O79</f>
        <v>0.0025125629784368</v>
      </c>
      <c r="P142" s="68" t="n">
        <f aca="false">P52*Ratio!P79</f>
        <v>0.00297675984343458</v>
      </c>
      <c r="Q142" s="67" t="n">
        <f aca="false">Q52*Ratio!Q79</f>
        <v>0.00270286203636443</v>
      </c>
      <c r="R142" s="63" t="n">
        <f aca="false">R52*Ratio!R79</f>
        <v>0.0034409467255586</v>
      </c>
      <c r="S142" s="63" t="n">
        <f aca="false">S52*Ratio!S79</f>
        <v>0.00331533300127103</v>
      </c>
      <c r="T142" s="63" t="n">
        <f aca="false">T52*Ratio!T79</f>
        <v>0.00401508865843918</v>
      </c>
      <c r="U142" s="63" t="n">
        <f aca="false">U52*Ratio!U79</f>
        <v>0.00487440346922609</v>
      </c>
      <c r="V142" s="63" t="n">
        <f aca="false">V52*Ratio!V79</f>
        <v>0.00486058875087885</v>
      </c>
      <c r="W142" s="63" t="n">
        <f aca="false">W52*Ratio!W79</f>
        <v>0.00504160662022262</v>
      </c>
      <c r="X142" s="68" t="n">
        <f aca="false">X52*Ratio!X79</f>
        <v>0.00568803313514309</v>
      </c>
      <c r="Y142" s="67" t="n">
        <f aca="false">Y52*Ratio!Y79</f>
        <v>0.00519681145394461</v>
      </c>
      <c r="Z142" s="63" t="n">
        <f aca="false">Z52*Ratio!Z79</f>
        <v>0.00515086524267663</v>
      </c>
      <c r="AA142" s="63" t="n">
        <f aca="false">AA52*Ratio!AA79</f>
        <v>0.0050134708562066</v>
      </c>
      <c r="AB142" s="63" t="n">
        <f aca="false">AB52*Ratio!AB79</f>
        <v>0.00615065054725498</v>
      </c>
      <c r="AC142" s="68" t="n">
        <f aca="false">AC52*Ratio!AC79</f>
        <v>0.00626356991399625</v>
      </c>
      <c r="AD142" s="67" t="n">
        <f aca="false">AD52*Ratio!AD79</f>
        <v>0.00614932158025809</v>
      </c>
      <c r="AE142" s="63" t="n">
        <f aca="false">AE52*Ratio!AE79</f>
        <v>0.00644304102643145</v>
      </c>
      <c r="AF142" s="63" t="n">
        <f aca="false">AF52*Ratio!AF79</f>
        <v>0.00569710185404142</v>
      </c>
      <c r="AG142" s="63" t="n">
        <f aca="false">AG52*Ratio!AG79</f>
        <v>0.00542985600277331</v>
      </c>
      <c r="AH142" s="63" t="n">
        <f aca="false">AH52*Ratio!AH79</f>
        <v>0.00480473065970483</v>
      </c>
      <c r="AI142" s="68" t="n">
        <f aca="false">AI52*Ratio!AI79</f>
        <v>0.00740103776720175</v>
      </c>
      <c r="AJ142" s="67" t="n">
        <f aca="false">AJ52*Ratio!AJ79</f>
        <v>0.00716939076837065</v>
      </c>
      <c r="AK142" s="63" t="n">
        <f aca="false">AK52*Ratio!AK79</f>
        <v>0.00551403830496883</v>
      </c>
      <c r="AL142" s="63" t="n">
        <f aca="false">AL52*Ratio!AL79</f>
        <v>0.00519348746473549</v>
      </c>
      <c r="AM142" s="63" t="n">
        <f aca="false">AM52*Ratio!AM79</f>
        <v>0.00482956810371414</v>
      </c>
      <c r="AN142" s="68" t="n">
        <f aca="false">AN52*Ratio!AN79</f>
        <v>0.00608536089764567</v>
      </c>
      <c r="AO142" s="67" t="n">
        <f aca="false">AO52*Ratio!AO79</f>
        <v>0.00411418716579327</v>
      </c>
      <c r="AP142" s="63" t="n">
        <f aca="false">AP52*Ratio!AP79</f>
        <v>0.0052741693258775</v>
      </c>
      <c r="AQ142" s="63" t="n">
        <f aca="false">AQ52*Ratio!AQ79</f>
        <v>0.00478640893326107</v>
      </c>
    </row>
    <row r="143" customFormat="false" ht="12.8" hidden="false" customHeight="false" outlineLevel="0" collapsed="false">
      <c r="A143" s="139" t="s">
        <v>191</v>
      </c>
      <c r="B143" s="65" t="n">
        <f aca="false">B53*Ratio!B80</f>
        <v>0.00306102516658182</v>
      </c>
      <c r="C143" s="65" t="n">
        <f aca="false">C53*Ratio!C80</f>
        <v>0.00373332558447228</v>
      </c>
      <c r="D143" s="63" t="n">
        <f aca="false">D53*Ratio!D80</f>
        <v>0.00368068578508536</v>
      </c>
      <c r="E143" s="63" t="n">
        <f aca="false">E53*Ratio!E80</f>
        <v>0.00361227267119018</v>
      </c>
      <c r="F143" s="63" t="n">
        <f aca="false">F53*Ratio!F80</f>
        <v>0.00385182842726826</v>
      </c>
      <c r="G143" s="63" t="n">
        <f aca="false">G53*Ratio!G80</f>
        <v>0.00377090592532262</v>
      </c>
      <c r="H143" s="63" t="n">
        <f aca="false">H53*Ratio!H80</f>
        <v>0.00357973554682469</v>
      </c>
      <c r="I143" s="68" t="n">
        <f aca="false">I53*Ratio!I80</f>
        <v>0.00376862429839132</v>
      </c>
      <c r="J143" s="67" t="n">
        <f aca="false">J53*Ratio!J80</f>
        <v>0.00475925557977714</v>
      </c>
      <c r="K143" s="65" t="n">
        <f aca="false">K53*Ratio!K80</f>
        <v>0.00515431116530199</v>
      </c>
      <c r="L143" s="63" t="n">
        <f aca="false">L53*Ratio!L80</f>
        <v>0.00526784291110033</v>
      </c>
      <c r="M143" s="63" t="n">
        <f aca="false">M53*Ratio!M80</f>
        <v>0.00527362219714017</v>
      </c>
      <c r="N143" s="63" t="n">
        <f aca="false">N53*Ratio!N80</f>
        <v>0.00528605229796809</v>
      </c>
      <c r="O143" s="63" t="n">
        <f aca="false">O53*Ratio!O80</f>
        <v>0.00544906798883641</v>
      </c>
      <c r="P143" s="68" t="n">
        <f aca="false">P53*Ratio!P80</f>
        <v>0.00375782730187449</v>
      </c>
      <c r="Q143" s="67" t="n">
        <f aca="false">Q53*Ratio!Q80</f>
        <v>0.00363552204831122</v>
      </c>
      <c r="R143" s="63" t="n">
        <f aca="false">R53*Ratio!R80</f>
        <v>0.00308496793397559</v>
      </c>
      <c r="S143" s="63" t="n">
        <f aca="false">S53*Ratio!S80</f>
        <v>0.003006536744283</v>
      </c>
      <c r="T143" s="63" t="n">
        <f aca="false">T53*Ratio!T80</f>
        <v>0.00289780803379574</v>
      </c>
      <c r="U143" s="63" t="n">
        <f aca="false">U53*Ratio!U80</f>
        <v>0.00294702796309107</v>
      </c>
      <c r="V143" s="63" t="n">
        <f aca="false">V53*Ratio!V80</f>
        <v>0.00290916672762039</v>
      </c>
      <c r="W143" s="63" t="n">
        <f aca="false">W53*Ratio!W80</f>
        <v>0.00307628159059643</v>
      </c>
      <c r="X143" s="68" t="n">
        <f aca="false">X53*Ratio!X80</f>
        <v>0.00288124527163311</v>
      </c>
      <c r="Y143" s="67" t="n">
        <f aca="false">Y53*Ratio!Y80</f>
        <v>0.00310065488283215</v>
      </c>
      <c r="Z143" s="63" t="n">
        <f aca="false">Z53*Ratio!Z80</f>
        <v>0.002939079793906</v>
      </c>
      <c r="AA143" s="63" t="n">
        <f aca="false">AA53*Ratio!AA80</f>
        <v>0.00291236513337549</v>
      </c>
      <c r="AB143" s="63" t="n">
        <f aca="false">AB53*Ratio!AB80</f>
        <v>0.00267833201714077</v>
      </c>
      <c r="AC143" s="68" t="n">
        <f aca="false">AC53*Ratio!AC80</f>
        <v>0.00247990756959149</v>
      </c>
      <c r="AD143" s="67" t="n">
        <f aca="false">AD53*Ratio!AD80</f>
        <v>0.00260966438490608</v>
      </c>
      <c r="AE143" s="63" t="n">
        <f aca="false">AE53*Ratio!AE80</f>
        <v>0.00282494387726683</v>
      </c>
      <c r="AF143" s="63" t="n">
        <f aca="false">AF53*Ratio!AF80</f>
        <v>0.00249225797137773</v>
      </c>
      <c r="AG143" s="63" t="n">
        <f aca="false">AG53*Ratio!AG80</f>
        <v>0.00151840791974552</v>
      </c>
      <c r="AH143" s="63" t="n">
        <f aca="false">AH53*Ratio!AH80</f>
        <v>0.00345099167992561</v>
      </c>
      <c r="AI143" s="68" t="n">
        <f aca="false">AI53*Ratio!AI80</f>
        <v>0.00345569797437768</v>
      </c>
      <c r="AJ143" s="67" t="n">
        <f aca="false">AJ53*Ratio!AJ80</f>
        <v>0.00376755215962858</v>
      </c>
      <c r="AK143" s="63" t="n">
        <f aca="false">AK53*Ratio!AK80</f>
        <v>0.00430920091112731</v>
      </c>
      <c r="AL143" s="63" t="n">
        <f aca="false">AL53*Ratio!AL80</f>
        <v>0.00426452129745423</v>
      </c>
      <c r="AM143" s="63" t="n">
        <f aca="false">AM53*Ratio!AM80</f>
        <v>0.00462605977353848</v>
      </c>
      <c r="AN143" s="68" t="n">
        <f aca="false">AN53*Ratio!AN80</f>
        <v>0.00387010846565372</v>
      </c>
      <c r="AO143" s="67" t="n">
        <f aca="false">AO53*Ratio!AO80</f>
        <v>0.00424048312424826</v>
      </c>
      <c r="AP143" s="63" t="n">
        <f aca="false">AP53*Ratio!AP80</f>
        <v>0.00419642047211125</v>
      </c>
      <c r="AQ143" s="63" t="n">
        <f aca="false">AQ53*Ratio!AQ80</f>
        <v>0.00410510225784212</v>
      </c>
    </row>
    <row r="144" customFormat="false" ht="12.8" hidden="false" customHeight="false" outlineLevel="0" collapsed="false">
      <c r="A144" s="139" t="s">
        <v>192</v>
      </c>
      <c r="B144" s="65" t="n">
        <f aca="false">B54*Ratio!B81</f>
        <v>0.00164077730572885</v>
      </c>
      <c r="C144" s="65" t="n">
        <f aca="false">C54*Ratio!C81</f>
        <v>0.00168352176385866</v>
      </c>
      <c r="D144" s="63" t="n">
        <f aca="false">D54*Ratio!D81</f>
        <v>0.00165978414818388</v>
      </c>
      <c r="E144" s="63" t="n">
        <f aca="false">E54*Ratio!E81</f>
        <v>0.0017208785162516</v>
      </c>
      <c r="F144" s="63" t="n">
        <f aca="false">F54*Ratio!F81</f>
        <v>0.00179848578920705</v>
      </c>
      <c r="G144" s="63" t="n">
        <f aca="false">G54*Ratio!G81</f>
        <v>0.00192117074817186</v>
      </c>
      <c r="H144" s="63" t="n">
        <f aca="false">H54*Ratio!H81</f>
        <v>0.00182089258743283</v>
      </c>
      <c r="I144" s="68" t="n">
        <f aca="false">I54*Ratio!I81</f>
        <v>0.00198591067064135</v>
      </c>
      <c r="J144" s="67" t="n">
        <f aca="false">J54*Ratio!J81</f>
        <v>0.00217500846417983</v>
      </c>
      <c r="K144" s="65" t="n">
        <f aca="false">K54*Ratio!K81</f>
        <v>0.00219099130282054</v>
      </c>
      <c r="L144" s="63" t="n">
        <f aca="false">L54*Ratio!L81</f>
        <v>0.00223898998743129</v>
      </c>
      <c r="M144" s="63" t="n">
        <f aca="false">M54*Ratio!M81</f>
        <v>0.00224144635596696</v>
      </c>
      <c r="N144" s="63" t="n">
        <f aca="false">N54*Ratio!N81</f>
        <v>0.00226129498796691</v>
      </c>
      <c r="O144" s="63" t="n">
        <f aca="false">O54*Ratio!O81</f>
        <v>0.00231601603801217</v>
      </c>
      <c r="P144" s="68" t="n">
        <f aca="false">P54*Ratio!P81</f>
        <v>0.00209321019135845</v>
      </c>
      <c r="Q144" s="67" t="n">
        <f aca="false">Q54*Ratio!Q81</f>
        <v>0.00217174100771147</v>
      </c>
      <c r="R144" s="63" t="n">
        <f aca="false">R54*Ratio!R81</f>
        <v>0.00232650859250286</v>
      </c>
      <c r="S144" s="63" t="n">
        <f aca="false">S54*Ratio!S81</f>
        <v>0.00224157806837686</v>
      </c>
      <c r="T144" s="63" t="n">
        <f aca="false">T54*Ratio!T81</f>
        <v>0.00232208206677949</v>
      </c>
      <c r="U144" s="63" t="n">
        <f aca="false">U54*Ratio!U81</f>
        <v>0.00285553936197866</v>
      </c>
      <c r="V144" s="63" t="n">
        <f aca="false">V54*Ratio!V81</f>
        <v>0.00319264471125373</v>
      </c>
      <c r="W144" s="63" t="n">
        <f aca="false">W54*Ratio!W81</f>
        <v>0.00331154506938387</v>
      </c>
      <c r="X144" s="68" t="n">
        <f aca="false">X54*Ratio!X81</f>
        <v>0.00310159304080884</v>
      </c>
      <c r="Y144" s="67" t="n">
        <f aca="false">Y54*Ratio!Y81</f>
        <v>0.00324906594711651</v>
      </c>
      <c r="Z144" s="63" t="n">
        <f aca="false">Z54*Ratio!Z81</f>
        <v>0.0036996252872471</v>
      </c>
      <c r="AA144" s="63" t="n">
        <f aca="false">AA54*Ratio!AA81</f>
        <v>0.00360094133366609</v>
      </c>
      <c r="AB144" s="63" t="n">
        <f aca="false">AB54*Ratio!AB81</f>
        <v>0.00452902231719907</v>
      </c>
      <c r="AC144" s="68" t="n">
        <f aca="false">AC54*Ratio!AC81</f>
        <v>0.00493689753249167</v>
      </c>
      <c r="AD144" s="67" t="n">
        <f aca="false">AD54*Ratio!AD81</f>
        <v>0.00416363242220441</v>
      </c>
      <c r="AE144" s="63" t="n">
        <f aca="false">AE54*Ratio!AE81</f>
        <v>0.00426747843956824</v>
      </c>
      <c r="AF144" s="63" t="n">
        <f aca="false">AF54*Ratio!AF81</f>
        <v>0.00438661832172638</v>
      </c>
      <c r="AG144" s="63" t="n">
        <f aca="false">AG54*Ratio!AG81</f>
        <v>0.0043196607436294</v>
      </c>
      <c r="AH144" s="63" t="n">
        <f aca="false">AH54*Ratio!AH81</f>
        <v>0.00259885679072027</v>
      </c>
      <c r="AI144" s="68" t="n">
        <f aca="false">AI54*Ratio!AI81</f>
        <v>0.00392093193019572</v>
      </c>
      <c r="AJ144" s="67" t="n">
        <f aca="false">AJ54*Ratio!AJ81</f>
        <v>0.00409009474616935</v>
      </c>
      <c r="AK144" s="63" t="n">
        <f aca="false">AK54*Ratio!AK81</f>
        <v>0.0044723366824845</v>
      </c>
      <c r="AL144" s="63" t="n">
        <f aca="false">AL54*Ratio!AL81</f>
        <v>0.00461238190970855</v>
      </c>
      <c r="AM144" s="63" t="n">
        <f aca="false">AM54*Ratio!AM81</f>
        <v>0.00507163463873113</v>
      </c>
      <c r="AN144" s="68" t="n">
        <f aca="false">AN54*Ratio!AN81</f>
        <v>0.00487755712726134</v>
      </c>
      <c r="AO144" s="67" t="n">
        <f aca="false">AO54*Ratio!AO81</f>
        <v>0.00403136430322414</v>
      </c>
      <c r="AP144" s="63" t="n">
        <f aca="false">AP54*Ratio!AP81</f>
        <v>0.00340104269808436</v>
      </c>
      <c r="AQ144" s="63" t="n">
        <f aca="false">AQ54*Ratio!AQ81</f>
        <v>0.00328770277202829</v>
      </c>
    </row>
    <row r="145" customFormat="false" ht="12.8" hidden="false" customHeight="false" outlineLevel="0" collapsed="false">
      <c r="A145" s="139" t="s">
        <v>193</v>
      </c>
      <c r="B145" s="65" t="n">
        <f aca="false">B55*Ratio!B82</f>
        <v>0.00178629737899227</v>
      </c>
      <c r="C145" s="65" t="n">
        <f aca="false">C55*Ratio!C82</f>
        <v>0.0018329012719727</v>
      </c>
      <c r="D145" s="63" t="n">
        <f aca="false">D55*Ratio!D82</f>
        <v>0.00180705740888882</v>
      </c>
      <c r="E145" s="63" t="n">
        <f aca="false">E55*Ratio!E82</f>
        <v>0.00187357270280757</v>
      </c>
      <c r="F145" s="63" t="n">
        <f aca="false">F55*Ratio!F82</f>
        <v>0.00195806609776574</v>
      </c>
      <c r="G145" s="63" t="n">
        <f aca="false">G55*Ratio!G82</f>
        <v>0.00216705892007761</v>
      </c>
      <c r="H145" s="63" t="n">
        <f aca="false">H55*Ratio!H82</f>
        <v>0.00217794254993192</v>
      </c>
      <c r="I145" s="68" t="n">
        <f aca="false">I55*Ratio!I82</f>
        <v>0.002292864125523</v>
      </c>
      <c r="J145" s="67" t="n">
        <f aca="false">J55*Ratio!J82</f>
        <v>0.00251118993112427</v>
      </c>
      <c r="K145" s="65" t="n">
        <f aca="false">K55*Ratio!K82</f>
        <v>0.00252836406589728</v>
      </c>
      <c r="L145" s="63" t="n">
        <f aca="false">L55*Ratio!L82</f>
        <v>0.00258405522950949</v>
      </c>
      <c r="M145" s="63" t="n">
        <f aca="false">M55*Ratio!M82</f>
        <v>0.00258689016490261</v>
      </c>
      <c r="N145" s="63" t="n">
        <f aca="false">N55*Ratio!N82</f>
        <v>0.00260979779807917</v>
      </c>
      <c r="O145" s="63" t="n">
        <f aca="false">O55*Ratio!O82</f>
        <v>0.0026729522634084</v>
      </c>
      <c r="P145" s="68" t="n">
        <f aca="false">P55*Ratio!P82</f>
        <v>0.00249110304209852</v>
      </c>
      <c r="Q145" s="67" t="n">
        <f aca="false">Q55*Ratio!Q82</f>
        <v>0.00244079593502715</v>
      </c>
      <c r="R145" s="63" t="n">
        <f aca="false">R55*Ratio!R82</f>
        <v>0.00251879208436137</v>
      </c>
      <c r="S145" s="63" t="n">
        <f aca="false">S55*Ratio!S82</f>
        <v>0.00242684214161085</v>
      </c>
      <c r="T145" s="63" t="n">
        <f aca="false">T55*Ratio!T82</f>
        <v>0.00237994421137523</v>
      </c>
      <c r="U145" s="63" t="n">
        <f aca="false">U55*Ratio!U82</f>
        <v>0.00209076346373241</v>
      </c>
      <c r="V145" s="63" t="n">
        <f aca="false">V55*Ratio!V82</f>
        <v>0.00214527574431767</v>
      </c>
      <c r="W145" s="63" t="n">
        <f aca="false">W55*Ratio!W82</f>
        <v>0.00222517002550347</v>
      </c>
      <c r="X145" s="68" t="n">
        <f aca="false">X55*Ratio!X82</f>
        <v>0.00208409419806026</v>
      </c>
      <c r="Y145" s="67" t="n">
        <f aca="false">Y55*Ratio!Y82</f>
        <v>0.00215772791115949</v>
      </c>
      <c r="Z145" s="63" t="n">
        <f aca="false">Z55*Ratio!Z82</f>
        <v>0.00283874085714598</v>
      </c>
      <c r="AA145" s="63" t="n">
        <f aca="false">AA55*Ratio!AA82</f>
        <v>0.00276302016944802</v>
      </c>
      <c r="AB145" s="63" t="n">
        <f aca="false">AB55*Ratio!AB82</f>
        <v>0.00307459569949807</v>
      </c>
      <c r="AC145" s="68" t="n">
        <f aca="false">AC55*Ratio!AC82</f>
        <v>0.00337335470106359</v>
      </c>
      <c r="AD145" s="67" t="n">
        <f aca="false">AD55*Ratio!AD82</f>
        <v>0.00353550296491792</v>
      </c>
      <c r="AE145" s="63" t="n">
        <f aca="false">AE55*Ratio!AE82</f>
        <v>0.00621175235140792</v>
      </c>
      <c r="AF145" s="63" t="n">
        <f aca="false">AF55*Ratio!AF82</f>
        <v>0.00618086042693822</v>
      </c>
      <c r="AG145" s="63" t="n">
        <f aca="false">AG55*Ratio!AG82</f>
        <v>0.00660873253426937</v>
      </c>
      <c r="AH145" s="63" t="n">
        <f aca="false">AH55*Ratio!AH82</f>
        <v>0.00470277896206809</v>
      </c>
      <c r="AI145" s="68" t="n">
        <f aca="false">AI55*Ratio!AI82</f>
        <v>0.00370301942590983</v>
      </c>
      <c r="AJ145" s="67" t="n">
        <f aca="false">AJ55*Ratio!AJ82</f>
        <v>0.00340901965476198</v>
      </c>
      <c r="AK145" s="63" t="n">
        <f aca="false">AK55*Ratio!AK82</f>
        <v>0.00358096571661089</v>
      </c>
      <c r="AL145" s="63" t="n">
        <f aca="false">AL55*Ratio!AL82</f>
        <v>0.00369309885708495</v>
      </c>
      <c r="AM145" s="63" t="n">
        <f aca="false">AM55*Ratio!AM82</f>
        <v>0.00364214894249869</v>
      </c>
      <c r="AN145" s="68" t="n">
        <f aca="false">AN55*Ratio!AN82</f>
        <v>0.00583133264312814</v>
      </c>
      <c r="AO145" s="67" t="n">
        <f aca="false">AO55*Ratio!AO82</f>
        <v>0.00644742073414487</v>
      </c>
      <c r="AP145" s="63" t="n">
        <f aca="false">AP55*Ratio!AP82</f>
        <v>0.00635254898965177</v>
      </c>
      <c r="AQ145" s="63" t="n">
        <f aca="false">AQ55*Ratio!AQ82</f>
        <v>0.00650195322432404</v>
      </c>
    </row>
    <row r="146" customFormat="false" ht="12.8" hidden="false" customHeight="false" outlineLevel="0" collapsed="false">
      <c r="A146" s="139" t="s">
        <v>194</v>
      </c>
      <c r="B146" s="65" t="n">
        <f aca="false">B56*Ratio!B83</f>
        <v>0.00244287241964433</v>
      </c>
      <c r="C146" s="65" t="n">
        <f aca="false">C56*Ratio!C83</f>
        <v>0.00250660613282605</v>
      </c>
      <c r="D146" s="63" t="n">
        <f aca="false">D56*Ratio!D83</f>
        <v>0.00247126304768963</v>
      </c>
      <c r="E146" s="63" t="n">
        <f aca="false">E56*Ratio!E83</f>
        <v>0.00256222683619966</v>
      </c>
      <c r="F146" s="63" t="n">
        <f aca="false">F56*Ratio!F83</f>
        <v>0.00274643345021827</v>
      </c>
      <c r="G146" s="63" t="n">
        <f aca="false">G56*Ratio!G83</f>
        <v>0.00291543817907913</v>
      </c>
      <c r="H146" s="63" t="n">
        <f aca="false">H56*Ratio!H83</f>
        <v>0.00293008039748411</v>
      </c>
      <c r="I146" s="68" t="n">
        <f aca="false">I56*Ratio!I83</f>
        <v>0.00274227835642533</v>
      </c>
      <c r="J146" s="67" t="n">
        <f aca="false">J56*Ratio!J83</f>
        <v>0.00300339724466861</v>
      </c>
      <c r="K146" s="65" t="n">
        <f aca="false">K56*Ratio!K83</f>
        <v>0.00285035121707891</v>
      </c>
      <c r="L146" s="63" t="n">
        <f aca="false">L56*Ratio!L83</f>
        <v>0.00291313465009938</v>
      </c>
      <c r="M146" s="63" t="n">
        <f aca="false">M56*Ratio!M83</f>
        <v>0.00291633061450067</v>
      </c>
      <c r="N146" s="63" t="n">
        <f aca="false">N56*Ratio!N83</f>
        <v>0.00294215553464801</v>
      </c>
      <c r="O146" s="63" t="n">
        <f aca="false">O56*Ratio!O83</f>
        <v>0.00301335272082193</v>
      </c>
      <c r="P146" s="68" t="n">
        <f aca="false">P56*Ratio!P83</f>
        <v>0.00302394825148366</v>
      </c>
      <c r="Q146" s="67" t="n">
        <f aca="false">Q56*Ratio!Q83</f>
        <v>0.00314331991096386</v>
      </c>
      <c r="R146" s="63" t="n">
        <f aca="false">R56*Ratio!R83</f>
        <v>0.00324376536224574</v>
      </c>
      <c r="S146" s="63" t="n">
        <f aca="false">S56*Ratio!S83</f>
        <v>0.0031253498561758</v>
      </c>
      <c r="T146" s="63" t="n">
        <f aca="false">T56*Ratio!T83</f>
        <v>0.00306495349293334</v>
      </c>
      <c r="U146" s="63" t="n">
        <f aca="false">U56*Ratio!U83</f>
        <v>0.00314438091703443</v>
      </c>
      <c r="V146" s="63" t="n">
        <f aca="false">V56*Ratio!V83</f>
        <v>0.00322636406710838</v>
      </c>
      <c r="W146" s="63" t="n">
        <f aca="false">W56*Ratio!W83</f>
        <v>0.00334652020026194</v>
      </c>
      <c r="X146" s="68" t="n">
        <f aca="false">X56*Ratio!X83</f>
        <v>0.0031343507476375</v>
      </c>
      <c r="Y146" s="67" t="n">
        <f aca="false">Y56*Ratio!Y83</f>
        <v>0.00324509136767219</v>
      </c>
      <c r="Z146" s="63" t="n">
        <f aca="false">Z56*Ratio!Z83</f>
        <v>0.003434401261094</v>
      </c>
      <c r="AA146" s="63" t="n">
        <f aca="false">AA56*Ratio!AA83</f>
        <v>0.00334279190384459</v>
      </c>
      <c r="AB146" s="63" t="n">
        <f aca="false">AB56*Ratio!AB83</f>
        <v>0.00481957069156858</v>
      </c>
      <c r="AC146" s="68" t="n">
        <f aca="false">AC56*Ratio!AC83</f>
        <v>0.00536866782276517</v>
      </c>
      <c r="AD146" s="67" t="n">
        <f aca="false">AD56*Ratio!AD83</f>
        <v>0.00562672552609461</v>
      </c>
      <c r="AE146" s="63" t="n">
        <f aca="false">AE56*Ratio!AE83</f>
        <v>0.00479508849941256</v>
      </c>
      <c r="AF146" s="63" t="n">
        <f aca="false">AF56*Ratio!AF83</f>
        <v>0.00477124184497924</v>
      </c>
      <c r="AG146" s="63" t="n">
        <f aca="false">AG56*Ratio!AG83</f>
        <v>0.00510153263975279</v>
      </c>
      <c r="AH146" s="63" t="n">
        <f aca="false">AH56*Ratio!AH83</f>
        <v>0.00597179735849621</v>
      </c>
      <c r="AI146" s="68" t="n">
        <f aca="false">AI56*Ratio!AI83</f>
        <v>0.00470225834649557</v>
      </c>
      <c r="AJ146" s="67" t="n">
        <f aca="false">AJ56*Ratio!AJ83</f>
        <v>0.00490513033649439</v>
      </c>
      <c r="AK146" s="63" t="n">
        <f aca="false">AK56*Ratio!AK83</f>
        <v>0.00515253807526693</v>
      </c>
      <c r="AL146" s="63" t="n">
        <f aca="false">AL56*Ratio!AL83</f>
        <v>0.00531388289717119</v>
      </c>
      <c r="AM146" s="63" t="n">
        <f aca="false">AM56*Ratio!AM83</f>
        <v>0.00560298972411778</v>
      </c>
      <c r="AN146" s="68" t="n">
        <f aca="false">AN56*Ratio!AN83</f>
        <v>0.00609787955318762</v>
      </c>
      <c r="AO146" s="67" t="n">
        <f aca="false">AO56*Ratio!AO83</f>
        <v>0.00747947223003175</v>
      </c>
      <c r="AP146" s="63" t="n">
        <f aca="false">AP56*Ratio!AP83</f>
        <v>0.00736941417618196</v>
      </c>
      <c r="AQ146" s="63" t="n">
        <f aca="false">AQ56*Ratio!AQ83</f>
        <v>0.00753301069538668</v>
      </c>
    </row>
    <row r="147" customFormat="false" ht="12.8" hidden="false" customHeight="false" outlineLevel="0" collapsed="false">
      <c r="A147" s="139" t="s">
        <v>195</v>
      </c>
      <c r="B147" s="65" t="n">
        <f aca="false">B57*Ratio!B84</f>
        <v>0.00207532614793425</v>
      </c>
      <c r="C147" s="65" t="n">
        <f aca="false">C57*Ratio!C84</f>
        <v>0.0020854940301337</v>
      </c>
      <c r="D147" s="63" t="n">
        <f aca="false">D57*Ratio!D84</f>
        <v>0.00205608861534067</v>
      </c>
      <c r="E147" s="63" t="n">
        <f aca="false">E57*Ratio!E84</f>
        <v>0.00212708823701909</v>
      </c>
      <c r="F147" s="63" t="n">
        <f aca="false">F57*Ratio!F84</f>
        <v>0.00268935855486892</v>
      </c>
      <c r="G147" s="63" t="n">
        <f aca="false">G57*Ratio!G84</f>
        <v>0.00264842177725514</v>
      </c>
      <c r="H147" s="63" t="n">
        <f aca="false">H57*Ratio!H84</f>
        <v>0.00265640748659213</v>
      </c>
      <c r="I147" s="68" t="n">
        <f aca="false">I57*Ratio!I84</f>
        <v>0.00279769454211318</v>
      </c>
      <c r="J147" s="67" t="n">
        <f aca="false">J57*Ratio!J84</f>
        <v>0.0035066739939886</v>
      </c>
      <c r="K147" s="65" t="n">
        <f aca="false">K57*Ratio!K84</f>
        <v>0.00363034050748064</v>
      </c>
      <c r="L147" s="63" t="n">
        <f aca="false">L57*Ratio!L84</f>
        <v>0.00371030442165627</v>
      </c>
      <c r="M147" s="63" t="n">
        <f aca="false">M57*Ratio!M84</f>
        <v>0.00371437495126573</v>
      </c>
      <c r="N147" s="63" t="n">
        <f aca="false">N57*Ratio!N84</f>
        <v>0.0037472667763684</v>
      </c>
      <c r="O147" s="63" t="n">
        <f aca="false">O57*Ratio!O84</f>
        <v>0.0039447987224881</v>
      </c>
      <c r="P147" s="68" t="n">
        <f aca="false">P57*Ratio!P84</f>
        <v>0.0038254604690342</v>
      </c>
      <c r="Q147" s="67" t="n">
        <f aca="false">Q57*Ratio!Q84</f>
        <v>0.00489138940128245</v>
      </c>
      <c r="R147" s="63" t="n">
        <f aca="false">R57*Ratio!R84</f>
        <v>0.00504769478212946</v>
      </c>
      <c r="S147" s="63" t="n">
        <f aca="false">S57*Ratio!S84</f>
        <v>0.00486342580291493</v>
      </c>
      <c r="T147" s="63" t="n">
        <f aca="false">T57*Ratio!T84</f>
        <v>0.0047694416907634</v>
      </c>
      <c r="U147" s="63" t="n">
        <f aca="false">U57*Ratio!U84</f>
        <v>0.00508584160198236</v>
      </c>
      <c r="V147" s="63" t="n">
        <f aca="false">V57*Ratio!V84</f>
        <v>0.00521844427523</v>
      </c>
      <c r="W147" s="63" t="n">
        <f aca="false">W57*Ratio!W84</f>
        <v>0.00541278938698638</v>
      </c>
      <c r="X147" s="68" t="n">
        <f aca="false">X57*Ratio!X84</f>
        <v>0.00506961842351263</v>
      </c>
      <c r="Y147" s="67" t="n">
        <f aca="false">Y57*Ratio!Y84</f>
        <v>0.00524873452530252</v>
      </c>
      <c r="Z147" s="63" t="n">
        <f aca="false">Z57*Ratio!Z84</f>
        <v>0.00685997233774232</v>
      </c>
      <c r="AA147" s="63" t="n">
        <f aca="false">AA57*Ratio!AA84</f>
        <v>0.00667698915993825</v>
      </c>
      <c r="AB147" s="63" t="n">
        <f aca="false">AB57*Ratio!AB84</f>
        <v>0.00742772747588133</v>
      </c>
      <c r="AC147" s="68" t="n">
        <f aca="false">AC57*Ratio!AC84</f>
        <v>0.00772179024520758</v>
      </c>
      <c r="AD147" s="67" t="n">
        <f aca="false">AD57*Ratio!AD84</f>
        <v>0.00809295633744003</v>
      </c>
      <c r="AE147" s="63" t="n">
        <f aca="false">AE57*Ratio!AE84</f>
        <v>0.0095312817250019</v>
      </c>
      <c r="AF147" s="63" t="n">
        <f aca="false">AF57*Ratio!AF84</f>
        <v>0.00948388131067575</v>
      </c>
      <c r="AG147" s="63" t="n">
        <f aca="false">AG57*Ratio!AG84</f>
        <v>0.0101404061311347</v>
      </c>
      <c r="AH147" s="63" t="n">
        <f aca="false">AH57*Ratio!AH84</f>
        <v>0.0113020984539542</v>
      </c>
      <c r="AI147" s="68" t="n">
        <f aca="false">AI57*Ratio!AI84</f>
        <v>0.00890192395861262</v>
      </c>
      <c r="AJ147" s="67" t="n">
        <f aca="false">AJ57*Ratio!AJ84</f>
        <v>0.00799437605557062</v>
      </c>
      <c r="AK147" s="63" t="n">
        <f aca="false">AK57*Ratio!AK84</f>
        <v>0.00701259209045823</v>
      </c>
      <c r="AL147" s="63" t="n">
        <f aca="false">AL57*Ratio!AL84</f>
        <v>0.00622563156477062</v>
      </c>
      <c r="AM147" s="63" t="n">
        <f aca="false">AM57*Ratio!AM84</f>
        <v>0.00618138037062922</v>
      </c>
      <c r="AN147" s="68" t="n">
        <f aca="false">AN57*Ratio!AN84</f>
        <v>0.00636394607559338</v>
      </c>
      <c r="AO147" s="67" t="n">
        <f aca="false">AO57*Ratio!AO84</f>
        <v>0.0050464216200086</v>
      </c>
      <c r="AP147" s="63" t="n">
        <f aca="false">AP57*Ratio!AP84</f>
        <v>0.00472026691286595</v>
      </c>
      <c r="AQ147" s="63" t="n">
        <f aca="false">AQ57*Ratio!AQ84</f>
        <v>0.00439205414726292</v>
      </c>
    </row>
    <row r="148" customFormat="false" ht="12.8" hidden="false" customHeight="false" outlineLevel="0" collapsed="false">
      <c r="A148" s="139" t="s">
        <v>196</v>
      </c>
      <c r="B148" s="65" t="n">
        <f aca="false">B58*Ratio!B85</f>
        <v>0.000489721888943958</v>
      </c>
      <c r="C148" s="65" t="n">
        <f aca="false">C58*Ratio!C85</f>
        <v>0.000506975146814526</v>
      </c>
      <c r="D148" s="63" t="n">
        <f aca="false">D58*Ratio!D85</f>
        <v>0.000499826809650078</v>
      </c>
      <c r="E148" s="63" t="n">
        <f aca="false">E58*Ratio!E85</f>
        <v>0.000676375003403087</v>
      </c>
      <c r="F148" s="63" t="n">
        <f aca="false">F58*Ratio!F85</f>
        <v>0.000706877807066234</v>
      </c>
      <c r="G148" s="63" t="n">
        <f aca="false">G58*Ratio!G85</f>
        <v>0.00075037629129548</v>
      </c>
      <c r="H148" s="63" t="n">
        <f aca="false">H58*Ratio!H85</f>
        <v>0.000749147828380752</v>
      </c>
      <c r="I148" s="68" t="n">
        <f aca="false">I58*Ratio!I85</f>
        <v>0.000786927751928544</v>
      </c>
      <c r="J148" s="67" t="n">
        <f aca="false">J58*Ratio!J85</f>
        <v>0.000861858766582805</v>
      </c>
      <c r="K148" s="65" t="n">
        <f aca="false">K58*Ratio!K85</f>
        <v>0.000867753055353691</v>
      </c>
      <c r="L148" s="63" t="n">
        <f aca="false">L58*Ratio!L85</f>
        <v>0.000886866670371611</v>
      </c>
      <c r="M148" s="63" t="n">
        <f aca="false">M58*Ratio!M85</f>
        <v>0.000887839640950607</v>
      </c>
      <c r="N148" s="63" t="n">
        <f aca="false">N58*Ratio!N85</f>
        <v>0.00089570170834351</v>
      </c>
      <c r="O148" s="63" t="n">
        <f aca="false">O58*Ratio!O85</f>
        <v>0.000917376783143</v>
      </c>
      <c r="P148" s="68" t="n">
        <f aca="false">P58*Ratio!P85</f>
        <v>0.000943498591826623</v>
      </c>
      <c r="Q148" s="67" t="n">
        <f aca="false">Q58*Ratio!Q85</f>
        <v>0.000880765953812939</v>
      </c>
      <c r="R148" s="63" t="n">
        <f aca="false">R58*Ratio!R85</f>
        <v>0.000950818110563034</v>
      </c>
      <c r="S148" s="63" t="n">
        <f aca="false">S58*Ratio!S85</f>
        <v>0.000916107952715848</v>
      </c>
      <c r="T148" s="63" t="n">
        <f aca="false">T58*Ratio!T85</f>
        <v>0.000950475255789577</v>
      </c>
      <c r="U148" s="63" t="n">
        <f aca="false">U58*Ratio!U85</f>
        <v>0.000886070684921452</v>
      </c>
      <c r="V148" s="63" t="n">
        <f aca="false">V58*Ratio!V85</f>
        <v>0.000909173123161204</v>
      </c>
      <c r="W148" s="63" t="n">
        <f aca="false">W58*Ratio!W85</f>
        <v>0.000943032515521751</v>
      </c>
      <c r="X148" s="68" t="n">
        <f aca="false">X58*Ratio!X85</f>
        <v>0.000883244233768773</v>
      </c>
      <c r="Y148" s="67" t="n">
        <f aca="false">Y58*Ratio!Y85</f>
        <v>0.00091445038201601</v>
      </c>
      <c r="Z148" s="63" t="n">
        <f aca="false">Z58*Ratio!Z85</f>
        <v>0.000968872882874088</v>
      </c>
      <c r="AA148" s="63" t="n">
        <f aca="false">AA58*Ratio!AA85</f>
        <v>0.000943029128662268</v>
      </c>
      <c r="AB148" s="63" t="n">
        <f aca="false">AB58*Ratio!AB85</f>
        <v>0.00108403922203071</v>
      </c>
      <c r="AC148" s="68" t="n">
        <f aca="false">AC58*Ratio!AC85</f>
        <v>0.00144237618861327</v>
      </c>
      <c r="AD148" s="67" t="n">
        <f aca="false">AD58*Ratio!AD85</f>
        <v>0.00083206535831096</v>
      </c>
      <c r="AE148" s="63" t="n">
        <f aca="false">AE58*Ratio!AE85</f>
        <v>0.000665067449188003</v>
      </c>
      <c r="AF148" s="63" t="n">
        <f aca="false">AF58*Ratio!AF85</f>
        <v>0.000589195230135328</v>
      </c>
      <c r="AG148" s="63" t="n">
        <f aca="false">AG58*Ratio!AG85</f>
        <v>0.000629982464813646</v>
      </c>
      <c r="AH148" s="63" t="n">
        <f aca="false">AH58*Ratio!AH85</f>
        <v>0.000956093449817815</v>
      </c>
      <c r="AI148" s="68" t="n">
        <f aca="false">AI58*Ratio!AI85</f>
        <v>0.000752838406018465</v>
      </c>
      <c r="AJ148" s="67" t="n">
        <f aca="false">AJ58*Ratio!AJ85</f>
        <v>0.000201782968086962</v>
      </c>
      <c r="AK148" s="63" t="n">
        <f aca="false">AK58*Ratio!AK85</f>
        <v>0.000265431400783837</v>
      </c>
      <c r="AL148" s="63" t="n">
        <f aca="false">AL58*Ratio!AL85</f>
        <v>0.000346596443316203</v>
      </c>
      <c r="AM148" s="63" t="n">
        <f aca="false">AM58*Ratio!AM85</f>
        <v>0.000589053628077001</v>
      </c>
      <c r="AN148" s="68" t="n">
        <f aca="false">AN58*Ratio!AN85</f>
        <v>0.000576246867350773</v>
      </c>
      <c r="AO148" s="67" t="n">
        <f aca="false">AO58*Ratio!AO85</f>
        <v>0.000596686063959247</v>
      </c>
      <c r="AP148" s="63" t="n">
        <f aca="false">AP58*Ratio!AP85</f>
        <v>0.000866514281303977</v>
      </c>
      <c r="AQ148" s="63" t="n">
        <f aca="false">AQ58*Ratio!AQ85</f>
        <v>0.000885750372107596</v>
      </c>
    </row>
    <row r="149" customFormat="false" ht="12.8" hidden="false" customHeight="false" outlineLevel="0" collapsed="false">
      <c r="A149" s="139" t="s">
        <v>197</v>
      </c>
      <c r="B149" s="65" t="n">
        <f aca="false">B59*Ratio!B86</f>
        <v>0.00343958891639272</v>
      </c>
      <c r="C149" s="65" t="n">
        <f aca="false">C59*Ratio!C86</f>
        <v>0.00293099251115175</v>
      </c>
      <c r="D149" s="63" t="n">
        <f aca="false">D59*Ratio!D86</f>
        <v>0.00288966558846563</v>
      </c>
      <c r="E149" s="63" t="n">
        <f aca="false">E59*Ratio!E86</f>
        <v>0.0029960301981334</v>
      </c>
      <c r="F149" s="63" t="n">
        <f aca="false">F59*Ratio!F86</f>
        <v>0.00356254559576522</v>
      </c>
      <c r="G149" s="63" t="n">
        <f aca="false">G59*Ratio!G86</f>
        <v>0.00235723631201071</v>
      </c>
      <c r="H149" s="63" t="n">
        <f aca="false">H59*Ratio!H86</f>
        <v>0.00236907507064407</v>
      </c>
      <c r="I149" s="68" t="n">
        <f aca="false">I59*Ratio!I86</f>
        <v>0.00249408196755256</v>
      </c>
      <c r="J149" s="67" t="n">
        <f aca="false">J59*Ratio!J86</f>
        <v>0.00189692199527717</v>
      </c>
      <c r="K149" s="65" t="n">
        <f aca="false">K59*Ratio!K86</f>
        <v>0.00190989512550399</v>
      </c>
      <c r="L149" s="63" t="n">
        <f aca="false">L59*Ratio!L86</f>
        <v>0.00146050792397664</v>
      </c>
      <c r="M149" s="63" t="n">
        <f aca="false">M59*Ratio!M86</f>
        <v>0.00146211022936018</v>
      </c>
      <c r="N149" s="63" t="n">
        <f aca="false">N59*Ratio!N86</f>
        <v>0.00147505762281827</v>
      </c>
      <c r="O149" s="63" t="n">
        <f aca="false">O59*Ratio!O86</f>
        <v>0.00105253248544087</v>
      </c>
      <c r="P149" s="68" t="n">
        <f aca="false">P59*Ratio!P86</f>
        <v>0.000901519149592898</v>
      </c>
      <c r="Q149" s="67" t="n">
        <f aca="false">Q59*Ratio!Q86</f>
        <v>0.00126845002650472</v>
      </c>
      <c r="R149" s="63" t="n">
        <f aca="false">R59*Ratio!R86</f>
        <v>0.00123222738319239</v>
      </c>
      <c r="S149" s="63" t="n">
        <f aca="false">S59*Ratio!S86</f>
        <v>0.0011872442192212</v>
      </c>
      <c r="T149" s="63" t="n">
        <f aca="false">T59*Ratio!T86</f>
        <v>0.00113590459389167</v>
      </c>
      <c r="U149" s="63" t="n">
        <f aca="false">U59*Ratio!U86</f>
        <v>0.00106648575386171</v>
      </c>
      <c r="V149" s="63" t="n">
        <f aca="false">V59*Ratio!V86</f>
        <v>0.00106568443085018</v>
      </c>
      <c r="W149" s="63" t="n">
        <f aca="false">W59*Ratio!W86</f>
        <v>0.00110537261163496</v>
      </c>
      <c r="X149" s="68" t="n">
        <f aca="false">X59*Ratio!X86</f>
        <v>0.00098619427818425</v>
      </c>
      <c r="Y149" s="67" t="n">
        <f aca="false">Y59*Ratio!Y86</f>
        <v>0.000933718000208405</v>
      </c>
      <c r="Z149" s="63" t="n">
        <f aca="false">Z59*Ratio!Z86</f>
        <v>0.000988188594431543</v>
      </c>
      <c r="AA149" s="63" t="n">
        <f aca="false">AA59*Ratio!AA86</f>
        <v>0.000834444113152808</v>
      </c>
      <c r="AB149" s="63" t="n">
        <f aca="false">AB59*Ratio!AB86</f>
        <v>0.000954352779835316</v>
      </c>
      <c r="AC149" s="68" t="n">
        <f aca="false">AC59*Ratio!AC86</f>
        <v>0.00151115551761491</v>
      </c>
      <c r="AD149" s="67" t="n">
        <f aca="false">AD59*Ratio!AD86</f>
        <v>0.00129812161090655</v>
      </c>
      <c r="AE149" s="63" t="n">
        <f aca="false">AE59*Ratio!AE86</f>
        <v>0.00110217799365086</v>
      </c>
      <c r="AF149" s="63" t="n">
        <f aca="false">AF59*Ratio!AF86</f>
        <v>0.0010966967063416</v>
      </c>
      <c r="AG149" s="63" t="n">
        <f aca="false">AG59*Ratio!AG86</f>
        <v>0.00117261589856287</v>
      </c>
      <c r="AH149" s="63" t="n">
        <f aca="false">AH59*Ratio!AH86</f>
        <v>0.00161237743124973</v>
      </c>
      <c r="AI149" s="68" t="n">
        <f aca="false">AI59*Ratio!AI86</f>
        <v>0.00126960356801262</v>
      </c>
      <c r="AJ149" s="67" t="n">
        <f aca="false">AJ59*Ratio!AJ86</f>
        <v>0.00132437873844627</v>
      </c>
      <c r="AK149" s="63" t="n">
        <f aca="false">AK59*Ratio!AK86</f>
        <v>0.00139117850246469</v>
      </c>
      <c r="AL149" s="63" t="n">
        <f aca="false">AL59*Ratio!AL86</f>
        <v>0.00151853674511778</v>
      </c>
      <c r="AM149" s="63" t="n">
        <f aca="false">AM59*Ratio!AM86</f>
        <v>0.00160115417355538</v>
      </c>
      <c r="AN149" s="68" t="n">
        <f aca="false">AN59*Ratio!AN86</f>
        <v>0.00160655051515381</v>
      </c>
      <c r="AO149" s="67" t="n">
        <f aca="false">AO59*Ratio!AO86</f>
        <v>0.00151762153066875</v>
      </c>
      <c r="AP149" s="63" t="n">
        <f aca="false">AP59*Ratio!AP86</f>
        <v>0.00107649910634082</v>
      </c>
      <c r="AQ149" s="63" t="n">
        <f aca="false">AQ59*Ratio!AQ86</f>
        <v>0.00115610431732942</v>
      </c>
    </row>
    <row r="150" customFormat="false" ht="12.8" hidden="false" customHeight="false" outlineLevel="0" collapsed="false">
      <c r="A150" s="139" t="s">
        <v>198</v>
      </c>
      <c r="B150" s="65" t="n">
        <f aca="false">B60*Ratio!B87</f>
        <v>0.00187739113930069</v>
      </c>
      <c r="C150" s="65" t="n">
        <f aca="false">C60*Ratio!C87</f>
        <v>0.00192637163760257</v>
      </c>
      <c r="D150" s="63" t="n">
        <f aca="false">D60*Ratio!D87</f>
        <v>0.00189920984465052</v>
      </c>
      <c r="E150" s="63" t="n">
        <f aca="false">E60*Ratio!E87</f>
        <v>0.00196911714278556</v>
      </c>
      <c r="F150" s="63" t="n">
        <f aca="false">F60*Ratio!F87</f>
        <v>0.0020579193505755</v>
      </c>
      <c r="G150" s="63" t="n">
        <f aca="false">G60*Ratio!G87</f>
        <v>0.00229602541629296</v>
      </c>
      <c r="H150" s="63" t="n">
        <f aca="false">H60*Ratio!H87</f>
        <v>0.00230755675516681</v>
      </c>
      <c r="I150" s="68" t="n">
        <f aca="false">I60*Ratio!I87</f>
        <v>0.00242931756932507</v>
      </c>
      <c r="J150" s="67" t="n">
        <f aca="false">J60*Ratio!J87</f>
        <v>0.00130371185031229</v>
      </c>
      <c r="K150" s="65" t="n">
        <f aca="false">K60*Ratio!K87</f>
        <v>0.0026788326349401</v>
      </c>
      <c r="L150" s="63" t="n">
        <f aca="false">L60*Ratio!L87</f>
        <v>0.00273783810356483</v>
      </c>
      <c r="M150" s="63" t="n">
        <f aca="false">M60*Ratio!M87</f>
        <v>0.00274084175226854</v>
      </c>
      <c r="N150" s="63" t="n">
        <f aca="false">N60*Ratio!N87</f>
        <v>0.00276511266964563</v>
      </c>
      <c r="O150" s="63" t="n">
        <f aca="false">O60*Ratio!O87</f>
        <v>0.00283202559767211</v>
      </c>
      <c r="P150" s="68" t="n">
        <f aca="false">P60*Ratio!P87</f>
        <v>0.00277103007650995</v>
      </c>
      <c r="Q150" s="67" t="n">
        <f aca="false">Q60*Ratio!Q87</f>
        <v>0.00288041768211472</v>
      </c>
      <c r="R150" s="63" t="n">
        <f aca="false">R60*Ratio!R87</f>
        <v>0.00297246203717739</v>
      </c>
      <c r="S150" s="63" t="n">
        <f aca="false">S60*Ratio!S87</f>
        <v>0.00286395061384733</v>
      </c>
      <c r="T150" s="63" t="n">
        <f aca="false">T60*Ratio!T87</f>
        <v>0.00294394101435834</v>
      </c>
      <c r="U150" s="63" t="n">
        <f aca="false">U60*Ratio!U87</f>
        <v>0.00307275417907515</v>
      </c>
      <c r="V150" s="63" t="n">
        <f aca="false">V60*Ratio!V87</f>
        <v>0.00315286981189774</v>
      </c>
      <c r="W150" s="63" t="n">
        <f aca="false">W60*Ratio!W87</f>
        <v>0.0032702888746738</v>
      </c>
      <c r="X150" s="68" t="n">
        <f aca="false">X60*Ratio!X87</f>
        <v>0.00306295248973011</v>
      </c>
      <c r="Y150" s="67" t="n">
        <f aca="false">Y60*Ratio!Y87</f>
        <v>0.00274411726815431</v>
      </c>
      <c r="Z150" s="63" t="n">
        <f aca="false">Z60*Ratio!Z87</f>
        <v>0.00290420168141503</v>
      </c>
      <c r="AA150" s="63" t="n">
        <f aca="false">AA60*Ratio!AA87</f>
        <v>0.00282956233063276</v>
      </c>
      <c r="AB150" s="63" t="n">
        <f aca="false">AB60*Ratio!AB87</f>
        <v>0.00314864157324021</v>
      </c>
      <c r="AC150" s="68" t="n">
        <f aca="false">AC60*Ratio!AC87</f>
        <v>0.00328646764224344</v>
      </c>
      <c r="AD150" s="67" t="n">
        <f aca="false">AD60*Ratio!AD87</f>
        <v>0.00310550034885845</v>
      </c>
      <c r="AE150" s="63" t="n">
        <f aca="false">AE60*Ratio!AE87</f>
        <v>0.00285989942217245</v>
      </c>
      <c r="AF150" s="63" t="n">
        <f aca="false">AF60*Ratio!AF87</f>
        <v>0.00284567673718072</v>
      </c>
      <c r="AG150" s="63" t="n">
        <f aca="false">AG60*Ratio!AG87</f>
        <v>0.00304266965049973</v>
      </c>
      <c r="AH150" s="63" t="n">
        <f aca="false">AH60*Ratio!AH87</f>
        <v>0.00304323363436636</v>
      </c>
      <c r="AI150" s="68" t="n">
        <f aca="false">AI60*Ratio!AI87</f>
        <v>0.00239627534199163</v>
      </c>
      <c r="AJ150" s="67" t="n">
        <f aca="false">AJ60*Ratio!AJ87</f>
        <v>0.0024996591017498</v>
      </c>
      <c r="AK150" s="63" t="n">
        <f aca="false">AK60*Ratio!AK87</f>
        <v>0.00262573832159539</v>
      </c>
      <c r="AL150" s="63" t="n">
        <f aca="false">AL60*Ratio!AL87</f>
        <v>0.00270795979685213</v>
      </c>
      <c r="AM150" s="63" t="n">
        <f aca="false">AM60*Ratio!AM87</f>
        <v>0.00285528891183576</v>
      </c>
      <c r="AN150" s="68" t="n">
        <f aca="false">AN60*Ratio!AN87</f>
        <v>0.00260467017573767</v>
      </c>
      <c r="AO150" s="67" t="n">
        <f aca="false">AO60*Ratio!AO87</f>
        <v>0.00269705656226483</v>
      </c>
      <c r="AP150" s="63" t="n">
        <f aca="false">AP60*Ratio!AP87</f>
        <v>0.00236767715075484</v>
      </c>
      <c r="AQ150" s="63" t="n">
        <f aca="false">AQ60*Ratio!AQ87</f>
        <v>0.00242023814559157</v>
      </c>
    </row>
    <row r="151" customFormat="false" ht="12.8" hidden="false" customHeight="false" outlineLevel="0" collapsed="false">
      <c r="A151" s="139" t="s">
        <v>28</v>
      </c>
      <c r="B151" s="65" t="n">
        <f aca="false">B61*Ratio!B88</f>
        <v>0.000850065956690265</v>
      </c>
      <c r="C151" s="65" t="n">
        <f aca="false">C61*Ratio!C88</f>
        <v>0.000872243889288617</v>
      </c>
      <c r="D151" s="63" t="n">
        <f aca="false">D61*Ratio!D88</f>
        <v>0.000859945271793378</v>
      </c>
      <c r="E151" s="63" t="n">
        <f aca="false">E61*Ratio!E88</f>
        <v>0.000891598672635</v>
      </c>
      <c r="F151" s="63" t="n">
        <f aca="false">F61*Ratio!F88</f>
        <v>0.000931807519976895</v>
      </c>
      <c r="G151" s="63" t="n">
        <f aca="false">G61*Ratio!G88</f>
        <v>0.00104892324236257</v>
      </c>
      <c r="H151" s="63" t="n">
        <f aca="false">H61*Ratio!H88</f>
        <v>0.00101441406051155</v>
      </c>
      <c r="I151" s="68" t="n">
        <f aca="false">I61*Ratio!I88</f>
        <v>0.00100663658541128</v>
      </c>
      <c r="J151" s="67" t="n">
        <f aca="false">J61*Ratio!J88</f>
        <v>0.00110248820653929</v>
      </c>
      <c r="K151" s="65" t="n">
        <f aca="false">K61*Ratio!K88</f>
        <v>0.00111002817028718</v>
      </c>
      <c r="L151" s="63" t="n">
        <f aca="false">L61*Ratio!L88</f>
        <v>0.00113447827273859</v>
      </c>
      <c r="M151" s="63" t="n">
        <f aca="false">M61*Ratio!M88</f>
        <v>0.00113572289497862</v>
      </c>
      <c r="N151" s="63" t="n">
        <f aca="false">N61*Ratio!N88</f>
        <v>0.000484092065907902</v>
      </c>
      <c r="O151" s="63" t="n">
        <f aca="false">O61*Ratio!O88</f>
        <v>0.000495806603951821</v>
      </c>
      <c r="P151" s="68" t="n">
        <f aca="false">P61*Ratio!P88</f>
        <v>0.00122856471544209</v>
      </c>
      <c r="Q151" s="67" t="n">
        <f aca="false">Q61*Ratio!Q88</f>
        <v>0.00127706283666133</v>
      </c>
      <c r="R151" s="63" t="n">
        <f aca="false">R61*Ratio!R88</f>
        <v>0.0013178716491835</v>
      </c>
      <c r="S151" s="63" t="n">
        <f aca="false">S61*Ratio!S88</f>
        <v>0.00126976199239709</v>
      </c>
      <c r="T151" s="63" t="n">
        <f aca="false">T61*Ratio!T88</f>
        <v>0.00124522425740632</v>
      </c>
      <c r="U151" s="63" t="n">
        <f aca="false">U61*Ratio!U88</f>
        <v>0.00113269937131642</v>
      </c>
      <c r="V151" s="63" t="n">
        <f aca="false">V61*Ratio!V88</f>
        <v>0.00116223213627</v>
      </c>
      <c r="W151" s="63" t="n">
        <f aca="false">W61*Ratio!W88</f>
        <v>0.00120551594318587</v>
      </c>
      <c r="X151" s="68" t="n">
        <f aca="false">X61*Ratio!X88</f>
        <v>0.00112908620647734</v>
      </c>
      <c r="Y151" s="67" t="n">
        <f aca="false">Y61*Ratio!Y88</f>
        <v>0.00116897826599626</v>
      </c>
      <c r="Z151" s="63" t="n">
        <f aca="false">Z61*Ratio!Z88</f>
        <v>0.000815096684937855</v>
      </c>
      <c r="AA151" s="63" t="n">
        <f aca="false">AA61*Ratio!AA88</f>
        <v>0.000793354763209264</v>
      </c>
      <c r="AB151" s="63" t="n">
        <f aca="false">AB61*Ratio!AB88</f>
        <v>0.000882818435461083</v>
      </c>
      <c r="AC151" s="68" t="n">
        <f aca="false">AC61*Ratio!AC88</f>
        <v>0.000797814200962691</v>
      </c>
      <c r="AD151" s="67" t="n">
        <f aca="false">AD61*Ratio!AD88</f>
        <v>0.000836163025509261</v>
      </c>
      <c r="AE151" s="63" t="n">
        <f aca="false">AE61*Ratio!AE88</f>
        <v>0.00116117017946231</v>
      </c>
      <c r="AF151" s="63" t="n">
        <f aca="false">AF61*Ratio!AF88</f>
        <v>0.00122796845111651</v>
      </c>
      <c r="AG151" s="63" t="n">
        <f aca="false">AG61*Ratio!AG88</f>
        <v>0.00149387374738435</v>
      </c>
      <c r="AH151" s="63" t="n">
        <f aca="false">AH61*Ratio!AH88</f>
        <v>0.00180583066883697</v>
      </c>
      <c r="AI151" s="68" t="n">
        <f aca="false">AI61*Ratio!AI88</f>
        <v>0.00142193075637694</v>
      </c>
      <c r="AJ151" s="67" t="n">
        <f aca="false">AJ61*Ratio!AJ88</f>
        <v>0.00116923597444475</v>
      </c>
      <c r="AK151" s="63" t="n">
        <f aca="false">AK61*Ratio!AK88</f>
        <v>0.00131591288373229</v>
      </c>
      <c r="AL151" s="63" t="n">
        <f aca="false">AL61*Ratio!AL88</f>
        <v>0.00136633533236567</v>
      </c>
      <c r="AM151" s="63" t="n">
        <f aca="false">AM61*Ratio!AM88</f>
        <v>0.00233703073353083</v>
      </c>
      <c r="AN151" s="68" t="n">
        <f aca="false">AN61*Ratio!AN88</f>
        <v>0.00261764726198505</v>
      </c>
      <c r="AO151" s="67" t="n">
        <f aca="false">AO61*Ratio!AO88</f>
        <v>0.00232142276719109</v>
      </c>
      <c r="AP151" s="63" t="n">
        <f aca="false">AP61*Ratio!AP88</f>
        <v>0.00216195842444632</v>
      </c>
      <c r="AQ151" s="63" t="n">
        <f aca="false">AQ61*Ratio!AQ88</f>
        <v>0.00167821093505817</v>
      </c>
    </row>
    <row r="152" customFormat="false" ht="12.8" hidden="false" customHeight="false" outlineLevel="0" collapsed="false">
      <c r="A152" s="139" t="s">
        <v>199</v>
      </c>
      <c r="B152" s="65" t="n">
        <f aca="false">B62*Ratio!B89</f>
        <v>0.000247255172161201</v>
      </c>
      <c r="C152" s="65" t="n">
        <f aca="false">C62*Ratio!C89</f>
        <v>0.000253705975771941</v>
      </c>
      <c r="D152" s="63" t="n">
        <f aca="false">D62*Ratio!D89</f>
        <v>0.000250128727721719</v>
      </c>
      <c r="E152" s="63" t="n">
        <f aca="false">E62*Ratio!E89</f>
        <v>0.000193521711953648</v>
      </c>
      <c r="F152" s="63" t="n">
        <f aca="false">F62*Ratio!F89</f>
        <v>0.000202249052193276</v>
      </c>
      <c r="G152" s="63" t="n">
        <f aca="false">G62*Ratio!G89</f>
        <v>0.000226174617615496</v>
      </c>
      <c r="H152" s="63" t="n">
        <f aca="false">H62*Ratio!H89</f>
        <v>0.000227310535424542</v>
      </c>
      <c r="I152" s="68" t="n">
        <f aca="false">I62*Ratio!I89</f>
        <v>0.000239304830168569</v>
      </c>
      <c r="J152" s="67" t="n">
        <f aca="false">J62*Ratio!J89</f>
        <v>0.00026209136132375</v>
      </c>
      <c r="K152" s="65" t="n">
        <f aca="false">K62*Ratio!K89</f>
        <v>0.000263883815294047</v>
      </c>
      <c r="L152" s="63" t="n">
        <f aca="false">L62*Ratio!L89</f>
        <v>0.000269696268069491</v>
      </c>
      <c r="M152" s="63" t="n">
        <f aca="false">M62*Ratio!M89</f>
        <v>0.000269992148547203</v>
      </c>
      <c r="N152" s="63" t="n">
        <f aca="false">N62*Ratio!N89</f>
        <v>0.000272383004248532</v>
      </c>
      <c r="O152" s="63" t="n">
        <f aca="false">O62*Ratio!O89</f>
        <v>0.00027897439727168</v>
      </c>
      <c r="P152" s="68" t="n">
        <f aca="false">P62*Ratio!P89</f>
        <v>0.000294276058098766</v>
      </c>
      <c r="Q152" s="67" t="n">
        <f aca="false">Q62*Ratio!Q89</f>
        <v>0.000305892732221184</v>
      </c>
      <c r="R152" s="63" t="n">
        <f aca="false">R62*Ratio!R89</f>
        <v>0.000315667599050561</v>
      </c>
      <c r="S152" s="63" t="n">
        <f aca="false">S62*Ratio!S89</f>
        <v>0.000304143973166112</v>
      </c>
      <c r="T152" s="63" t="n">
        <f aca="false">T62*Ratio!T89</f>
        <v>0.000298266490411646</v>
      </c>
      <c r="U152" s="63" t="n">
        <f aca="false">U62*Ratio!U89</f>
        <v>0.000300082345931707</v>
      </c>
      <c r="V152" s="63" t="n">
        <f aca="false">V62*Ratio!V89</f>
        <v>0.000307906364919924</v>
      </c>
      <c r="W152" s="63" t="n">
        <f aca="false">W62*Ratio!W89</f>
        <v>0.000319373402555048</v>
      </c>
      <c r="X152" s="68" t="n">
        <f aca="false">X62*Ratio!X89</f>
        <v>0.000299125121968664</v>
      </c>
      <c r="Y152" s="67" t="n">
        <f aca="false">Y62*Ratio!Y89</f>
        <v>0.000309693595040712</v>
      </c>
      <c r="Z152" s="63" t="n">
        <f aca="false">Z62*Ratio!Z89</f>
        <v>0.000205071715980987</v>
      </c>
      <c r="AA152" s="63" t="n">
        <f aca="false">AA62*Ratio!AA89</f>
        <v>0.000199601624788129</v>
      </c>
      <c r="AB152" s="63" t="n">
        <f aca="false">AB62*Ratio!AB89</f>
        <v>0.000222109959229509</v>
      </c>
      <c r="AC152" s="68" t="n">
        <f aca="false">AC62*Ratio!AC89</f>
        <v>0.000256487634972446</v>
      </c>
      <c r="AD152" s="67" t="n">
        <f aca="false">AD62*Ratio!AD89</f>
        <v>0.000268816319144844</v>
      </c>
      <c r="AE152" s="63" t="n">
        <f aca="false">AE62*Ratio!AE89</f>
        <v>0.000185774930993834</v>
      </c>
      <c r="AF152" s="63" t="n">
        <f aca="false">AF62*Ratio!AF89</f>
        <v>0.000184851045943052</v>
      </c>
      <c r="AG152" s="63" t="n">
        <f aca="false">AG62*Ratio!AG89</f>
        <v>0.000200801961861908</v>
      </c>
      <c r="AH152" s="63" t="n">
        <f aca="false">AH62*Ratio!AH89</f>
        <v>0.000224362743716601</v>
      </c>
      <c r="AI152" s="68" t="n">
        <f aca="false">AI62*Ratio!AI89</f>
        <v>0.000176665670475748</v>
      </c>
      <c r="AJ152" s="67" t="n">
        <f aca="false">AJ62*Ratio!AJ89</f>
        <v>0.000184287649850956</v>
      </c>
      <c r="AK152" s="63" t="n">
        <f aca="false">AK62*Ratio!AK89</f>
        <v>0.000193582854586722</v>
      </c>
      <c r="AL152" s="63" t="n">
        <f aca="false">AL62*Ratio!AL89</f>
        <v>0.000199644642144768</v>
      </c>
      <c r="AM152" s="63" t="n">
        <f aca="false">AM62*Ratio!AM89</f>
        <v>0.000210506497801785</v>
      </c>
      <c r="AN152" s="68" t="n">
        <f aca="false">AN62*Ratio!AN89</f>
        <v>0.000228609482891706</v>
      </c>
      <c r="AO152" s="67" t="n">
        <f aca="false">AO62*Ratio!AO89</f>
        <v>0.000236718150256557</v>
      </c>
      <c r="AP152" s="63" t="n">
        <f aca="false">AP62*Ratio!AP89</f>
        <v>0.000233234918000737</v>
      </c>
      <c r="AQ152" s="63" t="n">
        <f aca="false">AQ62*Ratio!AQ89</f>
        <v>0.000238412591534848</v>
      </c>
    </row>
    <row r="153" customFormat="false" ht="12.8" hidden="false" customHeight="false" outlineLevel="0" collapsed="false">
      <c r="A153" s="139" t="s">
        <v>200</v>
      </c>
      <c r="B153" s="65" t="n">
        <f aca="false">B63*Ratio!B90</f>
        <v>0.000127127103640518</v>
      </c>
      <c r="C153" s="65" t="n">
        <f aca="false">C63*Ratio!C90</f>
        <v>0.000130443806672528</v>
      </c>
      <c r="D153" s="63" t="n">
        <f aca="false">D63*Ratio!D90</f>
        <v>0.000128604552190394</v>
      </c>
      <c r="E153" s="63" t="n">
        <f aca="false">E63*Ratio!E90</f>
        <v>0.000133338308597997</v>
      </c>
      <c r="F153" s="63" t="n">
        <f aca="false">F63*Ratio!F90</f>
        <v>0.000139351529411122</v>
      </c>
      <c r="G153" s="63" t="n">
        <f aca="false">G63*Ratio!G90</f>
        <v>0.000149332009276857</v>
      </c>
      <c r="H153" s="63" t="n">
        <f aca="false">H63*Ratio!H90</f>
        <v>0.000150082000105122</v>
      </c>
      <c r="I153" s="68" t="n">
        <f aca="false">I63*Ratio!I90</f>
        <v>0.000142011913203194</v>
      </c>
      <c r="J153" s="67" t="n">
        <f aca="false">J63*Ratio!J90</f>
        <v>0.000156957890184343</v>
      </c>
      <c r="K153" s="65" t="n">
        <f aca="false">K63*Ratio!K90</f>
        <v>0.000138558214862692</v>
      </c>
      <c r="L153" s="63" t="n">
        <f aca="false">L63*Ratio!L90</f>
        <v>0.000141610175740406</v>
      </c>
      <c r="M153" s="63" t="n">
        <f aca="false">M63*Ratio!M90</f>
        <v>0.000141765534532527</v>
      </c>
      <c r="N153" s="63" t="n">
        <f aca="false">N63*Ratio!N90</f>
        <v>0.00014302090783991</v>
      </c>
      <c r="O153" s="63" t="n">
        <f aca="false">O63*Ratio!O90</f>
        <v>0.00012592621983918</v>
      </c>
      <c r="P153" s="68" t="n">
        <f aca="false">P63*Ratio!P90</f>
        <v>0.000156986006601032</v>
      </c>
      <c r="Q153" s="67" t="n">
        <f aca="false">Q63*Ratio!Q90</f>
        <v>0.000171658747473598</v>
      </c>
      <c r="R153" s="63" t="n">
        <f aca="false">R63*Ratio!R90</f>
        <v>0.00017714413898476</v>
      </c>
      <c r="S153" s="63" t="n">
        <f aca="false">S63*Ratio!S90</f>
        <v>0.00017757275767791</v>
      </c>
      <c r="T153" s="63" t="n">
        <f aca="false">T63*Ratio!T90</f>
        <v>0.000151059643478714</v>
      </c>
      <c r="U153" s="63" t="n">
        <f aca="false">U63*Ratio!U90</f>
        <v>0.000136572572235561</v>
      </c>
      <c r="V153" s="63" t="n">
        <f aca="false">V63*Ratio!V90</f>
        <v>0.000140133416160327</v>
      </c>
      <c r="W153" s="63" t="n">
        <f aca="false">W63*Ratio!W90</f>
        <v>0.000145352259744372</v>
      </c>
      <c r="X153" s="68" t="n">
        <f aca="false">X63*Ratio!X90</f>
        <v>0.000173750093468504</v>
      </c>
      <c r="Y153" s="67" t="n">
        <f aca="false">Y63*Ratio!Y90</f>
        <v>0.000109417558106965</v>
      </c>
      <c r="Z153" s="63" t="n">
        <f aca="false">Z63*Ratio!Z90</f>
        <v>0.000159002022948328</v>
      </c>
      <c r="AA153" s="63" t="n">
        <f aca="false">AA63*Ratio!AA90</f>
        <v>0.000265139381799306</v>
      </c>
      <c r="AB153" s="63" t="n">
        <f aca="false">AB63*Ratio!AB90</f>
        <v>0.000295038165867092</v>
      </c>
      <c r="AC153" s="68" t="n">
        <f aca="false">AC63*Ratio!AC90</f>
        <v>0.000312464152117193</v>
      </c>
      <c r="AD153" s="67" t="n">
        <f aca="false">AD63*Ratio!AD90</f>
        <v>0.00019115079724903</v>
      </c>
      <c r="AE153" s="63" t="n">
        <f aca="false">AE63*Ratio!AE90</f>
        <v>0.000195918328816988</v>
      </c>
      <c r="AF153" s="63" t="n">
        <f aca="false">AF63*Ratio!AF90</f>
        <v>0.000194943999211805</v>
      </c>
      <c r="AG153" s="63" t="n">
        <f aca="false">AG63*Ratio!AG90</f>
        <v>0.000228545338158061</v>
      </c>
      <c r="AH153" s="63" t="n">
        <f aca="false">AH63*Ratio!AH90</f>
        <v>0.000263258581366381</v>
      </c>
      <c r="AI153" s="68" t="n">
        <f aca="false">AI63*Ratio!AI90</f>
        <v>0.000207292677095857</v>
      </c>
      <c r="AJ153" s="67" t="n">
        <f aca="false">AJ63*Ratio!AJ90</f>
        <v>0.000298540846039409</v>
      </c>
      <c r="AK153" s="63" t="n">
        <f aca="false">AK63*Ratio!AK90</f>
        <v>0.000227142647799524</v>
      </c>
      <c r="AL153" s="63" t="n">
        <f aca="false">AL63*Ratio!AL90</f>
        <v>0.000234255315288969</v>
      </c>
      <c r="AM153" s="63" t="n">
        <f aca="false">AM63*Ratio!AM90</f>
        <v>0.00025950458235824</v>
      </c>
      <c r="AN153" s="68" t="n">
        <f aca="false">AN63*Ratio!AN90</f>
        <v>0.000275254606887629</v>
      </c>
      <c r="AO153" s="67" t="n">
        <f aca="false">AO63*Ratio!AO90</f>
        <v>0.000165942930424258</v>
      </c>
      <c r="AP153" s="63" t="n">
        <f aca="false">AP63*Ratio!AP90</f>
        <v>0.000357291700862502</v>
      </c>
      <c r="AQ153" s="63" t="n">
        <f aca="false">AQ63*Ratio!AQ90</f>
        <v>0.000341083181355734</v>
      </c>
    </row>
    <row r="154" customFormat="false" ht="12.8" hidden="false" customHeight="false" outlineLevel="0" collapsed="false">
      <c r="B154" s="39"/>
      <c r="K154" s="40"/>
    </row>
    <row r="155" customFormat="false" ht="12.8" hidden="false" customHeight="false" outlineLevel="0" collapsed="false">
      <c r="A155" s="1" t="s">
        <v>208</v>
      </c>
      <c r="B155" s="39"/>
      <c r="K155" s="40"/>
    </row>
    <row r="156" customFormat="false" ht="12.8" hidden="false" customHeight="false" outlineLevel="0" collapsed="false">
      <c r="A156" s="139" t="s">
        <v>24</v>
      </c>
      <c r="B156" s="72" t="n">
        <f aca="false">B36*Ratio!B93</f>
        <v>5.99509538957816</v>
      </c>
      <c r="C156" s="72" t="n">
        <f aca="false">C36*Ratio!C93</f>
        <v>5.96248983353484</v>
      </c>
      <c r="D156" s="31" t="n">
        <f aca="false">D36*Ratio!D93</f>
        <v>6.16619553567161</v>
      </c>
      <c r="E156" s="96" t="n">
        <f aca="false">E36*Ratio!E93</f>
        <v>6.09779208388016</v>
      </c>
      <c r="F156" s="31" t="n">
        <f aca="false">F36*Ratio!F93</f>
        <v>5.71874225634857</v>
      </c>
      <c r="G156" s="96" t="n">
        <f aca="false">G36*Ratio!G93</f>
        <v>4.71742335869218</v>
      </c>
      <c r="H156" s="31" t="n">
        <f aca="false">H36*Ratio!H93</f>
        <v>4.72098216110258</v>
      </c>
      <c r="I156" s="74" t="n">
        <f aca="false">I36*Ratio!I93</f>
        <v>7.12302956864761</v>
      </c>
      <c r="J156" s="75" t="n">
        <f aca="false">J36*Ratio!J93</f>
        <v>6.3184665852034</v>
      </c>
      <c r="K156" s="96" t="n">
        <f aca="false">K36*Ratio!K93</f>
        <v>5.65650447978039</v>
      </c>
      <c r="L156" s="31" t="n">
        <f aca="false">L36*Ratio!L93</f>
        <v>5.50374071910532</v>
      </c>
      <c r="M156" s="96" t="n">
        <f aca="false">M36*Ratio!M93</f>
        <v>5.4814609802388</v>
      </c>
      <c r="N156" s="96" t="n">
        <f aca="false">N36*Ratio!N93</f>
        <v>5.45817973422929</v>
      </c>
      <c r="O156" s="31" t="n">
        <f aca="false">O36*Ratio!O93</f>
        <v>5.24234209265845</v>
      </c>
      <c r="P156" s="76" t="n">
        <f aca="false">P36*Ratio!P93</f>
        <v>5.55537158705069</v>
      </c>
      <c r="Q156" s="75" t="n">
        <f aca="false">Q36*Ratio!Q93</f>
        <v>4.90180986807792</v>
      </c>
      <c r="R156" s="31" t="n">
        <f aca="false">R36*Ratio!R93</f>
        <v>4.73903256062172</v>
      </c>
      <c r="S156" s="96" t="n">
        <f aca="false">S36*Ratio!S93</f>
        <v>4.72706528165052</v>
      </c>
      <c r="T156" s="31" t="n">
        <f aca="false">T36*Ratio!T93</f>
        <v>4.766159562303</v>
      </c>
      <c r="U156" s="31" t="n">
        <f aca="false">U36*Ratio!U93</f>
        <v>4.95559001636524</v>
      </c>
      <c r="V156" s="96" t="n">
        <f aca="false">V36*Ratio!V93</f>
        <v>5.21927830538409</v>
      </c>
      <c r="W156" s="96" t="n">
        <f aca="false">W36*Ratio!W93</f>
        <v>4.86940777209465</v>
      </c>
      <c r="X156" s="74" t="n">
        <f aca="false">X36*Ratio!X93</f>
        <v>5.21879389338908</v>
      </c>
      <c r="Y156" s="75" t="n">
        <f aca="false">Y36*Ratio!Y93</f>
        <v>5.01627357064498</v>
      </c>
      <c r="Z156" s="31" t="n">
        <f aca="false">Z36*Ratio!Z93</f>
        <v>4.47060306185356</v>
      </c>
      <c r="AA156" s="96" t="n">
        <f aca="false">AA36*Ratio!AA93</f>
        <v>4.57278929612564</v>
      </c>
      <c r="AB156" s="31" t="n">
        <f aca="false">AB36*Ratio!AB93</f>
        <v>4.0136476115772</v>
      </c>
      <c r="AC156" s="76" t="n">
        <f aca="false">AC36*Ratio!AC93</f>
        <v>3.80108431967254</v>
      </c>
      <c r="AD156" s="75" t="n">
        <f aca="false">AD36*Ratio!AD93</f>
        <v>3.2306899104557</v>
      </c>
      <c r="AE156" s="31" t="n">
        <f aca="false">AE36*Ratio!AE93</f>
        <v>3.09941093598115</v>
      </c>
      <c r="AF156" s="96" t="n">
        <f aca="false">AF36*Ratio!AF93</f>
        <v>3.17134238305208</v>
      </c>
      <c r="AG156" s="31" t="n">
        <f aca="false">AG36*Ratio!AG93</f>
        <v>2.67651262660607</v>
      </c>
      <c r="AH156" s="31" t="n">
        <f aca="false">AH36*Ratio!AH93</f>
        <v>2.77475150323027</v>
      </c>
      <c r="AI156" s="74" t="n">
        <f aca="false">AI36*Ratio!AI93</f>
        <v>3.05206162681484</v>
      </c>
      <c r="AJ156" s="75" t="n">
        <f aca="false">AJ36*Ratio!AJ93</f>
        <v>2.56711558217055</v>
      </c>
      <c r="AK156" s="31" t="n">
        <f aca="false">AK36*Ratio!AK93</f>
        <v>2.21537371655062</v>
      </c>
      <c r="AL156" s="31" t="n">
        <f aca="false">AL36*Ratio!AL93</f>
        <v>2.21628056046261</v>
      </c>
      <c r="AM156" s="31" t="n">
        <f aca="false">AM36*Ratio!AM93</f>
        <v>2.24098222353874</v>
      </c>
      <c r="AN156" s="76" t="n">
        <f aca="false">AN36*Ratio!AN93</f>
        <v>4.22752207394979</v>
      </c>
      <c r="AO156" s="75" t="n">
        <f aca="false">AO36*Ratio!AO93</f>
        <v>3.83626988186828</v>
      </c>
      <c r="AP156" s="31" t="n">
        <f aca="false">AP36*Ratio!AP93</f>
        <v>3.96125867949418</v>
      </c>
      <c r="AQ156" s="31" t="n">
        <f aca="false">AQ36*Ratio!AQ93</f>
        <v>3.9575585949187</v>
      </c>
    </row>
    <row r="157" customFormat="false" ht="12.8" hidden="false" customHeight="false" outlineLevel="0" collapsed="false">
      <c r="A157" s="139" t="s">
        <v>180</v>
      </c>
      <c r="B157" s="72" t="n">
        <f aca="false">B37*Ratio!B94</f>
        <v>1.25308785443451</v>
      </c>
      <c r="C157" s="72" t="n">
        <f aca="false">C37*Ratio!C94</f>
        <v>1.30208548003253</v>
      </c>
      <c r="D157" s="31" t="n">
        <f aca="false">D37*Ratio!D94</f>
        <v>1.31806906180212</v>
      </c>
      <c r="E157" s="96" t="n">
        <f aca="false">E37*Ratio!E94</f>
        <v>1.37995580772737</v>
      </c>
      <c r="F157" s="31" t="n">
        <f aca="false">F37*Ratio!F94</f>
        <v>1.44923378233708</v>
      </c>
      <c r="G157" s="96" t="n">
        <f aca="false">G37*Ratio!G94</f>
        <v>1.72227450994143</v>
      </c>
      <c r="H157" s="31" t="n">
        <f aca="false">H37*Ratio!H94</f>
        <v>1.73092429703307</v>
      </c>
      <c r="I157" s="74" t="n">
        <f aca="false">I37*Ratio!I94</f>
        <v>1.82225845433219</v>
      </c>
      <c r="J157" s="75" t="n">
        <f aca="false">J37*Ratio!J94</f>
        <v>1.67803282674808</v>
      </c>
      <c r="K157" s="96" t="n">
        <f aca="false">K37*Ratio!K94</f>
        <v>1.9273008291897</v>
      </c>
      <c r="L157" s="31" t="n">
        <f aca="false">L37*Ratio!L94</f>
        <v>1.86954530715534</v>
      </c>
      <c r="M157" s="96" t="n">
        <f aca="false">M37*Ratio!M94</f>
        <v>1.87159636245004</v>
      </c>
      <c r="N157" s="96" t="n">
        <f aca="false">N37*Ratio!N94</f>
        <v>1.87910016568584</v>
      </c>
      <c r="O157" s="31" t="n">
        <f aca="false">O37*Ratio!O94</f>
        <v>1.95194635829255</v>
      </c>
      <c r="P157" s="76" t="n">
        <f aca="false">P37*Ratio!P94</f>
        <v>1.6413286587783</v>
      </c>
      <c r="Q157" s="75" t="n">
        <f aca="false">Q37*Ratio!Q94</f>
        <v>1.53839502315885</v>
      </c>
      <c r="R157" s="31" t="n">
        <f aca="false">R37*Ratio!R94</f>
        <v>1.463610828239</v>
      </c>
      <c r="S157" s="96" t="n">
        <f aca="false">S37*Ratio!S94</f>
        <v>1.55734250815009</v>
      </c>
      <c r="T157" s="31" t="n">
        <f aca="false">T37*Ratio!T94</f>
        <v>1.55429241064663</v>
      </c>
      <c r="U157" s="31" t="n">
        <f aca="false">U37*Ratio!U94</f>
        <v>1.40427168893688</v>
      </c>
      <c r="V157" s="96" t="n">
        <f aca="false">V37*Ratio!V94</f>
        <v>1.43309382831653</v>
      </c>
      <c r="W157" s="96" t="n">
        <f aca="false">W37*Ratio!W94</f>
        <v>1.41605586948646</v>
      </c>
      <c r="X157" s="74" t="n">
        <f aca="false">X37*Ratio!X94</f>
        <v>1.43794534784166</v>
      </c>
      <c r="Y157" s="75" t="n">
        <f aca="false">Y37*Ratio!Y94</f>
        <v>1.33392993125848</v>
      </c>
      <c r="Z157" s="31" t="n">
        <f aca="false">Z37*Ratio!Z94</f>
        <v>1.33722182010795</v>
      </c>
      <c r="AA157" s="96" t="n">
        <f aca="false">AA37*Ratio!AA94</f>
        <v>1.44771853347829</v>
      </c>
      <c r="AB157" s="31" t="n">
        <f aca="false">AB37*Ratio!AB94</f>
        <v>1.60405908331475</v>
      </c>
      <c r="AC157" s="76" t="n">
        <f aca="false">AC37*Ratio!AC94</f>
        <v>1.5459277557644</v>
      </c>
      <c r="AD157" s="75" t="n">
        <f aca="false">AD37*Ratio!AD94</f>
        <v>1.50533359353906</v>
      </c>
      <c r="AE157" s="31" t="n">
        <f aca="false">AE37*Ratio!AE94</f>
        <v>1.58088926774514</v>
      </c>
      <c r="AF157" s="96" t="n">
        <f aca="false">AF37*Ratio!AF94</f>
        <v>1.58398609325971</v>
      </c>
      <c r="AG157" s="31" t="n">
        <f aca="false">AG37*Ratio!AG94</f>
        <v>1.74950014290999</v>
      </c>
      <c r="AH157" s="31" t="n">
        <f aca="false">AH37*Ratio!AH94</f>
        <v>1.46767231498219</v>
      </c>
      <c r="AI157" s="74" t="n">
        <f aca="false">AI37*Ratio!AI94</f>
        <v>1.60622845020727</v>
      </c>
      <c r="AJ157" s="75" t="n">
        <f aca="false">AJ37*Ratio!AJ94</f>
        <v>1.6755268039077</v>
      </c>
      <c r="AK157" s="31" t="n">
        <f aca="false">AK37*Ratio!AK94</f>
        <v>1.64708610916689</v>
      </c>
      <c r="AL157" s="31" t="n">
        <f aca="false">AL37*Ratio!AL94</f>
        <v>1.60621797288775</v>
      </c>
      <c r="AM157" s="31" t="n">
        <f aca="false">AM37*Ratio!AM94</f>
        <v>1.63013336350796</v>
      </c>
      <c r="AN157" s="76" t="n">
        <f aca="false">AN37*Ratio!AN94</f>
        <v>1.67088225332667</v>
      </c>
      <c r="AO157" s="75" t="n">
        <f aca="false">AO37*Ratio!AO94</f>
        <v>1.70610280407477</v>
      </c>
      <c r="AP157" s="31" t="n">
        <f aca="false">AP37*Ratio!AP94</f>
        <v>1.65790431238506</v>
      </c>
      <c r="AQ157" s="31" t="n">
        <f aca="false">AQ37*Ratio!AQ94</f>
        <v>1.67422775273324</v>
      </c>
    </row>
    <row r="158" customFormat="false" ht="12.8" hidden="false" customHeight="false" outlineLevel="0" collapsed="false">
      <c r="A158" s="139" t="s">
        <v>181</v>
      </c>
      <c r="B158" s="72" t="n">
        <f aca="false">B38*Ratio!B95</f>
        <v>3.91225725280084</v>
      </c>
      <c r="C158" s="72" t="n">
        <f aca="false">C38*Ratio!C95</f>
        <v>3.78403640698434</v>
      </c>
      <c r="D158" s="31" t="n">
        <f aca="false">D38*Ratio!D95</f>
        <v>3.85745738654656</v>
      </c>
      <c r="E158" s="96" t="n">
        <f aca="false">E38*Ratio!E95</f>
        <v>3.65266692633672</v>
      </c>
      <c r="F158" s="31" t="n">
        <f aca="false">F38*Ratio!F95</f>
        <v>3.52702147155112</v>
      </c>
      <c r="G158" s="96" t="n">
        <f aca="false">G38*Ratio!G95</f>
        <v>4.80395967619124</v>
      </c>
      <c r="H158" s="31" t="n">
        <f aca="false">H38*Ratio!H95</f>
        <v>5.1058343247671</v>
      </c>
      <c r="I158" s="74" t="n">
        <f aca="false">I38*Ratio!I95</f>
        <v>4.31211770401571</v>
      </c>
      <c r="J158" s="75" t="n">
        <f aca="false">J38*Ratio!J95</f>
        <v>4.02871063639469</v>
      </c>
      <c r="K158" s="96" t="n">
        <f aca="false">K38*Ratio!K95</f>
        <v>3.91955170776945</v>
      </c>
      <c r="L158" s="31" t="n">
        <f aca="false">L38*Ratio!L95</f>
        <v>3.91447735135524</v>
      </c>
      <c r="M158" s="96" t="n">
        <f aca="false">M38*Ratio!M95</f>
        <v>3.93457386615647</v>
      </c>
      <c r="N158" s="96" t="n">
        <f aca="false">N38*Ratio!N95</f>
        <v>3.91159398850614</v>
      </c>
      <c r="O158" s="31" t="n">
        <f aca="false">O38*Ratio!O95</f>
        <v>3.68274434597691</v>
      </c>
      <c r="P158" s="76" t="n">
        <f aca="false">P38*Ratio!P95</f>
        <v>3.90805666133708</v>
      </c>
      <c r="Q158" s="75" t="n">
        <f aca="false">Q38*Ratio!Q95</f>
        <v>3.52925283551113</v>
      </c>
      <c r="R158" s="31" t="n">
        <f aca="false">R38*Ratio!R95</f>
        <v>3.45837894776448</v>
      </c>
      <c r="S158" s="96" t="n">
        <f aca="false">S38*Ratio!S95</f>
        <v>3.74944052509736</v>
      </c>
      <c r="T158" s="31" t="n">
        <f aca="false">T38*Ratio!T95</f>
        <v>3.63690791807303</v>
      </c>
      <c r="U158" s="31" t="n">
        <f aca="false">U38*Ratio!U95</f>
        <v>4.34629583365875</v>
      </c>
      <c r="V158" s="96" t="n">
        <f aca="false">V38*Ratio!V95</f>
        <v>4.43820066306676</v>
      </c>
      <c r="W158" s="96" t="n">
        <f aca="false">W38*Ratio!W95</f>
        <v>4.16334693605174</v>
      </c>
      <c r="X158" s="74" t="n">
        <f aca="false">X38*Ratio!X95</f>
        <v>4.06084672068407</v>
      </c>
      <c r="Y158" s="75" t="n">
        <f aca="false">Y38*Ratio!Y95</f>
        <v>4.30067760463988</v>
      </c>
      <c r="Z158" s="31" t="n">
        <f aca="false">Z38*Ratio!Z95</f>
        <v>4.01838223100403</v>
      </c>
      <c r="AA158" s="96" t="n">
        <f aca="false">AA38*Ratio!AA95</f>
        <v>4.05101791015714</v>
      </c>
      <c r="AB158" s="31" t="n">
        <f aca="false">AB38*Ratio!AB95</f>
        <v>3.63571313398092</v>
      </c>
      <c r="AC158" s="76" t="n">
        <f aca="false">AC38*Ratio!AC95</f>
        <v>2.74996661778255</v>
      </c>
      <c r="AD158" s="75" t="n">
        <f aca="false">AD38*Ratio!AD95</f>
        <v>2.85649936506739</v>
      </c>
      <c r="AE158" s="31" t="n">
        <f aca="false">AE38*Ratio!AE95</f>
        <v>2.76940685717641</v>
      </c>
      <c r="AF158" s="96" t="n">
        <f aca="false">AF38*Ratio!AF95</f>
        <v>2.71704164764984</v>
      </c>
      <c r="AG158" s="31" t="n">
        <f aca="false">AG38*Ratio!AG95</f>
        <v>2.63169793374307</v>
      </c>
      <c r="AH158" s="31" t="n">
        <f aca="false">AH38*Ratio!AH95</f>
        <v>2.00751950400697</v>
      </c>
      <c r="AI158" s="74" t="n">
        <f aca="false">AI38*Ratio!AI95</f>
        <v>2.25535692738124</v>
      </c>
      <c r="AJ158" s="75" t="n">
        <f aca="false">AJ38*Ratio!AJ95</f>
        <v>2.13440257393328</v>
      </c>
      <c r="AK158" s="31" t="n">
        <f aca="false">AK38*Ratio!AK95</f>
        <v>2.18601578957645</v>
      </c>
      <c r="AL158" s="31" t="n">
        <f aca="false">AL38*Ratio!AL95</f>
        <v>2.27649077220036</v>
      </c>
      <c r="AM158" s="31" t="n">
        <f aca="false">AM38*Ratio!AM95</f>
        <v>2.17966109230598</v>
      </c>
      <c r="AN158" s="76" t="n">
        <f aca="false">AN38*Ratio!AN95</f>
        <v>1.9411344891429</v>
      </c>
      <c r="AO158" s="75" t="n">
        <f aca="false">AO38*Ratio!AO95</f>
        <v>1.82180650113607</v>
      </c>
      <c r="AP158" s="31" t="n">
        <f aca="false">AP38*Ratio!AP95</f>
        <v>1.82193343921011</v>
      </c>
      <c r="AQ158" s="31" t="n">
        <f aca="false">AQ38*Ratio!AQ95</f>
        <v>1.81928952214897</v>
      </c>
    </row>
    <row r="159" customFormat="false" ht="12.8" hidden="false" customHeight="false" outlineLevel="0" collapsed="false">
      <c r="A159" s="139" t="s">
        <v>30</v>
      </c>
      <c r="B159" s="72" t="n">
        <f aca="false">B39*Ratio!B96</f>
        <v>1.6397491653016</v>
      </c>
      <c r="C159" s="72" t="n">
        <f aca="false">C39*Ratio!C96</f>
        <v>1.64667190419082</v>
      </c>
      <c r="D159" s="31" t="n">
        <f aca="false">D39*Ratio!D96</f>
        <v>1.66292818708513</v>
      </c>
      <c r="E159" s="96" t="n">
        <f aca="false">E39*Ratio!E96</f>
        <v>1.69986817227768</v>
      </c>
      <c r="F159" s="31" t="n">
        <f aca="false">F39*Ratio!F96</f>
        <v>1.55545591414318</v>
      </c>
      <c r="G159" s="96" t="n">
        <f aca="false">G39*Ratio!G96</f>
        <v>1.57666882506154</v>
      </c>
      <c r="H159" s="31" t="n">
        <f aca="false">H39*Ratio!H96</f>
        <v>1.72166426857198</v>
      </c>
      <c r="I159" s="74" t="n">
        <f aca="false">I39*Ratio!I96</f>
        <v>1.78814168265022</v>
      </c>
      <c r="J159" s="75" t="n">
        <f aca="false">J39*Ratio!J96</f>
        <v>1.6002646281229</v>
      </c>
      <c r="K159" s="96" t="n">
        <f aca="false">K39*Ratio!K96</f>
        <v>1.5378656714733</v>
      </c>
      <c r="L159" s="31" t="n">
        <f aca="false">L39*Ratio!L96</f>
        <v>1.5531975841097</v>
      </c>
      <c r="M159" s="96" t="n">
        <f aca="false">M39*Ratio!M96</f>
        <v>1.54298876178635</v>
      </c>
      <c r="N159" s="96" t="n">
        <f aca="false">N39*Ratio!N96</f>
        <v>1.55345119261668</v>
      </c>
      <c r="O159" s="31" t="n">
        <f aca="false">O39*Ratio!O96</f>
        <v>1.65079572663819</v>
      </c>
      <c r="P159" s="76" t="n">
        <f aca="false">P39*Ratio!P96</f>
        <v>1.75605286308939</v>
      </c>
      <c r="Q159" s="75" t="n">
        <f aca="false">Q39*Ratio!Q96</f>
        <v>1.68365950835732</v>
      </c>
      <c r="R159" s="31" t="n">
        <f aca="false">R39*Ratio!R96</f>
        <v>1.5378429139297</v>
      </c>
      <c r="S159" s="96" t="n">
        <f aca="false">S39*Ratio!S96</f>
        <v>1.62199174862523</v>
      </c>
      <c r="T159" s="31" t="n">
        <f aca="false">T39*Ratio!T96</f>
        <v>1.57009407467845</v>
      </c>
      <c r="U159" s="31" t="n">
        <f aca="false">U39*Ratio!U96</f>
        <v>1.81657469110835</v>
      </c>
      <c r="V159" s="96" t="n">
        <f aca="false">V39*Ratio!V96</f>
        <v>1.77398964332895</v>
      </c>
      <c r="W159" s="96" t="n">
        <f aca="false">W39*Ratio!W96</f>
        <v>1.63547069856538</v>
      </c>
      <c r="X159" s="74" t="n">
        <f aca="false">X39*Ratio!X96</f>
        <v>1.85001192440486</v>
      </c>
      <c r="Y159" s="75" t="n">
        <f aca="false">Y39*Ratio!Y96</f>
        <v>1.96254871374222</v>
      </c>
      <c r="Z159" s="31" t="n">
        <f aca="false">Z39*Ratio!Z96</f>
        <v>1.80356895134683</v>
      </c>
      <c r="AA159" s="96" t="n">
        <f aca="false">AA39*Ratio!AA96</f>
        <v>1.91972591204221</v>
      </c>
      <c r="AB159" s="31" t="n">
        <f aca="false">AB39*Ratio!AB96</f>
        <v>1.62096176982272</v>
      </c>
      <c r="AC159" s="76" t="n">
        <f aca="false">AC39*Ratio!AC96</f>
        <v>1.65269098019419</v>
      </c>
      <c r="AD159" s="75" t="n">
        <f aca="false">AD39*Ratio!AD96</f>
        <v>1.4939741926849</v>
      </c>
      <c r="AE159" s="31" t="n">
        <f aca="false">AE39*Ratio!AE96</f>
        <v>1.38214256748885</v>
      </c>
      <c r="AF159" s="96" t="n">
        <f aca="false">AF39*Ratio!AF96</f>
        <v>1.44452744809872</v>
      </c>
      <c r="AG159" s="31" t="n">
        <f aca="false">AG39*Ratio!AG96</f>
        <v>1.34322693929097</v>
      </c>
      <c r="AH159" s="31" t="n">
        <f aca="false">AH39*Ratio!AH96</f>
        <v>1.15316674722731</v>
      </c>
      <c r="AI159" s="74" t="n">
        <f aca="false">AI39*Ratio!AI96</f>
        <v>1.58797590162657</v>
      </c>
      <c r="AJ159" s="75" t="n">
        <f aca="false">AJ39*Ratio!AJ96</f>
        <v>1.39296971899859</v>
      </c>
      <c r="AK159" s="31" t="n">
        <f aca="false">AK39*Ratio!AK96</f>
        <v>1.3044616223947</v>
      </c>
      <c r="AL159" s="31" t="n">
        <f aca="false">AL39*Ratio!AL96</f>
        <v>1.08512672830275</v>
      </c>
      <c r="AM159" s="31" t="n">
        <f aca="false">AM39*Ratio!AM96</f>
        <v>0.948248500280106</v>
      </c>
      <c r="AN159" s="76" t="n">
        <f aca="false">AN39*Ratio!AN96</f>
        <v>0.94342975469799</v>
      </c>
      <c r="AO159" s="75" t="n">
        <f aca="false">AO39*Ratio!AO96</f>
        <v>0.914430330969454</v>
      </c>
      <c r="AP159" s="31" t="n">
        <f aca="false">AP39*Ratio!AP96</f>
        <v>0.931909467916171</v>
      </c>
      <c r="AQ159" s="31" t="n">
        <f aca="false">AQ39*Ratio!AQ96</f>
        <v>0.889624156184931</v>
      </c>
    </row>
    <row r="160" customFormat="false" ht="12.8" hidden="false" customHeight="false" outlineLevel="0" collapsed="false">
      <c r="A160" s="139" t="s">
        <v>182</v>
      </c>
      <c r="B160" s="72" t="n">
        <f aca="false">B40*Ratio!B97</f>
        <v>3.35862242409158</v>
      </c>
      <c r="C160" s="72" t="n">
        <f aca="false">C40*Ratio!C97</f>
        <v>3.04308959106354</v>
      </c>
      <c r="D160" s="31" t="n">
        <f aca="false">D40*Ratio!D97</f>
        <v>3.00018210229368</v>
      </c>
      <c r="E160" s="96" t="n">
        <f aca="false">E40*Ratio!E97</f>
        <v>2.61432224978917</v>
      </c>
      <c r="F160" s="31" t="n">
        <f aca="false">F40*Ratio!F97</f>
        <v>2.71241545180993</v>
      </c>
      <c r="G160" s="96" t="n">
        <f aca="false">G40*Ratio!G97</f>
        <v>4.35449168052793</v>
      </c>
      <c r="H160" s="31" t="n">
        <f aca="false">H40*Ratio!H97</f>
        <v>4.10200635447853</v>
      </c>
      <c r="I160" s="74" t="n">
        <f aca="false">I40*Ratio!I97</f>
        <v>3.95739862742533</v>
      </c>
      <c r="J160" s="75" t="n">
        <f aca="false">J40*Ratio!J97</f>
        <v>3.98726226839236</v>
      </c>
      <c r="K160" s="96" t="n">
        <f aca="false">K40*Ratio!K97</f>
        <v>4.0950612616848</v>
      </c>
      <c r="L160" s="31" t="n">
        <f aca="false">L40*Ratio!L97</f>
        <v>4.02301101511158</v>
      </c>
      <c r="M160" s="96" t="n">
        <f aca="false">M40*Ratio!M97</f>
        <v>4.03579492041091</v>
      </c>
      <c r="N160" s="96" t="n">
        <f aca="false">N40*Ratio!N97</f>
        <v>4.02113651648789</v>
      </c>
      <c r="O160" s="31" t="n">
        <f aca="false">O40*Ratio!O97</f>
        <v>3.92452025995016</v>
      </c>
      <c r="P160" s="76" t="n">
        <f aca="false">P40*Ratio!P97</f>
        <v>3.77914843635337</v>
      </c>
      <c r="Q160" s="75" t="n">
        <f aca="false">Q40*Ratio!Q97</f>
        <v>4.03982490042775</v>
      </c>
      <c r="R160" s="31" t="n">
        <f aca="false">R40*Ratio!R97</f>
        <v>4.18431972942769</v>
      </c>
      <c r="S160" s="96" t="n">
        <f aca="false">S40*Ratio!S97</f>
        <v>4.23927433822293</v>
      </c>
      <c r="T160" s="31" t="n">
        <f aca="false">T40*Ratio!T97</f>
        <v>4.0250274028819</v>
      </c>
      <c r="U160" s="31" t="n">
        <f aca="false">U40*Ratio!U97</f>
        <v>4.8563792874563</v>
      </c>
      <c r="V160" s="96" t="n">
        <f aca="false">V40*Ratio!V97</f>
        <v>4.57565699282387</v>
      </c>
      <c r="W160" s="96" t="n">
        <f aca="false">W40*Ratio!W97</f>
        <v>4.5406374353523</v>
      </c>
      <c r="X160" s="74" t="n">
        <f aca="false">X40*Ratio!X97</f>
        <v>4.84088806416174</v>
      </c>
      <c r="Y160" s="75" t="n">
        <f aca="false">Y40*Ratio!Y97</f>
        <v>4.48428517119833</v>
      </c>
      <c r="Z160" s="31" t="n">
        <f aca="false">Z40*Ratio!Z97</f>
        <v>4.47471279078463</v>
      </c>
      <c r="AA160" s="96" t="n">
        <f aca="false">AA40*Ratio!AA97</f>
        <v>4.50221319694993</v>
      </c>
      <c r="AB160" s="31" t="n">
        <f aca="false">AB40*Ratio!AB97</f>
        <v>4.34894398039503</v>
      </c>
      <c r="AC160" s="76" t="n">
        <f aca="false">AC40*Ratio!AC97</f>
        <v>3.26289369051987</v>
      </c>
      <c r="AD160" s="75" t="n">
        <f aca="false">AD40*Ratio!AD97</f>
        <v>3.28051634743326</v>
      </c>
      <c r="AE160" s="31" t="n">
        <f aca="false">AE40*Ratio!AE97</f>
        <v>3.37491236206984</v>
      </c>
      <c r="AF160" s="96" t="n">
        <f aca="false">AF40*Ratio!AF97</f>
        <v>3.38979821794067</v>
      </c>
      <c r="AG160" s="31" t="n">
        <f aca="false">AG40*Ratio!AG97</f>
        <v>0.757448221961014</v>
      </c>
      <c r="AH160" s="31" t="n">
        <f aca="false">AH40*Ratio!AH97</f>
        <v>0.620789088724249</v>
      </c>
      <c r="AI160" s="74" t="n">
        <f aca="false">AI40*Ratio!AI97</f>
        <v>0.919712713921692</v>
      </c>
      <c r="AJ160" s="75" t="n">
        <f aca="false">AJ40*Ratio!AJ97</f>
        <v>0.891577645406729</v>
      </c>
      <c r="AK160" s="31" t="n">
        <f aca="false">AK40*Ratio!AK97</f>
        <v>0.934236973283299</v>
      </c>
      <c r="AL160" s="31" t="n">
        <f aca="false">AL40*Ratio!AL97</f>
        <v>0.96349135158558</v>
      </c>
      <c r="AM160" s="31" t="n">
        <f aca="false">AM40*Ratio!AM97</f>
        <v>0.773181839126867</v>
      </c>
      <c r="AN160" s="76" t="n">
        <f aca="false">AN40*Ratio!AN97</f>
        <v>3.72119379973403</v>
      </c>
      <c r="AO160" s="75" t="n">
        <f aca="false">AO40*Ratio!AO97</f>
        <v>3.94343997977163</v>
      </c>
      <c r="AP160" s="31" t="n">
        <f aca="false">AP40*Ratio!AP97</f>
        <v>3.70373609412312</v>
      </c>
      <c r="AQ160" s="31" t="n">
        <f aca="false">AQ40*Ratio!AQ97</f>
        <v>3.69808081878791</v>
      </c>
    </row>
    <row r="161" customFormat="false" ht="12.8" hidden="false" customHeight="false" outlineLevel="0" collapsed="false">
      <c r="A161" s="139" t="s">
        <v>183</v>
      </c>
      <c r="B161" s="72" t="n">
        <f aca="false">B41*Ratio!B98</f>
        <v>0.82412814222166</v>
      </c>
      <c r="C161" s="72" t="n">
        <f aca="false">C41*Ratio!C98</f>
        <v>0.885589517819865</v>
      </c>
      <c r="D161" s="31" t="n">
        <f aca="false">D41*Ratio!D98</f>
        <v>0.873102727288901</v>
      </c>
      <c r="E161" s="96" t="n">
        <f aca="false">E41*Ratio!E98</f>
        <v>0.907672557252697</v>
      </c>
      <c r="F161" s="31" t="n">
        <f aca="false">F41*Ratio!F98</f>
        <v>0.948606296177117</v>
      </c>
      <c r="G161" s="96" t="n">
        <f aca="false">G41*Ratio!G98</f>
        <v>1.05658259984608</v>
      </c>
      <c r="H161" s="31" t="n">
        <f aca="false">H41*Ratio!H98</f>
        <v>1.06188907943493</v>
      </c>
      <c r="I161" s="74" t="n">
        <f aca="false">I41*Ratio!I98</f>
        <v>1.0664390136949</v>
      </c>
      <c r="J161" s="75" t="n">
        <f aca="false">J41*Ratio!J98</f>
        <v>1.15945687874633</v>
      </c>
      <c r="K161" s="96" t="n">
        <f aca="false">K41*Ratio!K98</f>
        <v>1.05926180988201</v>
      </c>
      <c r="L161" s="31" t="n">
        <f aca="false">L41*Ratio!L98</f>
        <v>1.08259370403364</v>
      </c>
      <c r="M161" s="96" t="n">
        <f aca="false">M41*Ratio!M98</f>
        <v>1.08378140434782</v>
      </c>
      <c r="N161" s="96" t="n">
        <f aca="false">N41*Ratio!N98</f>
        <v>1.09337859064943</v>
      </c>
      <c r="O161" s="31" t="n">
        <f aca="false">O41*Ratio!O98</f>
        <v>1.14254302672923</v>
      </c>
      <c r="P161" s="76" t="n">
        <f aca="false">P41*Ratio!P98</f>
        <v>1.02954686222357</v>
      </c>
      <c r="Q161" s="75" t="n">
        <f aca="false">Q41*Ratio!Q98</f>
        <v>1.01060314101455</v>
      </c>
      <c r="R161" s="31" t="n">
        <f aca="false">R41*Ratio!R98</f>
        <v>1.00761954953382</v>
      </c>
      <c r="S161" s="96" t="n">
        <f aca="false">S41*Ratio!S98</f>
        <v>0.951952642301881</v>
      </c>
      <c r="T161" s="31" t="n">
        <f aca="false">T41*Ratio!T98</f>
        <v>1.43110777363823</v>
      </c>
      <c r="U161" s="31" t="n">
        <f aca="false">U41*Ratio!U98</f>
        <v>1.26735009634267</v>
      </c>
      <c r="V161" s="96" t="n">
        <f aca="false">V41*Ratio!V98</f>
        <v>1.21012022082382</v>
      </c>
      <c r="W161" s="96" t="n">
        <f aca="false">W41*Ratio!W98</f>
        <v>1.08871847602269</v>
      </c>
      <c r="X161" s="74" t="n">
        <f aca="false">X41*Ratio!X98</f>
        <v>1.01965932089869</v>
      </c>
      <c r="Y161" s="75" t="n">
        <f aca="false">Y41*Ratio!Y98</f>
        <v>0.834944455258794</v>
      </c>
      <c r="Z161" s="31" t="n">
        <f aca="false">Z41*Ratio!Z98</f>
        <v>0.850361253927931</v>
      </c>
      <c r="AA161" s="96" t="n">
        <f aca="false">AA41*Ratio!AA98</f>
        <v>0.790745294386513</v>
      </c>
      <c r="AB161" s="31" t="n">
        <f aca="false">AB41*Ratio!AB98</f>
        <v>0.746097646373893</v>
      </c>
      <c r="AC161" s="76" t="n">
        <f aca="false">AC41*Ratio!AC98</f>
        <v>1.04461707552311</v>
      </c>
      <c r="AD161" s="75" t="n">
        <f aca="false">AD41*Ratio!AD98</f>
        <v>0.874437610544079</v>
      </c>
      <c r="AE161" s="31" t="n">
        <f aca="false">AE41*Ratio!AE98</f>
        <v>0.826559217520518</v>
      </c>
      <c r="AF161" s="96" t="n">
        <f aca="false">AF41*Ratio!AF98</f>
        <v>0.822380683145744</v>
      </c>
      <c r="AG161" s="31" t="n">
        <f aca="false">AG41*Ratio!AG98</f>
        <v>0.843365013162751</v>
      </c>
      <c r="AH161" s="31" t="n">
        <f aca="false">AH41*Ratio!AH98</f>
        <v>1.06191398273253</v>
      </c>
      <c r="AI161" s="74" t="n">
        <f aca="false">AI41*Ratio!AI98</f>
        <v>0.914260244554719</v>
      </c>
      <c r="AJ161" s="75" t="n">
        <f aca="false">AJ41*Ratio!AJ98</f>
        <v>1.01686890721672</v>
      </c>
      <c r="AK161" s="31" t="n">
        <f aca="false">AK41*Ratio!AK98</f>
        <v>0.899139166284729</v>
      </c>
      <c r="AL161" s="31" t="n">
        <f aca="false">AL41*Ratio!AL98</f>
        <v>0.927213094722661</v>
      </c>
      <c r="AM161" s="31" t="n">
        <f aca="false">AM41*Ratio!AM98</f>
        <v>0.973457542405961</v>
      </c>
      <c r="AN161" s="76" t="n">
        <f aca="false">AN41*Ratio!AN98</f>
        <v>0.961148715943611</v>
      </c>
      <c r="AO161" s="75" t="n">
        <f aca="false">AO41*Ratio!AO98</f>
        <v>0.952888762264167</v>
      </c>
      <c r="AP161" s="31" t="n">
        <f aca="false">AP41*Ratio!AP98</f>
        <v>1.0060679311928</v>
      </c>
      <c r="AQ161" s="31" t="n">
        <f aca="false">AQ41*Ratio!AQ98</f>
        <v>1.02840202827186</v>
      </c>
    </row>
    <row r="162" customFormat="false" ht="12.8" hidden="false" customHeight="false" outlineLevel="0" collapsed="false">
      <c r="A162" s="139" t="s">
        <v>27</v>
      </c>
      <c r="B162" s="72" t="n">
        <f aca="false">B42*Ratio!B99</f>
        <v>0.334130273561237</v>
      </c>
      <c r="C162" s="72" t="n">
        <f aca="false">C42*Ratio!C99</f>
        <v>0.325351677254712</v>
      </c>
      <c r="D162" s="31" t="n">
        <f aca="false">D42*Ratio!D99</f>
        <v>0.321686376775846</v>
      </c>
      <c r="E162" s="96" t="n">
        <f aca="false">E42*Ratio!E99</f>
        <v>0.30723303643512</v>
      </c>
      <c r="F162" s="31" t="n">
        <f aca="false">F42*Ratio!F99</f>
        <v>0.301781593563099</v>
      </c>
      <c r="G162" s="96" t="n">
        <f aca="false">G42*Ratio!G99</f>
        <v>0.189941661941936</v>
      </c>
      <c r="H162" s="31" t="n">
        <f aca="false">H42*Ratio!H99</f>
        <v>0.176419123055544</v>
      </c>
      <c r="I162" s="74" t="n">
        <f aca="false">I42*Ratio!I99</f>
        <v>0.173392934989943</v>
      </c>
      <c r="J162" s="75" t="n">
        <f aca="false">J42*Ratio!J99</f>
        <v>0.18397661863954</v>
      </c>
      <c r="K162" s="96" t="n">
        <f aca="false">K42*Ratio!K99</f>
        <v>0.213182553128103</v>
      </c>
      <c r="L162" s="31" t="n">
        <f aca="false">L42*Ratio!L99</f>
        <v>0.194049395402694</v>
      </c>
      <c r="M162" s="96" t="n">
        <f aca="false">M42*Ratio!M99</f>
        <v>0.194535031172059</v>
      </c>
      <c r="N162" s="96" t="n">
        <f aca="false">N42*Ratio!N99</f>
        <v>0.196259069364842</v>
      </c>
      <c r="O162" s="31" t="n">
        <f aca="false">O42*Ratio!O99</f>
        <v>0.20458660848984</v>
      </c>
      <c r="P162" s="76" t="n">
        <f aca="false">P42*Ratio!P99</f>
        <v>0.189867315737089</v>
      </c>
      <c r="Q162" s="75" t="n">
        <f aca="false">Q42*Ratio!Q99</f>
        <v>0.201880606611637</v>
      </c>
      <c r="R162" s="31" t="n">
        <f aca="false">R42*Ratio!R99</f>
        <v>0.200453325243908</v>
      </c>
      <c r="S162" s="96" t="n">
        <f aca="false">S42*Ratio!S99</f>
        <v>0.214353373922923</v>
      </c>
      <c r="T162" s="31" t="n">
        <f aca="false">T42*Ratio!T99</f>
        <v>0.216764376347402</v>
      </c>
      <c r="U162" s="31" t="n">
        <f aca="false">U42*Ratio!U99</f>
        <v>0.669716406830872</v>
      </c>
      <c r="V162" s="96" t="n">
        <f aca="false">V42*Ratio!V99</f>
        <v>0.615703949759493</v>
      </c>
      <c r="W162" s="96" t="n">
        <f aca="false">W42*Ratio!W99</f>
        <v>0.629177331672182</v>
      </c>
      <c r="X162" s="74" t="n">
        <f aca="false">X42*Ratio!X99</f>
        <v>0.707619046143766</v>
      </c>
      <c r="Y162" s="75" t="n">
        <f aca="false">Y42*Ratio!Y99</f>
        <v>0.771508027300973</v>
      </c>
      <c r="Z162" s="31" t="n">
        <f aca="false">Z42*Ratio!Z99</f>
        <v>0.767096454933409</v>
      </c>
      <c r="AA162" s="96" t="n">
        <f aca="false">AA42*Ratio!AA99</f>
        <v>0.776252755437287</v>
      </c>
      <c r="AB162" s="31" t="n">
        <f aca="false">AB42*Ratio!AB99</f>
        <v>0.843584817084428</v>
      </c>
      <c r="AC162" s="76" t="n">
        <f aca="false">AC42*Ratio!AC99</f>
        <v>0.460947603269786</v>
      </c>
      <c r="AD162" s="75" t="n">
        <f aca="false">AD42*Ratio!AD99</f>
        <v>0.473968095711453</v>
      </c>
      <c r="AE162" s="31" t="n">
        <f aca="false">AE42*Ratio!AE99</f>
        <v>0.469163448036999</v>
      </c>
      <c r="AF162" s="96" t="n">
        <f aca="false">AF42*Ratio!AF99</f>
        <v>0.432345723488183</v>
      </c>
      <c r="AG162" s="31" t="n">
        <f aca="false">AG42*Ratio!AG99</f>
        <v>0.434374918983573</v>
      </c>
      <c r="AH162" s="31" t="n">
        <f aca="false">AH42*Ratio!AH99</f>
        <v>0.356302477003398</v>
      </c>
      <c r="AI162" s="74" t="n">
        <f aca="false">AI42*Ratio!AI99</f>
        <v>0.567848444356986</v>
      </c>
      <c r="AJ162" s="75" t="n">
        <f aca="false">AJ42*Ratio!AJ99</f>
        <v>0.602440265371798</v>
      </c>
      <c r="AK162" s="31" t="n">
        <f aca="false">AK42*Ratio!AK99</f>
        <v>0.56698433765127</v>
      </c>
      <c r="AL162" s="31" t="n">
        <f aca="false">AL42*Ratio!AL99</f>
        <v>0.496994367932363</v>
      </c>
      <c r="AM162" s="31" t="n">
        <f aca="false">AM42*Ratio!AM99</f>
        <v>0.468078037829896</v>
      </c>
      <c r="AN162" s="76" t="n">
        <f aca="false">AN42*Ratio!AN99</f>
        <v>0.631648215867773</v>
      </c>
      <c r="AO162" s="75" t="n">
        <f aca="false">AO42*Ratio!AO99</f>
        <v>0.574237270471954</v>
      </c>
      <c r="AP162" s="31" t="n">
        <f aca="false">AP42*Ratio!AP99</f>
        <v>0.582034645827394</v>
      </c>
      <c r="AQ162" s="31" t="n">
        <f aca="false">AQ42*Ratio!AQ99</f>
        <v>0.560147582565903</v>
      </c>
    </row>
    <row r="163" customFormat="false" ht="12.8" hidden="false" customHeight="false" outlineLevel="0" collapsed="false">
      <c r="A163" s="139" t="s">
        <v>31</v>
      </c>
      <c r="B163" s="72" t="n">
        <f aca="false">B43*Ratio!B100</f>
        <v>0.147091206509032</v>
      </c>
      <c r="C163" s="72" t="n">
        <f aca="false">C43*Ratio!C100</f>
        <v>0.150928766216127</v>
      </c>
      <c r="D163" s="31" t="n">
        <f aca="false">D43*Ratio!D100</f>
        <v>0.148800674305693</v>
      </c>
      <c r="E163" s="96" t="n">
        <f aca="false">E43*Ratio!E100</f>
        <v>0.121778038949868</v>
      </c>
      <c r="F163" s="31" t="n">
        <f aca="false">F43*Ratio!F100</f>
        <v>0.103313775751093</v>
      </c>
      <c r="G163" s="96" t="n">
        <f aca="false">G43*Ratio!G100</f>
        <v>0.0704261944808898</v>
      </c>
      <c r="H163" s="31" t="n">
        <f aca="false">H43*Ratio!H100</f>
        <v>0.0707798962772167</v>
      </c>
      <c r="I163" s="74" t="n">
        <f aca="false">I43*Ratio!I100</f>
        <v>0.0659747486366426</v>
      </c>
      <c r="J163" s="75" t="n">
        <f aca="false">J43*Ratio!J100</f>
        <v>0.0756152080921422</v>
      </c>
      <c r="K163" s="96" t="n">
        <f aca="false">K43*Ratio!K100</f>
        <v>0.122476798432977</v>
      </c>
      <c r="L163" s="31" t="n">
        <f aca="false">L43*Ratio!L100</f>
        <v>0.125174541021646</v>
      </c>
      <c r="M163" s="96" t="n">
        <f aca="false">M43*Ratio!M100</f>
        <v>0.126662822573462</v>
      </c>
      <c r="N163" s="96" t="n">
        <f aca="false">N43*Ratio!N100</f>
        <v>0.10255651287861</v>
      </c>
      <c r="O163" s="31" t="n">
        <f aca="false">O43*Ratio!O100</f>
        <v>0.0263786790523548</v>
      </c>
      <c r="P163" s="76" t="n">
        <f aca="false">P43*Ratio!P100</f>
        <v>0.0363236076443788</v>
      </c>
      <c r="Q163" s="75" t="n">
        <f aca="false">Q43*Ratio!Q100</f>
        <v>0.0427308583994791</v>
      </c>
      <c r="R163" s="31" t="n">
        <f aca="false">R43*Ratio!R100</f>
        <v>0.037415675216892</v>
      </c>
      <c r="S163" s="96" t="n">
        <f aca="false">S43*Ratio!S100</f>
        <v>0.0469984761014788</v>
      </c>
      <c r="T163" s="31" t="n">
        <f aca="false">T43*Ratio!T100</f>
        <v>0.0341292400340377</v>
      </c>
      <c r="U163" s="31" t="n">
        <f aca="false">U43*Ratio!U100</f>
        <v>0.18007717226186</v>
      </c>
      <c r="V163" s="96" t="n">
        <f aca="false">V43*Ratio!V100</f>
        <v>0.186332919591109</v>
      </c>
      <c r="W163" s="96" t="n">
        <f aca="false">W43*Ratio!W100</f>
        <v>0.193272323400347</v>
      </c>
      <c r="X163" s="74" t="n">
        <f aca="false">X43*Ratio!X100</f>
        <v>0.181018853942701</v>
      </c>
      <c r="Y163" s="75" t="n">
        <f aca="false">Y43*Ratio!Y100</f>
        <v>0.180461133758002</v>
      </c>
      <c r="Z163" s="31" t="n">
        <f aca="false">Z43*Ratio!Z100</f>
        <v>0.19182560106956</v>
      </c>
      <c r="AA163" s="96" t="n">
        <f aca="false">AA43*Ratio!AA100</f>
        <v>0.204991239751622</v>
      </c>
      <c r="AB163" s="31" t="n">
        <f aca="false">AB43*Ratio!AB100</f>
        <v>0.181394178501991</v>
      </c>
      <c r="AC163" s="76" t="n">
        <f aca="false">AC43*Ratio!AC100</f>
        <v>0.0901080437440467</v>
      </c>
      <c r="AD163" s="75" t="n">
        <f aca="false">AD43*Ratio!AD100</f>
        <v>0.0943987842991484</v>
      </c>
      <c r="AE163" s="31" t="n">
        <f aca="false">AE43*Ratio!AE100</f>
        <v>0.108214289862595</v>
      </c>
      <c r="AF163" s="96" t="n">
        <f aca="false">AF43*Ratio!AF100</f>
        <v>0.0825431965709604</v>
      </c>
      <c r="AG163" s="31" t="n">
        <f aca="false">AG43*Ratio!AG100</f>
        <v>0.0969353462912858</v>
      </c>
      <c r="AH163" s="31" t="n">
        <f aca="false">AH43*Ratio!AH100</f>
        <v>0.157465787843078</v>
      </c>
      <c r="AI163" s="74" t="n">
        <f aca="false">AI43*Ratio!AI100</f>
        <v>0.318685775477834</v>
      </c>
      <c r="AJ163" s="75" t="n">
        <f aca="false">AJ43*Ratio!AJ100</f>
        <v>0.380766413486679</v>
      </c>
      <c r="AK163" s="31" t="n">
        <f aca="false">AK43*Ratio!AK100</f>
        <v>0.397335727101895</v>
      </c>
      <c r="AL163" s="31" t="n">
        <f aca="false">AL43*Ratio!AL100</f>
        <v>0.358891215582918</v>
      </c>
      <c r="AM163" s="31" t="n">
        <f aca="false">AM43*Ratio!AM100</f>
        <v>0.35824769662938</v>
      </c>
      <c r="AN163" s="76" t="n">
        <f aca="false">AN43*Ratio!AN100</f>
        <v>0.204457575371694</v>
      </c>
      <c r="AO163" s="75" t="n">
        <f aca="false">AO43*Ratio!AO100</f>
        <v>0.201076458537886</v>
      </c>
      <c r="AP163" s="31" t="n">
        <f aca="false">AP43*Ratio!AP100</f>
        <v>0.244455673775818</v>
      </c>
      <c r="AQ163" s="31" t="n">
        <f aca="false">AQ43*Ratio!AQ100</f>
        <v>0.196285562502395</v>
      </c>
    </row>
    <row r="164" customFormat="false" ht="12.8" hidden="false" customHeight="false" outlineLevel="0" collapsed="false">
      <c r="A164" s="139" t="s">
        <v>184</v>
      </c>
      <c r="B164" s="72" t="n">
        <f aca="false">B44*Ratio!B101</f>
        <v>0.292463764658353</v>
      </c>
      <c r="C164" s="72" t="n">
        <f aca="false">C44*Ratio!C101</f>
        <v>0.242304900265152</v>
      </c>
      <c r="D164" s="31" t="n">
        <f aca="false">D44*Ratio!D101</f>
        <v>0.238786062317439</v>
      </c>
      <c r="E164" s="96" t="n">
        <f aca="false">E44*Ratio!E101</f>
        <v>0.247575448332858</v>
      </c>
      <c r="F164" s="31" t="n">
        <f aca="false">F44*Ratio!F101</f>
        <v>0.228830085252443</v>
      </c>
      <c r="G164" s="96" t="n">
        <f aca="false">G44*Ratio!G101</f>
        <v>0.332146293999066</v>
      </c>
      <c r="H164" s="31" t="n">
        <f aca="false">H44*Ratio!H101</f>
        <v>0.274943167156466</v>
      </c>
      <c r="I164" s="74" t="n">
        <f aca="false">I44*Ratio!I101</f>
        <v>0.267366945814902</v>
      </c>
      <c r="J164" s="75" t="n">
        <f aca="false">J44*Ratio!J101</f>
        <v>0.295484583335914</v>
      </c>
      <c r="K164" s="96" t="n">
        <f aca="false">K44*Ratio!K101</f>
        <v>0.273126488554381</v>
      </c>
      <c r="L164" s="31" t="n">
        <f aca="false">L44*Ratio!L101</f>
        <v>0.277332909188397</v>
      </c>
      <c r="M164" s="96" t="n">
        <f aca="false">M44*Ratio!M101</f>
        <v>0.275339635759974</v>
      </c>
      <c r="N164" s="96" t="n">
        <f aca="false">N44*Ratio!N101</f>
        <v>0.277777844950503</v>
      </c>
      <c r="O164" s="31" t="n">
        <f aca="false">O44*Ratio!O101</f>
        <v>0.301389385765457</v>
      </c>
      <c r="P164" s="76" t="n">
        <f aca="false">P44*Ratio!P101</f>
        <v>0.257001001524136</v>
      </c>
      <c r="Q164" s="75" t="n">
        <f aca="false">Q44*Ratio!Q101</f>
        <v>0.295288107684813</v>
      </c>
      <c r="R164" s="31" t="n">
        <f aca="false">R44*Ratio!R101</f>
        <v>0.401284328204207</v>
      </c>
      <c r="S164" s="96" t="n">
        <f aca="false">S44*Ratio!S101</f>
        <v>0.338997277205622</v>
      </c>
      <c r="T164" s="31" t="n">
        <f aca="false">T44*Ratio!T101</f>
        <v>0.305208860535864</v>
      </c>
      <c r="U164" s="31" t="n">
        <f aca="false">U44*Ratio!U101</f>
        <v>0.304402210784793</v>
      </c>
      <c r="V164" s="96" t="n">
        <f aca="false">V44*Ratio!V101</f>
        <v>0.266222398211537</v>
      </c>
      <c r="W164" s="96" t="n">
        <f aca="false">W44*Ratio!W101</f>
        <v>0.276137043075728</v>
      </c>
      <c r="X164" s="74" t="n">
        <f aca="false">X44*Ratio!X101</f>
        <v>0.309655697856815</v>
      </c>
      <c r="Y164" s="75" t="n">
        <f aca="false">Y44*Ratio!Y101</f>
        <v>0.353937553411297</v>
      </c>
      <c r="Z164" s="31" t="n">
        <f aca="false">Z44*Ratio!Z101</f>
        <v>0.334706254928085</v>
      </c>
      <c r="AA164" s="96" t="n">
        <f aca="false">AA44*Ratio!AA101</f>
        <v>0.324060285822525</v>
      </c>
      <c r="AB164" s="31" t="n">
        <f aca="false">AB44*Ratio!AB101</f>
        <v>0.31396354659234</v>
      </c>
      <c r="AC164" s="76" t="n">
        <f aca="false">AC44*Ratio!AC101</f>
        <v>0.287274341350229</v>
      </c>
      <c r="AD164" s="75" t="n">
        <f aca="false">AD44*Ratio!AD101</f>
        <v>0.332570380797705</v>
      </c>
      <c r="AE164" s="31" t="n">
        <f aca="false">AE44*Ratio!AE101</f>
        <v>0.297607571781805</v>
      </c>
      <c r="AF164" s="96" t="n">
        <f aca="false">AF44*Ratio!AF101</f>
        <v>0.296005785655121</v>
      </c>
      <c r="AG164" s="31" t="n">
        <f aca="false">AG44*Ratio!AG101</f>
        <v>0.268943486772739</v>
      </c>
      <c r="AH164" s="31" t="n">
        <f aca="false">AH44*Ratio!AH101</f>
        <v>0.285955768229506</v>
      </c>
      <c r="AI164" s="74" t="n">
        <f aca="false">AI44*Ratio!AI101</f>
        <v>0.43046451323765</v>
      </c>
      <c r="AJ164" s="75" t="n">
        <f aca="false">AJ44*Ratio!AJ101</f>
        <v>0.406066327052499</v>
      </c>
      <c r="AK164" s="31" t="n">
        <f aca="false">AK44*Ratio!AK101</f>
        <v>0.366824748827878</v>
      </c>
      <c r="AL164" s="31" t="n">
        <f aca="false">AL44*Ratio!AL101</f>
        <v>0.329801346498767</v>
      </c>
      <c r="AM164" s="31" t="n">
        <f aca="false">AM44*Ratio!AM101</f>
        <v>0.310766904568735</v>
      </c>
      <c r="AN164" s="76" t="n">
        <f aca="false">AN44*Ratio!AN101</f>
        <v>0.158377384459949</v>
      </c>
      <c r="AO164" s="75" t="n">
        <f aca="false">AO44*Ratio!AO101</f>
        <v>0.158179268734034</v>
      </c>
      <c r="AP164" s="31" t="n">
        <f aca="false">AP44*Ratio!AP101</f>
        <v>0.175015861804999</v>
      </c>
      <c r="AQ164" s="31" t="n">
        <f aca="false">AQ44*Ratio!AQ101</f>
        <v>0.163481866279183</v>
      </c>
    </row>
    <row r="165" customFormat="false" ht="12.8" hidden="false" customHeight="false" outlineLevel="0" collapsed="false">
      <c r="A165" s="139" t="s">
        <v>29</v>
      </c>
      <c r="B165" s="72" t="n">
        <f aca="false">B45*Ratio!B102</f>
        <v>0.400534856006185</v>
      </c>
      <c r="C165" s="72" t="n">
        <f aca="false">C45*Ratio!C102</f>
        <v>0.392064213292625</v>
      </c>
      <c r="D165" s="31" t="n">
        <f aca="false">D45*Ratio!D102</f>
        <v>0.38831174240783</v>
      </c>
      <c r="E165" s="96" t="n">
        <f aca="false">E45*Ratio!E102</f>
        <v>0.416416491559623</v>
      </c>
      <c r="F165" s="31" t="n">
        <f aca="false">F45*Ratio!F102</f>
        <v>0.338021746252999</v>
      </c>
      <c r="G165" s="96" t="n">
        <f aca="false">G45*Ratio!G102</f>
        <v>0.446630052843493</v>
      </c>
      <c r="H165" s="31" t="n">
        <f aca="false">H45*Ratio!H102</f>
        <v>0.42428146552415</v>
      </c>
      <c r="I165" s="74" t="n">
        <f aca="false">I45*Ratio!I102</f>
        <v>0.426817044287831</v>
      </c>
      <c r="J165" s="75" t="n">
        <f aca="false">J45*Ratio!J102</f>
        <v>0.424485897696983</v>
      </c>
      <c r="K165" s="96" t="n">
        <f aca="false">K45*Ratio!K102</f>
        <v>0.392547925415167</v>
      </c>
      <c r="L165" s="31" t="n">
        <f aca="false">L45*Ratio!L102</f>
        <v>0.391949001304197</v>
      </c>
      <c r="M165" s="96" t="n">
        <f aca="false">M45*Ratio!M102</f>
        <v>0.392379003760571</v>
      </c>
      <c r="N165" s="96" t="n">
        <f aca="false">N45*Ratio!N102</f>
        <v>0.372578524469923</v>
      </c>
      <c r="O165" s="31" t="n">
        <f aca="false">O45*Ratio!O102</f>
        <v>0.383039066765984</v>
      </c>
      <c r="P165" s="76" t="n">
        <f aca="false">P45*Ratio!P102</f>
        <v>0.404339030383316</v>
      </c>
      <c r="Q165" s="75" t="n">
        <f aca="false">Q45*Ratio!Q102</f>
        <v>0.436895557212992</v>
      </c>
      <c r="R165" s="31" t="n">
        <f aca="false">R45*Ratio!R102</f>
        <v>0.456746095474559</v>
      </c>
      <c r="S165" s="96" t="n">
        <f aca="false">S45*Ratio!S102</f>
        <v>0.435689951918986</v>
      </c>
      <c r="T165" s="31" t="n">
        <f aca="false">T45*Ratio!T102</f>
        <v>0.407014393260749</v>
      </c>
      <c r="U165" s="31" t="n">
        <f aca="false">U45*Ratio!U102</f>
        <v>0.241880592692877</v>
      </c>
      <c r="V165" s="96" t="n">
        <f aca="false">V45*Ratio!V102</f>
        <v>0.276580993363001</v>
      </c>
      <c r="W165" s="96" t="n">
        <f aca="false">W45*Ratio!W102</f>
        <v>0.286787403528439</v>
      </c>
      <c r="X165" s="74" t="n">
        <f aca="false">X45*Ratio!X102</f>
        <v>0.268605075980722</v>
      </c>
      <c r="Y165" s="75" t="n">
        <f aca="false">Y45*Ratio!Y102</f>
        <v>0.305798768527976</v>
      </c>
      <c r="Z165" s="31" t="n">
        <f aca="false">Z45*Ratio!Z102</f>
        <v>0.338951184286069</v>
      </c>
      <c r="AA165" s="96" t="n">
        <f aca="false">AA45*Ratio!AA102</f>
        <v>0.324798545928744</v>
      </c>
      <c r="AB165" s="31" t="n">
        <f aca="false">AB45*Ratio!AB102</f>
        <v>0.374413725961694</v>
      </c>
      <c r="AC165" s="76" t="n">
        <f aca="false">AC45*Ratio!AC102</f>
        <v>0.436596054835063</v>
      </c>
      <c r="AD165" s="75" t="n">
        <f aca="false">AD45*Ratio!AD102</f>
        <v>0.473482204580612</v>
      </c>
      <c r="AE165" s="31" t="n">
        <f aca="false">AE45*Ratio!AE102</f>
        <v>0.4152974670498</v>
      </c>
      <c r="AF165" s="96" t="n">
        <f aca="false">AF45*Ratio!AF102</f>
        <v>0.393628122894313</v>
      </c>
      <c r="AG165" s="31" t="n">
        <f aca="false">AG45*Ratio!AG102</f>
        <v>0.402354934368413</v>
      </c>
      <c r="AH165" s="31" t="n">
        <f aca="false">AH45*Ratio!AH102</f>
        <v>0.434264945401853</v>
      </c>
      <c r="AI165" s="74" t="n">
        <f aca="false">AI45*Ratio!AI102</f>
        <v>0.344825457837702</v>
      </c>
      <c r="AJ165" s="75" t="n">
        <f aca="false">AJ45*Ratio!AJ102</f>
        <v>0.335098391720453</v>
      </c>
      <c r="AK165" s="31" t="n">
        <f aca="false">AK45*Ratio!AK102</f>
        <v>0.35208716527695</v>
      </c>
      <c r="AL165" s="31" t="n">
        <f aca="false">AL45*Ratio!AL102</f>
        <v>0.362433746652758</v>
      </c>
      <c r="AM165" s="31" t="n">
        <f aca="false">AM45*Ratio!AM102</f>
        <v>0.365601422367659</v>
      </c>
      <c r="AN165" s="76" t="n">
        <f aca="false">AN45*Ratio!AN102</f>
        <v>0.359614060055643</v>
      </c>
      <c r="AO165" s="75" t="n">
        <f aca="false">AO45*Ratio!AO102</f>
        <v>0.339141521988016</v>
      </c>
      <c r="AP165" s="31" t="n">
        <f aca="false">AP45*Ratio!AP102</f>
        <v>0.323659348806571</v>
      </c>
      <c r="AQ165" s="31" t="n">
        <f aca="false">AQ45*Ratio!AQ102</f>
        <v>0.3239640925204</v>
      </c>
    </row>
    <row r="166" customFormat="false" ht="12.8" hidden="false" customHeight="false" outlineLevel="0" collapsed="false">
      <c r="A166" s="139" t="s">
        <v>185</v>
      </c>
      <c r="B166" s="72" t="n">
        <f aca="false">B46*Ratio!B103</f>
        <v>0.16634955493557</v>
      </c>
      <c r="C166" s="72" t="n">
        <f aca="false">C46*Ratio!C103</f>
        <v>0.163496159125809</v>
      </c>
      <c r="D166" s="31" t="n">
        <f aca="false">D46*Ratio!D103</f>
        <v>0.165566047966264</v>
      </c>
      <c r="E166" s="96" t="n">
        <f aca="false">E46*Ratio!E103</f>
        <v>0.171880602064276</v>
      </c>
      <c r="F166" s="31" t="n">
        <f aca="false">F46*Ratio!F103</f>
        <v>0.140251296116144</v>
      </c>
      <c r="G166" s="96" t="n">
        <f aca="false">G46*Ratio!G103</f>
        <v>0.328899285899271</v>
      </c>
      <c r="H166" s="31" t="n">
        <f aca="false">H46*Ratio!H103</f>
        <v>0.307891767861179</v>
      </c>
      <c r="I166" s="74" t="n">
        <f aca="false">I46*Ratio!I103</f>
        <v>0.317911533135831</v>
      </c>
      <c r="J166" s="75" t="n">
        <f aca="false">J46*Ratio!J103</f>
        <v>0.265694689881909</v>
      </c>
      <c r="K166" s="96" t="n">
        <f aca="false">K46*Ratio!K103</f>
        <v>0.223885309037334</v>
      </c>
      <c r="L166" s="31" t="n">
        <f aca="false">L46*Ratio!L103</f>
        <v>0.224528817658857</v>
      </c>
      <c r="M166" s="96" t="n">
        <f aca="false">M46*Ratio!M103</f>
        <v>0.224775145479055</v>
      </c>
      <c r="N166" s="96" t="n">
        <f aca="false">N46*Ratio!N103</f>
        <v>0.216220180496438</v>
      </c>
      <c r="O166" s="31" t="n">
        <f aca="false">O46*Ratio!O103</f>
        <v>0.227983746036258</v>
      </c>
      <c r="P166" s="76" t="n">
        <f aca="false">P46*Ratio!P103</f>
        <v>0.21043612897064</v>
      </c>
      <c r="Q166" s="75" t="n">
        <f aca="false">Q46*Ratio!Q103</f>
        <v>0.188733698653086</v>
      </c>
      <c r="R166" s="31" t="n">
        <f aca="false">R46*Ratio!R103</f>
        <v>0.159170211255172</v>
      </c>
      <c r="S166" s="96" t="n">
        <f aca="false">S46*Ratio!S103</f>
        <v>0.137878515376596</v>
      </c>
      <c r="T166" s="31" t="n">
        <f aca="false">T46*Ratio!T103</f>
        <v>0.140345885099623</v>
      </c>
      <c r="U166" s="31" t="n">
        <f aca="false">U46*Ratio!U103</f>
        <v>0.0971726360237368</v>
      </c>
      <c r="V166" s="96" t="n">
        <f aca="false">V46*Ratio!V103</f>
        <v>0.115054853164893</v>
      </c>
      <c r="W166" s="96" t="n">
        <f aca="false">W46*Ratio!W103</f>
        <v>0.118936897343285</v>
      </c>
      <c r="X166" s="74" t="n">
        <f aca="false">X46*Ratio!X103</f>
        <v>0.111396295495372</v>
      </c>
      <c r="Y166" s="75" t="n">
        <f aca="false">Y46*Ratio!Y103</f>
        <v>0.116999009817334</v>
      </c>
      <c r="Z166" s="31" t="n">
        <f aca="false">Z46*Ratio!Z103</f>
        <v>0.137055114438126</v>
      </c>
      <c r="AA166" s="96" t="n">
        <f aca="false">AA46*Ratio!AA103</f>
        <v>0.131915334285195</v>
      </c>
      <c r="AB166" s="31" t="n">
        <f aca="false">AB46*Ratio!AB103</f>
        <v>0.152416039045479</v>
      </c>
      <c r="AC166" s="76" t="n">
        <f aca="false">AC46*Ratio!AC103</f>
        <v>0.168090971067001</v>
      </c>
      <c r="AD166" s="75" t="n">
        <f aca="false">AD46*Ratio!AD103</f>
        <v>0.169904152539044</v>
      </c>
      <c r="AE166" s="31" t="n">
        <f aca="false">AE46*Ratio!AE103</f>
        <v>0.152044743342379</v>
      </c>
      <c r="AF166" s="96" t="n">
        <f aca="false">AF46*Ratio!AF103</f>
        <v>0.145099636012646</v>
      </c>
      <c r="AG166" s="31" t="n">
        <f aca="false">AG46*Ratio!AG103</f>
        <v>0.129428302803946</v>
      </c>
      <c r="AH166" s="31" t="n">
        <f aca="false">AH46*Ratio!AH103</f>
        <v>0.169685586303146</v>
      </c>
      <c r="AI166" s="74" t="n">
        <f aca="false">AI46*Ratio!AI103</f>
        <v>0.158660140646449</v>
      </c>
      <c r="AJ166" s="75" t="n">
        <f aca="false">AJ46*Ratio!AJ103</f>
        <v>0.167861747955498</v>
      </c>
      <c r="AK166" s="31" t="n">
        <f aca="false">AK46*Ratio!AK103</f>
        <v>0.159480264539444</v>
      </c>
      <c r="AL166" s="31" t="n">
        <f aca="false">AL46*Ratio!AL103</f>
        <v>0.164545007554123</v>
      </c>
      <c r="AM166" s="31" t="n">
        <f aca="false">AM46*Ratio!AM103</f>
        <v>0.166789823979476</v>
      </c>
      <c r="AN166" s="76" t="n">
        <f aca="false">AN46*Ratio!AN103</f>
        <v>0.150236067096771</v>
      </c>
      <c r="AO166" s="75" t="n">
        <f aca="false">AO46*Ratio!AO103</f>
        <v>0.129267616865183</v>
      </c>
      <c r="AP166" s="31" t="n">
        <f aca="false">AP46*Ratio!AP103</f>
        <v>0.13787874846432</v>
      </c>
      <c r="AQ166" s="31" t="n">
        <f aca="false">AQ46*Ratio!AQ103</f>
        <v>0.140186633683743</v>
      </c>
    </row>
    <row r="167" customFormat="false" ht="12.8" hidden="false" customHeight="false" outlineLevel="0" collapsed="false">
      <c r="A167" s="139" t="s">
        <v>186</v>
      </c>
      <c r="B167" s="72" t="n">
        <f aca="false">B47*Ratio!B104</f>
        <v>0.256249259497242</v>
      </c>
      <c r="C167" s="72" t="n">
        <f aca="false">C47*Ratio!C104</f>
        <v>0.233905279222307</v>
      </c>
      <c r="D167" s="31" t="n">
        <f aca="false">D47*Ratio!D104</f>
        <v>0.217307812629741</v>
      </c>
      <c r="E167" s="96" t="n">
        <f aca="false">E47*Ratio!E104</f>
        <v>0.267229022832071</v>
      </c>
      <c r="F167" s="31" t="n">
        <f aca="false">F47*Ratio!F104</f>
        <v>0.183924306902613</v>
      </c>
      <c r="G167" s="96" t="n">
        <f aca="false">G47*Ratio!G104</f>
        <v>0.150874437016316</v>
      </c>
      <c r="H167" s="31" t="n">
        <f aca="false">H47*Ratio!H104</f>
        <v>0.225799142069936</v>
      </c>
      <c r="I167" s="74" t="n">
        <f aca="false">I47*Ratio!I104</f>
        <v>0.224020348860313</v>
      </c>
      <c r="J167" s="75" t="n">
        <f aca="false">J47*Ratio!J104</f>
        <v>0.223607022824464</v>
      </c>
      <c r="K167" s="96" t="n">
        <f aca="false">K47*Ratio!K104</f>
        <v>0.191109316083967</v>
      </c>
      <c r="L167" s="31" t="n">
        <f aca="false">L47*Ratio!L104</f>
        <v>0.195318796962693</v>
      </c>
      <c r="M167" s="96" t="n">
        <f aca="false">M47*Ratio!M104</f>
        <v>0.19553307882638</v>
      </c>
      <c r="N167" s="96" t="n">
        <f aca="false">N47*Ratio!N104</f>
        <v>0.192788375966871</v>
      </c>
      <c r="O167" s="31" t="n">
        <f aca="false">O47*Ratio!O104</f>
        <v>0.204814149160786</v>
      </c>
      <c r="P167" s="76" t="n">
        <f aca="false">P47*Ratio!P104</f>
        <v>0.301623034735605</v>
      </c>
      <c r="Q167" s="75" t="n">
        <f aca="false">Q47*Ratio!Q104</f>
        <v>0.293411584266726</v>
      </c>
      <c r="R167" s="31" t="n">
        <f aca="false">R47*Ratio!R104</f>
        <v>0.302787613378559</v>
      </c>
      <c r="S167" s="96" t="n">
        <f aca="false">S47*Ratio!S104</f>
        <v>0.290695135346327</v>
      </c>
      <c r="T167" s="31" t="n">
        <f aca="false">T47*Ratio!T104</f>
        <v>0.306910768596217</v>
      </c>
      <c r="U167" s="31" t="n">
        <f aca="false">U47*Ratio!U104</f>
        <v>1.1558736823175</v>
      </c>
      <c r="V167" s="96" t="n">
        <f aca="false">V47*Ratio!V104</f>
        <v>1.2376919633912</v>
      </c>
      <c r="W167" s="96" t="n">
        <f aca="false">W47*Ratio!W104</f>
        <v>1.28378604244211</v>
      </c>
      <c r="X167" s="74" t="n">
        <f aca="false">X47*Ratio!X104</f>
        <v>1.20239397975846</v>
      </c>
      <c r="Y167" s="75" t="n">
        <f aca="false">Y47*Ratio!Y104</f>
        <v>1.32492637149269</v>
      </c>
      <c r="Z167" s="31" t="n">
        <f aca="false">Z47*Ratio!Z104</f>
        <v>1.31749881647</v>
      </c>
      <c r="AA167" s="96" t="n">
        <f aca="false">AA47*Ratio!AA104</f>
        <v>1.44927027573335</v>
      </c>
      <c r="AB167" s="31" t="n">
        <f aca="false">AB47*Ratio!AB104</f>
        <v>1.30906389215694</v>
      </c>
      <c r="AC167" s="76" t="n">
        <f aca="false">AC47*Ratio!AC104</f>
        <v>0.142868432726602</v>
      </c>
      <c r="AD167" s="75" t="n">
        <f aca="false">AD47*Ratio!AD104</f>
        <v>0.150154432400904</v>
      </c>
      <c r="AE167" s="31" t="n">
        <f aca="false">AE47*Ratio!AE104</f>
        <v>0.141972171930256</v>
      </c>
      <c r="AF167" s="96" t="n">
        <f aca="false">AF47*Ratio!AF104</f>
        <v>0.141266124205885</v>
      </c>
      <c r="AG167" s="31" t="n">
        <f aca="false">AG47*Ratio!AG104</f>
        <v>0.188922773463042</v>
      </c>
      <c r="AH167" s="31" t="n">
        <f aca="false">AH47*Ratio!AH104</f>
        <v>0.185159792275628</v>
      </c>
      <c r="AI167" s="74" t="n">
        <f aca="false">AI47*Ratio!AI104</f>
        <v>0.243863243288169</v>
      </c>
      <c r="AJ167" s="75" t="n">
        <f aca="false">AJ47*Ratio!AJ104</f>
        <v>0.248228812376191</v>
      </c>
      <c r="AK167" s="31" t="n">
        <f aca="false">AK47*Ratio!AK104</f>
        <v>0.232178985048931</v>
      </c>
      <c r="AL167" s="31" t="n">
        <f aca="false">AL47*Ratio!AL104</f>
        <v>0.239359741768129</v>
      </c>
      <c r="AM167" s="31" t="n">
        <f aca="false">AM47*Ratio!AM104</f>
        <v>0.254749955859441</v>
      </c>
      <c r="AN167" s="76" t="n">
        <f aca="false">AN47*Ratio!AN104</f>
        <v>0.227615047055696</v>
      </c>
      <c r="AO167" s="75" t="n">
        <f aca="false">AO47*Ratio!AO104</f>
        <v>0.230962414006548</v>
      </c>
      <c r="AP167" s="31" t="n">
        <f aca="false">AP47*Ratio!AP104</f>
        <v>0.216463435557062</v>
      </c>
      <c r="AQ167" s="31" t="n">
        <f aca="false">AQ47*Ratio!AQ104</f>
        <v>0.210030856996873</v>
      </c>
    </row>
    <row r="168" customFormat="false" ht="12.8" hidden="false" customHeight="false" outlineLevel="0" collapsed="false">
      <c r="A168" s="139" t="s">
        <v>187</v>
      </c>
      <c r="B168" s="72" t="n">
        <f aca="false">B48*Ratio!B105</f>
        <v>0.0534663909757715</v>
      </c>
      <c r="C168" s="72" t="n">
        <f aca="false">C48*Ratio!C105</f>
        <v>0.0559262810533204</v>
      </c>
      <c r="D168" s="31" t="n">
        <f aca="false">D48*Ratio!D105</f>
        <v>0.0551377218589798</v>
      </c>
      <c r="E168" s="96" t="n">
        <f aca="false">E48*Ratio!E105</f>
        <v>0.0553554387582241</v>
      </c>
      <c r="F168" s="31" t="n">
        <f aca="false">F48*Ratio!F105</f>
        <v>0.0591811407700927</v>
      </c>
      <c r="G168" s="96" t="n">
        <f aca="false">G48*Ratio!G105</f>
        <v>0.0318981091365972</v>
      </c>
      <c r="H168" s="31" t="n">
        <f aca="false">H48*Ratio!H105</f>
        <v>0.0323759322144337</v>
      </c>
      <c r="I168" s="74" t="n">
        <f aca="false">I48*Ratio!I105</f>
        <v>0.0381891620906597</v>
      </c>
      <c r="J168" s="75" t="n">
        <f aca="false">J48*Ratio!J105</f>
        <v>0.0351518996442923</v>
      </c>
      <c r="K168" s="96" t="n">
        <f aca="false">K48*Ratio!K105</f>
        <v>0.0364061013268094</v>
      </c>
      <c r="L168" s="31" t="n">
        <f aca="false">L48*Ratio!L105</f>
        <v>0.0358030315678861</v>
      </c>
      <c r="M168" s="96" t="n">
        <f aca="false">M48*Ratio!M105</f>
        <v>0.0358423106360011</v>
      </c>
      <c r="N168" s="96" t="n">
        <f aca="false">N48*Ratio!N105</f>
        <v>0.0357885327102209</v>
      </c>
      <c r="O168" s="31" t="n">
        <f aca="false">O48*Ratio!O105</f>
        <v>0.0385691430629623</v>
      </c>
      <c r="P168" s="76" t="n">
        <f aca="false">P48*Ratio!P105</f>
        <v>0.0556248666593386</v>
      </c>
      <c r="Q168" s="75" t="n">
        <f aca="false">Q48*Ratio!Q105</f>
        <v>0.0567217181225811</v>
      </c>
      <c r="R168" s="31" t="n">
        <f aca="false">R48*Ratio!R105</f>
        <v>0.0508023144044151</v>
      </c>
      <c r="S168" s="96" t="n">
        <f aca="false">S48*Ratio!S105</f>
        <v>0.0507617352230343</v>
      </c>
      <c r="T168" s="31" t="n">
        <f aca="false">T48*Ratio!T105</f>
        <v>0.0494768304109764</v>
      </c>
      <c r="U168" s="31" t="n">
        <f aca="false">U48*Ratio!U105</f>
        <v>0.121902025394542</v>
      </c>
      <c r="V168" s="96" t="n">
        <f aca="false">V48*Ratio!V105</f>
        <v>0.105555612511524</v>
      </c>
      <c r="W168" s="96" t="n">
        <f aca="false">W48*Ratio!W105</f>
        <v>0.0982676429862922</v>
      </c>
      <c r="X168" s="74" t="n">
        <f aca="false">X48*Ratio!X105</f>
        <v>0.0960185731670341</v>
      </c>
      <c r="Y168" s="75" t="n">
        <f aca="false">Y48*Ratio!Y105</f>
        <v>0.110287426482565</v>
      </c>
      <c r="Z168" s="31" t="n">
        <f aca="false">Z48*Ratio!Z105</f>
        <v>0.10423471191402</v>
      </c>
      <c r="AA168" s="96" t="n">
        <f aca="false">AA48*Ratio!AA105</f>
        <v>0.112187931992168</v>
      </c>
      <c r="AB168" s="31" t="n">
        <f aca="false">AB48*Ratio!AB105</f>
        <v>0.117031441586167</v>
      </c>
      <c r="AC168" s="76" t="n">
        <f aca="false">AC48*Ratio!AC105</f>
        <v>0.097435343417589</v>
      </c>
      <c r="AD168" s="75" t="n">
        <f aca="false">AD48*Ratio!AD105</f>
        <v>0.106703095863625</v>
      </c>
      <c r="AE168" s="31" t="n">
        <f aca="false">AE48*Ratio!AE105</f>
        <v>0.124379790593742</v>
      </c>
      <c r="AF168" s="96" t="n">
        <f aca="false">AF48*Ratio!AF105</f>
        <v>0.131725237065358</v>
      </c>
      <c r="AG168" s="31" t="n">
        <f aca="false">AG48*Ratio!AG105</f>
        <v>0.170458806192822</v>
      </c>
      <c r="AH168" s="31" t="n">
        <f aca="false">AH48*Ratio!AH105</f>
        <v>0.181850699885269</v>
      </c>
      <c r="AI168" s="74" t="n">
        <f aca="false">AI48*Ratio!AI105</f>
        <v>0.185000185247921</v>
      </c>
      <c r="AJ168" s="75" t="n">
        <f aca="false">AJ48*Ratio!AJ105</f>
        <v>0.195212058727159</v>
      </c>
      <c r="AK168" s="31" t="n">
        <f aca="false">AK48*Ratio!AK105</f>
        <v>0.245949734507817</v>
      </c>
      <c r="AL168" s="31" t="n">
        <f aca="false">AL48*Ratio!AL105</f>
        <v>0.231024620812662</v>
      </c>
      <c r="AM168" s="31" t="n">
        <f aca="false">AM48*Ratio!AM105</f>
        <v>0.22310970228881</v>
      </c>
      <c r="AN168" s="76" t="n">
        <f aca="false">AN48*Ratio!AN105</f>
        <v>0.234216829374571</v>
      </c>
      <c r="AO168" s="75" t="n">
        <f aca="false">AO48*Ratio!AO105</f>
        <v>0.253565007541367</v>
      </c>
      <c r="AP168" s="31" t="n">
        <f aca="false">AP48*Ratio!AP105</f>
        <v>0.335590089421301</v>
      </c>
      <c r="AQ168" s="31" t="n">
        <f aca="false">AQ48*Ratio!AQ105</f>
        <v>0.316334220131708</v>
      </c>
    </row>
    <row r="169" customFormat="false" ht="12.8" hidden="false" customHeight="false" outlineLevel="0" collapsed="false">
      <c r="A169" s="139" t="s">
        <v>188</v>
      </c>
      <c r="B169" s="72" t="n">
        <f aca="false">B49*Ratio!B106</f>
        <v>0.0493423682921199</v>
      </c>
      <c r="C169" s="72" t="n">
        <f aca="false">C49*Ratio!C106</f>
        <v>0.0506296939515151</v>
      </c>
      <c r="D169" s="31" t="n">
        <f aca="false">D49*Ratio!D106</f>
        <v>0.0499158165057028</v>
      </c>
      <c r="E169" s="96" t="n">
        <f aca="false">E49*Ratio!E106</f>
        <v>0.0517531489500069</v>
      </c>
      <c r="F169" s="31" t="n">
        <f aca="false">F49*Ratio!F106</f>
        <v>0.0540870852034597</v>
      </c>
      <c r="G169" s="96" t="n">
        <f aca="false">G49*Ratio!G106</f>
        <v>0.0692144071724846</v>
      </c>
      <c r="H169" s="31" t="n">
        <f aca="false">H49*Ratio!H106</f>
        <v>0.0695620230039101</v>
      </c>
      <c r="I169" s="74" t="n">
        <f aca="false">I49*Ratio!I106</f>
        <v>0.0664316728001607</v>
      </c>
      <c r="J169" s="75" t="n">
        <f aca="false">J49*Ratio!J106</f>
        <v>0.0727754861491287</v>
      </c>
      <c r="K169" s="96" t="n">
        <f aca="false">K49*Ratio!K106</f>
        <v>0.0671588877827779</v>
      </c>
      <c r="L169" s="31" t="n">
        <f aca="false">L49*Ratio!L106</f>
        <v>0.0686381670756505</v>
      </c>
      <c r="M169" s="96" t="n">
        <f aca="false">M49*Ratio!M106</f>
        <v>0.0687134691694059</v>
      </c>
      <c r="N169" s="96" t="n">
        <f aca="false">N49*Ratio!N106</f>
        <v>0.0682158138355449</v>
      </c>
      <c r="O169" s="31" t="n">
        <f aca="false">O49*Ratio!O106</f>
        <v>0.0699035823919257</v>
      </c>
      <c r="P169" s="76" t="n">
        <f aca="false">P49*Ratio!P106</f>
        <v>0.079341326656661</v>
      </c>
      <c r="Q169" s="75" t="n">
        <f aca="false">Q49*Ratio!Q106</f>
        <v>0.0775455160944035</v>
      </c>
      <c r="R169" s="31" t="n">
        <f aca="false">R49*Ratio!R106</f>
        <v>0.0730902343836695</v>
      </c>
      <c r="S169" s="96" t="n">
        <f aca="false">S49*Ratio!S106</f>
        <v>0.070422033658041</v>
      </c>
      <c r="T169" s="31" t="n">
        <f aca="false">T49*Ratio!T106</f>
        <v>0.0654054723228207</v>
      </c>
      <c r="U169" s="31" t="n">
        <f aca="false">U49*Ratio!U106</f>
        <v>0.111106197811933</v>
      </c>
      <c r="V169" s="96" t="n">
        <f aca="false">V49*Ratio!V106</f>
        <v>0.114003059334026</v>
      </c>
      <c r="W169" s="96" t="n">
        <f aca="false">W49*Ratio!W106</f>
        <v>0.118248757120243</v>
      </c>
      <c r="X169" s="74" t="n">
        <f aca="false">X49*Ratio!X106</f>
        <v>0.110751783377261</v>
      </c>
      <c r="Y169" s="75" t="n">
        <f aca="false">Y49*Ratio!Y106</f>
        <v>0.114664785510283</v>
      </c>
      <c r="Z169" s="31" t="n">
        <f aca="false">Z49*Ratio!Z106</f>
        <v>0.118989212237489</v>
      </c>
      <c r="AA169" s="96" t="n">
        <f aca="false">AA49*Ratio!AA106</f>
        <v>0.113666050378724</v>
      </c>
      <c r="AB169" s="31" t="n">
        <f aca="false">AB49*Ratio!AB106</f>
        <v>0.120469327923544</v>
      </c>
      <c r="AC169" s="76" t="n">
        <f aca="false">AC49*Ratio!AC106</f>
        <v>0.0820698635156446</v>
      </c>
      <c r="AD169" s="75" t="n">
        <f aca="false">AD49*Ratio!AD106</f>
        <v>0.0733811080062232</v>
      </c>
      <c r="AE169" s="31" t="n">
        <f aca="false">AE49*Ratio!AE106</f>
        <v>0.0752363505177081</v>
      </c>
      <c r="AF169" s="96" t="n">
        <f aca="false">AF49*Ratio!AF106</f>
        <v>0.0748621894877627</v>
      </c>
      <c r="AG169" s="31" t="n">
        <f aca="false">AG49*Ratio!AG106</f>
        <v>0.0862556189868295</v>
      </c>
      <c r="AH169" s="31" t="n">
        <f aca="false">AH49*Ratio!AH106</f>
        <v>0.103440431704242</v>
      </c>
      <c r="AI169" s="74" t="n">
        <f aca="false">AI49*Ratio!AI106</f>
        <v>0.0951514298939532</v>
      </c>
      <c r="AJ169" s="75" t="n">
        <f aca="false">AJ49*Ratio!AJ106</f>
        <v>0.105829057274748</v>
      </c>
      <c r="AK169" s="31" t="n">
        <f aca="false">AK49*Ratio!AK106</f>
        <v>0.104597211287675</v>
      </c>
      <c r="AL169" s="31" t="n">
        <f aca="false">AL49*Ratio!AL106</f>
        <v>0.097483513487663</v>
      </c>
      <c r="AM169" s="31" t="n">
        <f aca="false">AM49*Ratio!AM106</f>
        <v>0.134049212265406</v>
      </c>
      <c r="AN169" s="76" t="n">
        <f aca="false">AN49*Ratio!AN106</f>
        <v>0.132842048176182</v>
      </c>
      <c r="AO169" s="75" t="n">
        <f aca="false">AO49*Ratio!AO106</f>
        <v>0.111719946075292</v>
      </c>
      <c r="AP169" s="31" t="n">
        <f aca="false">AP49*Ratio!AP106</f>
        <v>0.110076022618783</v>
      </c>
      <c r="AQ169" s="31" t="n">
        <f aca="false">AQ49*Ratio!AQ106</f>
        <v>0.115836313500745</v>
      </c>
    </row>
    <row r="170" customFormat="false" ht="12.8" hidden="false" customHeight="false" outlineLevel="0" collapsed="false">
      <c r="A170" s="139" t="s">
        <v>189</v>
      </c>
      <c r="B170" s="72" t="n">
        <f aca="false">B50*Ratio!B107</f>
        <v>0.209006421467166</v>
      </c>
      <c r="C170" s="72" t="n">
        <f aca="false">C50*Ratio!C107</f>
        <v>0.222749667051787</v>
      </c>
      <c r="D170" s="31" t="n">
        <f aca="false">D50*Ratio!D107</f>
        <v>0.224566571742067</v>
      </c>
      <c r="E170" s="96" t="n">
        <f aca="false">E50*Ratio!E107</f>
        <v>0.189881464145075</v>
      </c>
      <c r="F170" s="31" t="n">
        <f aca="false">F50*Ratio!F107</f>
        <v>0.18510677013907</v>
      </c>
      <c r="G170" s="96" t="n">
        <f aca="false">G50*Ratio!G107</f>
        <v>0.19449699427434</v>
      </c>
      <c r="H170" s="31" t="n">
        <f aca="false">H50*Ratio!H107</f>
        <v>0.196277376536839</v>
      </c>
      <c r="I170" s="74" t="n">
        <f aca="false">I50*Ratio!I107</f>
        <v>0.306397813081225</v>
      </c>
      <c r="J170" s="75" t="n">
        <f aca="false">J50*Ratio!J107</f>
        <v>0.335849668881047</v>
      </c>
      <c r="K170" s="96" t="n">
        <f aca="false">K50*Ratio!K107</f>
        <v>0.283673754059039</v>
      </c>
      <c r="L170" s="31" t="n">
        <f aca="false">L50*Ratio!L107</f>
        <v>0.28995475108804</v>
      </c>
      <c r="M170" s="96" t="n">
        <f aca="false">M50*Ratio!M107</f>
        <v>0.290232012315992</v>
      </c>
      <c r="N170" s="96" t="n">
        <f aca="false">N50*Ratio!N107</f>
        <v>0.292788362549336</v>
      </c>
      <c r="O170" s="31" t="n">
        <f aca="false">O50*Ratio!O107</f>
        <v>0.299606294033053</v>
      </c>
      <c r="P170" s="76" t="n">
        <f aca="false">P50*Ratio!P107</f>
        <v>0.323851444042966</v>
      </c>
      <c r="Q170" s="75" t="n">
        <f aca="false">Q50*Ratio!Q107</f>
        <v>0.398845744234176</v>
      </c>
      <c r="R170" s="31" t="n">
        <f aca="false">R50*Ratio!R107</f>
        <v>0.420502498620931</v>
      </c>
      <c r="S170" s="96" t="n">
        <f aca="false">S50*Ratio!S107</f>
        <v>0.398279148661776</v>
      </c>
      <c r="T170" s="31" t="n">
        <f aca="false">T50*Ratio!T107</f>
        <v>0.411137363409186</v>
      </c>
      <c r="U170" s="31" t="n">
        <f aca="false">U50*Ratio!U107</f>
        <v>0.377006821885787</v>
      </c>
      <c r="V170" s="96" t="n">
        <f aca="false">V50*Ratio!V107</f>
        <v>0.26806553452354</v>
      </c>
      <c r="W170" s="96" t="n">
        <f aca="false">W50*Ratio!W107</f>
        <v>0.258620886730466</v>
      </c>
      <c r="X170" s="74" t="n">
        <f aca="false">X50*Ratio!X107</f>
        <v>0.242224316953133</v>
      </c>
      <c r="Y170" s="75" t="n">
        <f aca="false">Y50*Ratio!Y107</f>
        <v>0.277947224396495</v>
      </c>
      <c r="Z170" s="31" t="n">
        <f aca="false">Z50*Ratio!Z107</f>
        <v>0.289318615328652</v>
      </c>
      <c r="AA170" s="96" t="n">
        <f aca="false">AA50*Ratio!AA107</f>
        <v>0.290584829204054</v>
      </c>
      <c r="AB170" s="31" t="n">
        <f aca="false">AB50*Ratio!AB107</f>
        <v>0.326560337561293</v>
      </c>
      <c r="AC170" s="76" t="n">
        <f aca="false">AC50*Ratio!AC107</f>
        <v>0.331683735744175</v>
      </c>
      <c r="AD170" s="75" t="n">
        <f aca="false">AD50*Ratio!AD107</f>
        <v>0.277900599190299</v>
      </c>
      <c r="AE170" s="31" t="n">
        <f aca="false">AE50*Ratio!AE107</f>
        <v>0.271587529490461</v>
      </c>
      <c r="AF170" s="96" t="n">
        <f aca="false">AF50*Ratio!AF107</f>
        <v>0.278792704505475</v>
      </c>
      <c r="AG170" s="31" t="n">
        <f aca="false">AG50*Ratio!AG107</f>
        <v>0.255568216948589</v>
      </c>
      <c r="AH170" s="31" t="n">
        <f aca="false">AH50*Ratio!AH107</f>
        <v>0.28442511019761</v>
      </c>
      <c r="AI170" s="74" t="n">
        <f aca="false">AI50*Ratio!AI107</f>
        <v>0.343329250636295</v>
      </c>
      <c r="AJ170" s="75" t="n">
        <f aca="false">AJ50*Ratio!AJ107</f>
        <v>0.312066498977577</v>
      </c>
      <c r="AK170" s="31" t="n">
        <f aca="false">AK50*Ratio!AK107</f>
        <v>0.295596261846229</v>
      </c>
      <c r="AL170" s="31" t="n">
        <f aca="false">AL50*Ratio!AL107</f>
        <v>0.317693144222075</v>
      </c>
      <c r="AM170" s="31" t="n">
        <f aca="false">AM50*Ratio!AM107</f>
        <v>0.284355059472256</v>
      </c>
      <c r="AN170" s="76" t="n">
        <f aca="false">AN50*Ratio!AN107</f>
        <v>0.305280229619567</v>
      </c>
      <c r="AO170" s="75" t="n">
        <f aca="false">AO50*Ratio!AO107</f>
        <v>0.277029026919987</v>
      </c>
      <c r="AP170" s="31" t="n">
        <f aca="false">AP50*Ratio!AP107</f>
        <v>0.254027638984336</v>
      </c>
      <c r="AQ170" s="31" t="n">
        <f aca="false">AQ50*Ratio!AQ107</f>
        <v>0.237687580685982</v>
      </c>
    </row>
    <row r="171" customFormat="false" ht="12.8" hidden="false" customHeight="false" outlineLevel="0" collapsed="false">
      <c r="A171" s="139" t="s">
        <v>190</v>
      </c>
      <c r="B171" s="72" t="n">
        <f aca="false">B51*Ratio!B108</f>
        <v>0.0245762682329129</v>
      </c>
      <c r="C171" s="72" t="n">
        <f aca="false">C51*Ratio!C108</f>
        <v>0.0252320455552661</v>
      </c>
      <c r="D171" s="31" t="n">
        <f aca="false">D51*Ratio!D108</f>
        <v>0.0248762743303627</v>
      </c>
      <c r="E171" s="96" t="n">
        <f aca="false">E51*Ratio!E108</f>
        <v>0.0257919357202823</v>
      </c>
      <c r="F171" s="31" t="n">
        <f aca="false">F51*Ratio!F108</f>
        <v>0.0269550868530267</v>
      </c>
      <c r="G171" s="96" t="n">
        <f aca="false">G51*Ratio!G108</f>
        <v>0.0356445556445004</v>
      </c>
      <c r="H171" s="31" t="n">
        <f aca="false">H51*Ratio!H108</f>
        <v>0.0337707876825828</v>
      </c>
      <c r="I171" s="74" t="n">
        <f aca="false">I51*Ratio!I108</f>
        <v>0.0355527410814709</v>
      </c>
      <c r="J171" s="75" t="n">
        <f aca="false">J51*Ratio!J108</f>
        <v>0.0318265378657791</v>
      </c>
      <c r="K171" s="96" t="n">
        <f aca="false">K51*Ratio!K108</f>
        <v>0.0320442009122459</v>
      </c>
      <c r="L171" s="31" t="n">
        <f aca="false">L51*Ratio!L108</f>
        <v>0.0327500244365939</v>
      </c>
      <c r="M171" s="96" t="n">
        <f aca="false">M51*Ratio!M108</f>
        <v>0.0327859540879189</v>
      </c>
      <c r="N171" s="96" t="n">
        <f aca="false">N51*Ratio!N108</f>
        <v>0.0330762828462788</v>
      </c>
      <c r="O171" s="31" t="n">
        <f aca="false">O51*Ratio!O108</f>
        <v>0.0336501944398369</v>
      </c>
      <c r="P171" s="76" t="n">
        <f aca="false">P51*Ratio!P108</f>
        <v>0.0336216933750399</v>
      </c>
      <c r="Q171" s="75" t="n">
        <f aca="false">Q51*Ratio!Q108</f>
        <v>0.0349489242000859</v>
      </c>
      <c r="R171" s="31" t="n">
        <f aca="false">R51*Ratio!R108</f>
        <v>0.0383586190965769</v>
      </c>
      <c r="S171" s="96" t="n">
        <f aca="false">S51*Ratio!S108</f>
        <v>0.0369628113986057</v>
      </c>
      <c r="T171" s="31" t="n">
        <f aca="false">T51*Ratio!T108</f>
        <v>0.0362485171639039</v>
      </c>
      <c r="U171" s="31" t="n">
        <f aca="false">U51*Ratio!U108</f>
        <v>0.0320115416572224</v>
      </c>
      <c r="V171" s="96" t="n">
        <f aca="false">V51*Ratio!V108</f>
        <v>0.0412842399672128</v>
      </c>
      <c r="W171" s="96" t="n">
        <f aca="false">W51*Ratio!W108</f>
        <v>0.0428217461294017</v>
      </c>
      <c r="X171" s="74" t="n">
        <f aca="false">X51*Ratio!X108</f>
        <v>0.0401068465044162</v>
      </c>
      <c r="Y171" s="75" t="n">
        <f aca="false">Y51*Ratio!Y108</f>
        <v>0.0415014465930451</v>
      </c>
      <c r="Z171" s="31" t="n">
        <f aca="false">Z51*Ratio!Z108</f>
        <v>0.0461037462479835</v>
      </c>
      <c r="AA171" s="96" t="n">
        <f aca="false">AA51*Ratio!AA108</f>
        <v>0.0371950930058054</v>
      </c>
      <c r="AB171" s="31" t="n">
        <f aca="false">AB51*Ratio!AB108</f>
        <v>0.0413870481766692</v>
      </c>
      <c r="AC171" s="76" t="n">
        <f aca="false">AC51*Ratio!AC108</f>
        <v>0.0615452652765227</v>
      </c>
      <c r="AD171" s="75" t="n">
        <f aca="false">AD51*Ratio!AD108</f>
        <v>0.0593014105308477</v>
      </c>
      <c r="AE171" s="31" t="n">
        <f aca="false">AE51*Ratio!AE108</f>
        <v>0.0588642705580144</v>
      </c>
      <c r="AF171" s="96" t="n">
        <f aca="false">AF51*Ratio!AF108</f>
        <v>0.05857153020116</v>
      </c>
      <c r="AG171" s="31" t="n">
        <f aca="false">AG51*Ratio!AG108</f>
        <v>0.0592298220967455</v>
      </c>
      <c r="AH171" s="31" t="n">
        <f aca="false">AH51*Ratio!AH108</f>
        <v>0.0977137984921921</v>
      </c>
      <c r="AI171" s="74" t="n">
        <f aca="false">AI51*Ratio!AI108</f>
        <v>0.0769409102393588</v>
      </c>
      <c r="AJ171" s="75" t="n">
        <f aca="false">AJ51*Ratio!AJ108</f>
        <v>0.0937471594801811</v>
      </c>
      <c r="AK171" s="31" t="n">
        <f aca="false">AK51*Ratio!AK108</f>
        <v>0.0916351171611969</v>
      </c>
      <c r="AL171" s="31" t="n">
        <f aca="false">AL51*Ratio!AL108</f>
        <v>0.0945045480014111</v>
      </c>
      <c r="AM171" s="31" t="n">
        <f aca="false">AM51*Ratio!AM108</f>
        <v>0.107600222266752</v>
      </c>
      <c r="AN171" s="76" t="n">
        <f aca="false">AN51*Ratio!AN108</f>
        <v>0.0803700925057869</v>
      </c>
      <c r="AO171" s="75" t="n">
        <f aca="false">AO51*Ratio!AO108</f>
        <v>0.0886464365767939</v>
      </c>
      <c r="AP171" s="31" t="n">
        <f aca="false">AP51*Ratio!AP108</f>
        <v>0.0890651141599436</v>
      </c>
      <c r="AQ171" s="31" t="n">
        <f aca="false">AQ51*Ratio!AQ108</f>
        <v>0.0838164794995706</v>
      </c>
    </row>
    <row r="172" customFormat="false" ht="12.8" hidden="false" customHeight="false" outlineLevel="0" collapsed="false">
      <c r="A172" s="139" t="s">
        <v>26</v>
      </c>
      <c r="B172" s="72" t="n">
        <f aca="false">B52*Ratio!B109</f>
        <v>0.191656117263486</v>
      </c>
      <c r="C172" s="72" t="n">
        <f aca="false">C52*Ratio!C109</f>
        <v>0.207357178527784</v>
      </c>
      <c r="D172" s="31" t="n">
        <f aca="false">D52*Ratio!D109</f>
        <v>0.185561512509314</v>
      </c>
      <c r="E172" s="96" t="n">
        <f aca="false">E52*Ratio!E109</f>
        <v>0.193797461626725</v>
      </c>
      <c r="F172" s="31" t="n">
        <f aca="false">F52*Ratio!F109</f>
        <v>0.195055863521235</v>
      </c>
      <c r="G172" s="96" t="n">
        <f aca="false">G52*Ratio!G109</f>
        <v>0.209659296313564</v>
      </c>
      <c r="H172" s="31" t="n">
        <f aca="false">H52*Ratio!H109</f>
        <v>0.190191700342696</v>
      </c>
      <c r="I172" s="74" t="n">
        <f aca="false">I52*Ratio!I109</f>
        <v>0.192058758412113</v>
      </c>
      <c r="J172" s="75" t="n">
        <f aca="false">J52*Ratio!J109</f>
        <v>0.196648207437995</v>
      </c>
      <c r="K172" s="96" t="n">
        <f aca="false">K52*Ratio!K109</f>
        <v>0.23344515989459</v>
      </c>
      <c r="L172" s="31" t="n">
        <f aca="false">L52*Ratio!L109</f>
        <v>0.230811910465733</v>
      </c>
      <c r="M172" s="96" t="n">
        <f aca="false">M52*Ratio!M109</f>
        <v>0.202576200016591</v>
      </c>
      <c r="N172" s="96" t="n">
        <f aca="false">N52*Ratio!N109</f>
        <v>0.204370068710067</v>
      </c>
      <c r="O172" s="31" t="n">
        <f aca="false">O52*Ratio!O109</f>
        <v>0.208349837388949</v>
      </c>
      <c r="P172" s="76" t="n">
        <f aca="false">P52*Ratio!P109</f>
        <v>0.0749309881184588</v>
      </c>
      <c r="Q172" s="75" t="n">
        <f aca="false">Q52*Ratio!Q109</f>
        <v>0.0721717711208114</v>
      </c>
      <c r="R172" s="31" t="n">
        <f aca="false">R52*Ratio!R109</f>
        <v>0.083855208697547</v>
      </c>
      <c r="S172" s="96" t="n">
        <f aca="false">S52*Ratio!S109</f>
        <v>0.0807940264400098</v>
      </c>
      <c r="T172" s="31" t="n">
        <f aca="false">T52*Ratio!T109</f>
        <v>0.0893769154537643</v>
      </c>
      <c r="U172" s="31" t="n">
        <f aca="false">U52*Ratio!U109</f>
        <v>0.165129739948043</v>
      </c>
      <c r="V172" s="96" t="n">
        <f aca="false">V52*Ratio!V109</f>
        <v>0.166642998001326</v>
      </c>
      <c r="W172" s="96" t="n">
        <f aca="false">W52*Ratio!W109</f>
        <v>0.172849110467394</v>
      </c>
      <c r="X172" s="74" t="n">
        <f aca="false">X52*Ratio!X109</f>
        <v>0.180487716932576</v>
      </c>
      <c r="Y172" s="75" t="n">
        <f aca="false">Y52*Ratio!Y109</f>
        <v>0.17367779442479</v>
      </c>
      <c r="Z172" s="31" t="n">
        <f aca="false">Z52*Ratio!Z109</f>
        <v>0.176926991707383</v>
      </c>
      <c r="AA172" s="96" t="n">
        <f aca="false">AA52*Ratio!AA109</f>
        <v>0.172207634020792</v>
      </c>
      <c r="AB172" s="31" t="n">
        <f aca="false">AB52*Ratio!AB109</f>
        <v>0.202834476627169</v>
      </c>
      <c r="AC172" s="76" t="n">
        <f aca="false">AC52*Ratio!AC109</f>
        <v>0.241355762640297</v>
      </c>
      <c r="AD172" s="75" t="n">
        <f aca="false">AD52*Ratio!AD109</f>
        <v>0.243571596163661</v>
      </c>
      <c r="AE172" s="31" t="n">
        <f aca="false">AE52*Ratio!AE109</f>
        <v>0.25284361531313</v>
      </c>
      <c r="AF172" s="96" t="n">
        <f aca="false">AF52*Ratio!AF109</f>
        <v>0.235040365674596</v>
      </c>
      <c r="AG172" s="31" t="n">
        <f aca="false">AG52*Ratio!AG109</f>
        <v>0.235299956307453</v>
      </c>
      <c r="AH172" s="31" t="n">
        <f aca="false">AH52*Ratio!AH109</f>
        <v>0.255941486954097</v>
      </c>
      <c r="AI172" s="74" t="n">
        <f aca="false">AI52*Ratio!AI109</f>
        <v>0.295832194236829</v>
      </c>
      <c r="AJ172" s="75" t="n">
        <f aca="false">AJ52*Ratio!AJ109</f>
        <v>0.295591164073752</v>
      </c>
      <c r="AK172" s="31" t="n">
        <f aca="false">AK52*Ratio!AK109</f>
        <v>0.259532667017537</v>
      </c>
      <c r="AL172" s="31" t="n">
        <f aca="false">AL52*Ratio!AL109</f>
        <v>0.254194231594121</v>
      </c>
      <c r="AM172" s="31" t="n">
        <f aca="false">AM52*Ratio!AM109</f>
        <v>0.249634545203249</v>
      </c>
      <c r="AN172" s="76" t="n">
        <f aca="false">AN52*Ratio!AN109</f>
        <v>0.249077542380404</v>
      </c>
      <c r="AO172" s="75" t="n">
        <f aca="false">AO52*Ratio!AO109</f>
        <v>0.202715629288216</v>
      </c>
      <c r="AP172" s="31" t="n">
        <f aca="false">AP52*Ratio!AP109</f>
        <v>0.231609706687282</v>
      </c>
      <c r="AQ172" s="31" t="n">
        <f aca="false">AQ52*Ratio!AQ109</f>
        <v>0.221368651234249</v>
      </c>
    </row>
    <row r="173" customFormat="false" ht="12.8" hidden="false" customHeight="false" outlineLevel="0" collapsed="false">
      <c r="A173" s="139" t="s">
        <v>191</v>
      </c>
      <c r="B173" s="72" t="n">
        <f aca="false">B53*Ratio!B110</f>
        <v>0.0846786783843526</v>
      </c>
      <c r="C173" s="72" t="n">
        <f aca="false">C53*Ratio!C110</f>
        <v>0.104399815788035</v>
      </c>
      <c r="D173" s="31" t="n">
        <f aca="false">D53*Ratio!D110</f>
        <v>0.102927780940078</v>
      </c>
      <c r="E173" s="96" t="n">
        <f aca="false">E53*Ratio!E110</f>
        <v>0.100679504313003</v>
      </c>
      <c r="F173" s="31" t="n">
        <f aca="false">F53*Ratio!F110</f>
        <v>0.107488251142611</v>
      </c>
      <c r="G173" s="96" t="n">
        <f aca="false">G53*Ratio!G110</f>
        <v>0.104701749288597</v>
      </c>
      <c r="H173" s="31" t="n">
        <f aca="false">H53*Ratio!H110</f>
        <v>0.0990280244605431</v>
      </c>
      <c r="I173" s="74" t="n">
        <f aca="false">I53*Ratio!I110</f>
        <v>0.104253348975661</v>
      </c>
      <c r="J173" s="75" t="n">
        <f aca="false">J53*Ratio!J110</f>
        <v>0.103573999542531</v>
      </c>
      <c r="K173" s="96" t="n">
        <f aca="false">K53*Ratio!K110</f>
        <v>0.112136708597954</v>
      </c>
      <c r="L173" s="31" t="n">
        <f aca="false">L53*Ratio!L110</f>
        <v>0.114606694574142</v>
      </c>
      <c r="M173" s="96" t="n">
        <f aca="false">M53*Ratio!M110</f>
        <v>0.114732428177289</v>
      </c>
      <c r="N173" s="96" t="n">
        <f aca="false">N53*Ratio!N110</f>
        <v>0.115005961648171</v>
      </c>
      <c r="O173" s="31" t="n">
        <f aca="false">O53*Ratio!O110</f>
        <v>0.118549410308795</v>
      </c>
      <c r="P173" s="76" t="n">
        <f aca="false">P53*Ratio!P110</f>
        <v>0.0818882107229377</v>
      </c>
      <c r="Q173" s="75" t="n">
        <f aca="false">Q53*Ratio!Q110</f>
        <v>0.187391392893162</v>
      </c>
      <c r="R173" s="31" t="n">
        <f aca="false">R53*Ratio!R110</f>
        <v>0.159168165444619</v>
      </c>
      <c r="S173" s="96" t="n">
        <f aca="false">S53*Ratio!S110</f>
        <v>0.155112295294696</v>
      </c>
      <c r="T173" s="31" t="n">
        <f aca="false">T53*Ratio!T110</f>
        <v>0.149516294495144</v>
      </c>
      <c r="U173" s="31" t="n">
        <f aca="false">U53*Ratio!U110</f>
        <v>0.151995130593218</v>
      </c>
      <c r="V173" s="96" t="n">
        <f aca="false">V53*Ratio!V110</f>
        <v>0.150071916240305</v>
      </c>
      <c r="W173" s="96" t="n">
        <f aca="false">W53*Ratio!W110</f>
        <v>0.101195129801022</v>
      </c>
      <c r="X173" s="74" t="n">
        <f aca="false">X53*Ratio!X110</f>
        <v>0.0947793563966177</v>
      </c>
      <c r="Y173" s="75" t="n">
        <f aca="false">Y53*Ratio!Y110</f>
        <v>0.101902858984499</v>
      </c>
      <c r="Z173" s="31" t="n">
        <f aca="false">Z53*Ratio!Z110</f>
        <v>0.0968513750245316</v>
      </c>
      <c r="AA173" s="96" t="n">
        <f aca="false">AA53*Ratio!AA110</f>
        <v>0.0959284400639786</v>
      </c>
      <c r="AB173" s="31" t="n">
        <f aca="false">AB53*Ratio!AB110</f>
        <v>0.0886555059336917</v>
      </c>
      <c r="AC173" s="76" t="n">
        <f aca="false">AC53*Ratio!AC110</f>
        <v>0.0824144581312015</v>
      </c>
      <c r="AD173" s="75" t="n">
        <f aca="false">AD53*Ratio!AD110</f>
        <v>1.34561524916507</v>
      </c>
      <c r="AE173" s="31" t="n">
        <f aca="false">AE53*Ratio!AE110</f>
        <v>1.4529099918812</v>
      </c>
      <c r="AF173" s="96" t="n">
        <f aca="false">AF53*Ratio!AF110</f>
        <v>1.28913187706407</v>
      </c>
      <c r="AG173" s="31" t="n">
        <f aca="false">AG53*Ratio!AG110</f>
        <v>0.810234893748386</v>
      </c>
      <c r="AH173" s="31" t="n">
        <f aca="false">AH53*Ratio!AH110</f>
        <v>2.57113694294793</v>
      </c>
      <c r="AI173" s="74" t="n">
        <f aca="false">AI53*Ratio!AI110</f>
        <v>2.55861003815435</v>
      </c>
      <c r="AJ173" s="75" t="n">
        <f aca="false">AJ53*Ratio!AJ110</f>
        <v>2.78651854631315</v>
      </c>
      <c r="AK173" s="31" t="n">
        <f aca="false">AK53*Ratio!AK110</f>
        <v>3.18074644398668</v>
      </c>
      <c r="AL173" s="31" t="n">
        <f aca="false">AL53*Ratio!AL110</f>
        <v>3.15079419110949</v>
      </c>
      <c r="AM173" s="31" t="n">
        <f aca="false">AM53*Ratio!AM110</f>
        <v>3.41564532806814</v>
      </c>
      <c r="AN173" s="76" t="n">
        <f aca="false">AN53*Ratio!AN110</f>
        <v>2.94658205801062</v>
      </c>
      <c r="AO173" s="75" t="n">
        <f aca="false">AO53*Ratio!AO110</f>
        <v>3.22405115668303</v>
      </c>
      <c r="AP173" s="31" t="n">
        <f aca="false">AP53*Ratio!AP110</f>
        <v>3.19020882039773</v>
      </c>
      <c r="AQ173" s="31" t="n">
        <f aca="false">AQ53*Ratio!AQ110</f>
        <v>3.12417268708877</v>
      </c>
    </row>
    <row r="174" customFormat="false" ht="12.8" hidden="false" customHeight="false" outlineLevel="0" collapsed="false">
      <c r="A174" s="139" t="s">
        <v>192</v>
      </c>
      <c r="B174" s="72" t="n">
        <f aca="false">B54*Ratio!B111</f>
        <v>0.0165292247234775</v>
      </c>
      <c r="C174" s="72" t="n">
        <f aca="false">C54*Ratio!C111</f>
        <v>0.0169598806145763</v>
      </c>
      <c r="D174" s="31" t="n">
        <f aca="false">D54*Ratio!D111</f>
        <v>0.0167207467129175</v>
      </c>
      <c r="E174" s="96" t="n">
        <f aca="false">E54*Ratio!E111</f>
        <v>0.0173362143658432</v>
      </c>
      <c r="F174" s="31" t="n">
        <f aca="false">F54*Ratio!F111</f>
        <v>0.0181180338304937</v>
      </c>
      <c r="G174" s="96" t="n">
        <f aca="false">G54*Ratio!G111</f>
        <v>0.0218734544384851</v>
      </c>
      <c r="H174" s="31" t="n">
        <f aca="false">H54*Ratio!H111</f>
        <v>0.0207778726446586</v>
      </c>
      <c r="I174" s="74" t="n">
        <f aca="false">I54*Ratio!I111</f>
        <v>0.0226303624217765</v>
      </c>
      <c r="J174" s="75" t="n">
        <f aca="false">J54*Ratio!J111</f>
        <v>0.0247852184604683</v>
      </c>
      <c r="K174" s="96" t="n">
        <f aca="false">K54*Ratio!K111</f>
        <v>0.0249668727915621</v>
      </c>
      <c r="L174" s="31" t="n">
        <f aca="false">L54*Ratio!L111</f>
        <v>0.025513941916227</v>
      </c>
      <c r="M174" s="96" t="n">
        <f aca="false">M54*Ratio!M111</f>
        <v>0.0255419329499055</v>
      </c>
      <c r="N174" s="96" t="n">
        <f aca="false">N54*Ratio!N111</f>
        <v>0.0257681138827394</v>
      </c>
      <c r="O174" s="31" t="n">
        <f aca="false">O54*Ratio!O111</f>
        <v>0.0263916761587153</v>
      </c>
      <c r="P174" s="76" t="n">
        <f aca="false">P54*Ratio!P111</f>
        <v>0.0368526776169401</v>
      </c>
      <c r="Q174" s="75" t="n">
        <f aca="false">Q54*Ratio!Q111</f>
        <v>0.0382413566501818</v>
      </c>
      <c r="R174" s="31" t="n">
        <f aca="false">R54*Ratio!R111</f>
        <v>0.0408386305590677</v>
      </c>
      <c r="S174" s="96" t="n">
        <f aca="false">S54*Ratio!S111</f>
        <v>0.0393477930400717</v>
      </c>
      <c r="T174" s="31" t="n">
        <f aca="false">T54*Ratio!T111</f>
        <v>0.0405779704513136</v>
      </c>
      <c r="U174" s="31" t="n">
        <f aca="false">U54*Ratio!U111</f>
        <v>0.0822649042409684</v>
      </c>
      <c r="V174" s="96" t="n">
        <f aca="false">V54*Ratio!V111</f>
        <v>0.0913173339380454</v>
      </c>
      <c r="W174" s="96" t="n">
        <f aca="false">W54*Ratio!W111</f>
        <v>0.0947181707647838</v>
      </c>
      <c r="X174" s="74" t="n">
        <f aca="false">X54*Ratio!X111</f>
        <v>0.0887130367024886</v>
      </c>
      <c r="Y174" s="75" t="n">
        <f aca="false">Y54*Ratio!Y111</f>
        <v>0.0928416707439829</v>
      </c>
      <c r="Z174" s="31" t="n">
        <f aca="false">Z54*Ratio!Z111</f>
        <v>0.105094386639442</v>
      </c>
      <c r="AA174" s="96" t="n">
        <f aca="false">AA54*Ratio!AA111</f>
        <v>0.102291094747017</v>
      </c>
      <c r="AB174" s="31" t="n">
        <f aca="false">AB54*Ratio!AB111</f>
        <v>0.127441168847896</v>
      </c>
      <c r="AC174" s="76" t="n">
        <f aca="false">AC54*Ratio!AC111</f>
        <v>0.100695389057699</v>
      </c>
      <c r="AD174" s="75" t="n">
        <f aca="false">AD54*Ratio!AD111</f>
        <v>0.0876501791261197</v>
      </c>
      <c r="AE174" s="31" t="n">
        <f aca="false">AE54*Ratio!AE111</f>
        <v>0.0898362803714968</v>
      </c>
      <c r="AF174" s="96" t="n">
        <f aca="false">AF54*Ratio!AF111</f>
        <v>0.0918942933761992</v>
      </c>
      <c r="AG174" s="31" t="n">
        <f aca="false">AG54*Ratio!AG111</f>
        <v>0.0916274841226684</v>
      </c>
      <c r="AH174" s="31" t="n">
        <f aca="false">AH54*Ratio!AH111</f>
        <v>0.123387598150908</v>
      </c>
      <c r="AI174" s="74" t="n">
        <f aca="false">AI54*Ratio!AI111</f>
        <v>0.162427887935623</v>
      </c>
      <c r="AJ174" s="75" t="n">
        <f aca="false">AJ54*Ratio!AJ111</f>
        <v>0.169435599215749</v>
      </c>
      <c r="AK174" s="31" t="n">
        <f aca="false">AK54*Ratio!AK111</f>
        <v>0.183870728676419</v>
      </c>
      <c r="AL174" s="31" t="n">
        <f aca="false">AL54*Ratio!AL111</f>
        <v>0.18962839403247</v>
      </c>
      <c r="AM174" s="31" t="n">
        <f aca="false">AM54*Ratio!AM111</f>
        <v>0.206884760416074</v>
      </c>
      <c r="AN174" s="76" t="n">
        <f aca="false">AN54*Ratio!AN111</f>
        <v>0.112002401849068</v>
      </c>
      <c r="AO174" s="75" t="n">
        <f aca="false">AO54*Ratio!AO111</f>
        <v>0.0970133747383008</v>
      </c>
      <c r="AP174" s="31" t="n">
        <f aca="false">AP54*Ratio!AP111</f>
        <v>0.084682031094054</v>
      </c>
      <c r="AQ174" s="31" t="n">
        <f aca="false">AQ54*Ratio!AQ111</f>
        <v>0.0829001813954941</v>
      </c>
    </row>
    <row r="175" customFormat="false" ht="12.8" hidden="false" customHeight="false" outlineLevel="0" collapsed="false">
      <c r="A175" s="139" t="s">
        <v>193</v>
      </c>
      <c r="B175" s="72" t="n">
        <f aca="false">B55*Ratio!B112</f>
        <v>0.0366880646389557</v>
      </c>
      <c r="C175" s="72" t="n">
        <f aca="false">C55*Ratio!C112</f>
        <v>0.0372577090869809</v>
      </c>
      <c r="D175" s="31" t="n">
        <f aca="false">D55*Ratio!D112</f>
        <v>0.0367323763005473</v>
      </c>
      <c r="E175" s="96" t="n">
        <f aca="false">E55*Ratio!E112</f>
        <v>0.0380429447216245</v>
      </c>
      <c r="F175" s="31" t="n">
        <f aca="false">F55*Ratio!F112</f>
        <v>0.0436974865549487</v>
      </c>
      <c r="G175" s="96" t="n">
        <f aca="false">G55*Ratio!G112</f>
        <v>0.0397028322499442</v>
      </c>
      <c r="H175" s="31" t="n">
        <f aca="false">H55*Ratio!H112</f>
        <v>0.0398608931216623</v>
      </c>
      <c r="I175" s="74" t="n">
        <f aca="false">I55*Ratio!I112</f>
        <v>0.0419729017750404</v>
      </c>
      <c r="J175" s="75" t="n">
        <f aca="false">J55*Ratio!J112</f>
        <v>0.0492965030194571</v>
      </c>
      <c r="K175" s="96" t="n">
        <f aca="false">K55*Ratio!K112</f>
        <v>0.0503534951551444</v>
      </c>
      <c r="L175" s="31" t="n">
        <f aca="false">L55*Ratio!L112</f>
        <v>0.0514626094535779</v>
      </c>
      <c r="M175" s="96" t="n">
        <f aca="false">M55*Ratio!M112</f>
        <v>0.0515190684530978</v>
      </c>
      <c r="N175" s="96" t="n">
        <f aca="false">N55*Ratio!N112</f>
        <v>0.0519752841586324</v>
      </c>
      <c r="O175" s="31" t="n">
        <f aca="false">O55*Ratio!O112</f>
        <v>0.0539940504321854</v>
      </c>
      <c r="P175" s="76" t="n">
        <f aca="false">P55*Ratio!P112</f>
        <v>0.0485448403113517</v>
      </c>
      <c r="Q175" s="75" t="n">
        <f aca="false">Q55*Ratio!Q112</f>
        <v>0.0489434435931716</v>
      </c>
      <c r="R175" s="31" t="n">
        <f aca="false">R55*Ratio!R112</f>
        <v>0.0514977557265895</v>
      </c>
      <c r="S175" s="96" t="n">
        <f aca="false">S55*Ratio!S112</f>
        <v>0.0496178007591907</v>
      </c>
      <c r="T175" s="31" t="n">
        <f aca="false">T55*Ratio!T112</f>
        <v>0.0500625378139423</v>
      </c>
      <c r="U175" s="31" t="n">
        <f aca="false">U55*Ratio!U112</f>
        <v>0.0504934299101432</v>
      </c>
      <c r="V175" s="96" t="n">
        <f aca="false">V55*Ratio!V112</f>
        <v>0.0540513845109459</v>
      </c>
      <c r="W175" s="96" t="n">
        <f aca="false">W55*Ratio!W112</f>
        <v>0.0560643642055319</v>
      </c>
      <c r="X175" s="74" t="n">
        <f aca="false">X55*Ratio!X112</f>
        <v>0.0525098823098919</v>
      </c>
      <c r="Y175" s="75" t="n">
        <f aca="false">Y55*Ratio!Y112</f>
        <v>0.0546807472285927</v>
      </c>
      <c r="Z175" s="31" t="n">
        <f aca="false">Z55*Ratio!Z112</f>
        <v>0.0668953955065413</v>
      </c>
      <c r="AA175" s="96" t="n">
        <f aca="false">AA55*Ratio!AA112</f>
        <v>0.0651110250386167</v>
      </c>
      <c r="AB175" s="31" t="n">
        <f aca="false">AB55*Ratio!AB112</f>
        <v>0.0769711472788199</v>
      </c>
      <c r="AC175" s="76" t="n">
        <f aca="false">AC55*Ratio!AC112</f>
        <v>0.0440909076287184</v>
      </c>
      <c r="AD175" s="75" t="n">
        <f aca="false">AD55*Ratio!AD112</f>
        <v>0.0462102412764681</v>
      </c>
      <c r="AE175" s="31" t="n">
        <f aca="false">AE55*Ratio!AE112</f>
        <v>0.0812013354237172</v>
      </c>
      <c r="AF175" s="96" t="n">
        <f aca="false">AF55*Ratio!AF112</f>
        <v>0.0807975096787679</v>
      </c>
      <c r="AG175" s="31" t="n">
        <f aca="false">AG55*Ratio!AG112</f>
        <v>0.0863907440094917</v>
      </c>
      <c r="AH175" s="31" t="n">
        <f aca="false">AH55*Ratio!AH112</f>
        <v>0.0907336467879261</v>
      </c>
      <c r="AI175" s="74" t="n">
        <f aca="false">AI55*Ratio!AI112</f>
        <v>0.0714446626876075</v>
      </c>
      <c r="AJ175" s="75" t="n">
        <f aca="false">AJ55*Ratio!AJ112</f>
        <v>0.0655831054367179</v>
      </c>
      <c r="AK175" s="31" t="n">
        <f aca="false">AK55*Ratio!AK112</f>
        <v>0.068891023209475</v>
      </c>
      <c r="AL175" s="31" t="n">
        <f aca="false">AL55*Ratio!AL112</f>
        <v>0.0710482532402223</v>
      </c>
      <c r="AM175" s="31" t="n">
        <f aca="false">AM55*Ratio!AM112</f>
        <v>0.069954582722089</v>
      </c>
      <c r="AN175" s="76" t="n">
        <f aca="false">AN55*Ratio!AN112</f>
        <v>0.0617074711689418</v>
      </c>
      <c r="AO175" s="75" t="n">
        <f aca="false">AO55*Ratio!AO112</f>
        <v>0.068423826549346</v>
      </c>
      <c r="AP175" s="31" t="n">
        <f aca="false">AP55*Ratio!AP112</f>
        <v>0.0674169917145645</v>
      </c>
      <c r="AQ175" s="31" t="n">
        <f aca="false">AQ55*Ratio!AQ112</f>
        <v>0.0690063977609028</v>
      </c>
    </row>
    <row r="176" customFormat="false" ht="12.8" hidden="false" customHeight="false" outlineLevel="0" collapsed="false">
      <c r="A176" s="139" t="s">
        <v>194</v>
      </c>
      <c r="B176" s="72" t="n">
        <f aca="false">B56*Ratio!B113</f>
        <v>0.0344590529937825</v>
      </c>
      <c r="C176" s="72" t="n">
        <f aca="false">C56*Ratio!C113</f>
        <v>0.0353580780031767</v>
      </c>
      <c r="D176" s="31" t="n">
        <f aca="false">D56*Ratio!D113</f>
        <v>0.0348595299685409</v>
      </c>
      <c r="E176" s="96" t="n">
        <f aca="false">E56*Ratio!E113</f>
        <v>0.0361426612461206</v>
      </c>
      <c r="F176" s="31" t="n">
        <f aca="false">F56*Ratio!F113</f>
        <v>0.0329146638221096</v>
      </c>
      <c r="G176" s="96" t="n">
        <f aca="false">G56*Ratio!G113</f>
        <v>0.034940102972787</v>
      </c>
      <c r="H176" s="31" t="n">
        <f aca="false">H56*Ratio!H113</f>
        <v>0.0351155828106004</v>
      </c>
      <c r="I176" s="74" t="n">
        <f aca="false">I56*Ratio!I113</f>
        <v>0.0330746353078688</v>
      </c>
      <c r="J176" s="75" t="n">
        <f aca="false">J56*Ratio!J113</f>
        <v>0.0362239917473445</v>
      </c>
      <c r="K176" s="96" t="n">
        <f aca="false">K56*Ratio!K113</f>
        <v>0.0344925892607957</v>
      </c>
      <c r="L176" s="31" t="n">
        <f aca="false">L56*Ratio!L113</f>
        <v>0.0352523423587935</v>
      </c>
      <c r="M176" s="96" t="n">
        <f aca="false">M56*Ratio!M113</f>
        <v>0.0352910172725113</v>
      </c>
      <c r="N176" s="96" t="n">
        <f aca="false">N56*Ratio!N113</f>
        <v>0.0356035290633382</v>
      </c>
      <c r="O176" s="31" t="n">
        <f aca="false">O56*Ratio!O113</f>
        <v>0.036465098432231</v>
      </c>
      <c r="P176" s="76" t="n">
        <f aca="false">P56*Ratio!P113</f>
        <v>0.026375029114891</v>
      </c>
      <c r="Q176" s="75" t="n">
        <f aca="false">Q56*Ratio!Q113</f>
        <v>0.0274161947475166</v>
      </c>
      <c r="R176" s="31" t="n">
        <f aca="false">R56*Ratio!R113</f>
        <v>0.0282922850379896</v>
      </c>
      <c r="S176" s="96" t="n">
        <f aca="false">S56*Ratio!S113</f>
        <v>0.0272594590236169</v>
      </c>
      <c r="T176" s="31" t="n">
        <f aca="false">T56*Ratio!T113</f>
        <v>0.0267326788982719</v>
      </c>
      <c r="U176" s="31" t="n">
        <f aca="false">U56*Ratio!U113</f>
        <v>0.0219176719141591</v>
      </c>
      <c r="V176" s="96" t="n">
        <f aca="false">V56*Ratio!V113</f>
        <v>0.0224891293276281</v>
      </c>
      <c r="W176" s="96" t="n">
        <f aca="false">W56*Ratio!W113</f>
        <v>0.0233266686634849</v>
      </c>
      <c r="X176" s="74" t="n">
        <f aca="false">X56*Ratio!X113</f>
        <v>0.0218477573688524</v>
      </c>
      <c r="Y176" s="75" t="n">
        <f aca="false">Y56*Ratio!Y113</f>
        <v>0.0226196665749991</v>
      </c>
      <c r="Z176" s="31" t="n">
        <f aca="false">Z56*Ratio!Z113</f>
        <v>0.0239392370226015</v>
      </c>
      <c r="AA176" s="96" t="n">
        <f aca="false">AA56*Ratio!AA113</f>
        <v>0.0233006808522654</v>
      </c>
      <c r="AB176" s="31" t="n">
        <f aca="false">AB56*Ratio!AB113</f>
        <v>0.0335187703060635</v>
      </c>
      <c r="AC176" s="76" t="n">
        <f aca="false">AC56*Ratio!AC113</f>
        <v>0.0400313911045294</v>
      </c>
      <c r="AD176" s="75" t="n">
        <f aca="false">AD56*Ratio!AD113</f>
        <v>0.0419555944992175</v>
      </c>
      <c r="AE176" s="31" t="n">
        <f aca="false">AE56*Ratio!AE113</f>
        <v>0.0361841126828556</v>
      </c>
      <c r="AF176" s="96" t="n">
        <f aca="false">AF56*Ratio!AF113</f>
        <v>0.0360041639642386</v>
      </c>
      <c r="AG176" s="31" t="n">
        <f aca="false">AG56*Ratio!AG113</f>
        <v>0.0384965641227884</v>
      </c>
      <c r="AH176" s="31" t="n">
        <f aca="false">AH56*Ratio!AH113</f>
        <v>0.0354627999057819</v>
      </c>
      <c r="AI176" s="74" t="n">
        <f aca="false">AI56*Ratio!AI113</f>
        <v>0.0279237952724264</v>
      </c>
      <c r="AJ176" s="75" t="n">
        <f aca="false">AJ56*Ratio!AJ113</f>
        <v>0.0291285261693281</v>
      </c>
      <c r="AK176" s="31" t="n">
        <f aca="false">AK56*Ratio!AK113</f>
        <v>0.0305977272504314</v>
      </c>
      <c r="AL176" s="31" t="n">
        <f aca="false">AL56*Ratio!AL113</f>
        <v>0.0315558540574109</v>
      </c>
      <c r="AM176" s="31" t="n">
        <f aca="false">AM56*Ratio!AM113</f>
        <v>0.0332726801551377</v>
      </c>
      <c r="AN176" s="76" t="n">
        <f aca="false">AN56*Ratio!AN113</f>
        <v>0.0541773108766018</v>
      </c>
      <c r="AO176" s="75" t="n">
        <f aca="false">AO56*Ratio!AO113</f>
        <v>0.0656630445747102</v>
      </c>
      <c r="AP176" s="31" t="n">
        <f aca="false">AP56*Ratio!AP113</f>
        <v>0.0646968337681873</v>
      </c>
      <c r="AQ176" s="31" t="n">
        <f aca="false">AQ56*Ratio!AQ113</f>
        <v>0.0661330641869158</v>
      </c>
    </row>
    <row r="177" customFormat="false" ht="12.8" hidden="false" customHeight="false" outlineLevel="0" collapsed="false">
      <c r="A177" s="139" t="s">
        <v>195</v>
      </c>
      <c r="B177" s="72" t="n">
        <f aca="false">B57*Ratio!B114</f>
        <v>0.0262797631165245</v>
      </c>
      <c r="C177" s="72" t="n">
        <f aca="false">C57*Ratio!C114</f>
        <v>0.0266101465480918</v>
      </c>
      <c r="D177" s="31" t="n">
        <f aca="false">D57*Ratio!D114</f>
        <v>0.0262349441329117</v>
      </c>
      <c r="E177" s="96" t="n">
        <f aca="false">E57*Ratio!E114</f>
        <v>0.0271626676566448</v>
      </c>
      <c r="F177" s="31" t="n">
        <f aca="false">F57*Ratio!F114</f>
        <v>0.0320650763289384</v>
      </c>
      <c r="G177" s="96" t="n">
        <f aca="false">G57*Ratio!G114</f>
        <v>0.0286783228830164</v>
      </c>
      <c r="H177" s="31" t="n">
        <f aca="false">H57*Ratio!H114</f>
        <v>0.0287935605936584</v>
      </c>
      <c r="I177" s="74" t="n">
        <f aca="false">I57*Ratio!I114</f>
        <v>0.0303189476130868</v>
      </c>
      <c r="J177" s="75" t="n">
        <f aca="false">J57*Ratio!J114</f>
        <v>0.0355232172710481</v>
      </c>
      <c r="K177" s="96" t="n">
        <f aca="false">K57*Ratio!K114</f>
        <v>0.0362675568605431</v>
      </c>
      <c r="L177" s="31" t="n">
        <f aca="false">L57*Ratio!L114</f>
        <v>0.0370664063894455</v>
      </c>
      <c r="M177" s="96" t="n">
        <f aca="false">M57*Ratio!M114</f>
        <v>0.037107071490628</v>
      </c>
      <c r="N177" s="96" t="n">
        <f aca="false">N57*Ratio!N114</f>
        <v>0.0374356649475503</v>
      </c>
      <c r="O177" s="31" t="n">
        <f aca="false">O57*Ratio!O114</f>
        <v>0.0388716379406301</v>
      </c>
      <c r="P177" s="76" t="n">
        <f aca="false">P57*Ratio!P114</f>
        <v>0.0505819357860353</v>
      </c>
      <c r="Q177" s="75" t="n">
        <f aca="false">Q57*Ratio!Q114</f>
        <v>0.060269353533897</v>
      </c>
      <c r="R177" s="31" t="n">
        <f aca="false">R57*Ratio!R114</f>
        <v>0.0621952734484</v>
      </c>
      <c r="S177" s="96" t="n">
        <f aca="false">S57*Ratio!S114</f>
        <v>0.0599247994904896</v>
      </c>
      <c r="T177" s="31" t="n">
        <f aca="false">T57*Ratio!T114</f>
        <v>0.0587667723499098</v>
      </c>
      <c r="U177" s="31" t="n">
        <f aca="false">U57*Ratio!U114</f>
        <v>0.0651344147266803</v>
      </c>
      <c r="V177" s="96" t="n">
        <f aca="false">V57*Ratio!V114</f>
        <v>0.0668326582405585</v>
      </c>
      <c r="W177" s="96" t="n">
        <f aca="false">W57*Ratio!W114</f>
        <v>0.0693216376661681</v>
      </c>
      <c r="X177" s="74" t="n">
        <f aca="false">X57*Ratio!X114</f>
        <v>0.0649266443481809</v>
      </c>
      <c r="Y177" s="75" t="n">
        <f aca="false">Y57*Ratio!Y114</f>
        <v>0.067220585719391</v>
      </c>
      <c r="Z177" s="31" t="n">
        <f aca="false">Z57*Ratio!Z114</f>
        <v>0.0822753108642977</v>
      </c>
      <c r="AA177" s="96" t="n">
        <f aca="false">AA57*Ratio!AA114</f>
        <v>0.0800806959160803</v>
      </c>
      <c r="AB177" s="31" t="n">
        <f aca="false">AB57*Ratio!AB114</f>
        <v>0.0890927458023215</v>
      </c>
      <c r="AC177" s="76" t="n">
        <f aca="false">AC57*Ratio!AC114</f>
        <v>0.0992379077352847</v>
      </c>
      <c r="AD177" s="75" t="n">
        <f aca="false">AD57*Ratio!AD114</f>
        <v>0.104008012237708</v>
      </c>
      <c r="AE177" s="31" t="n">
        <f aca="false">AE57*Ratio!AE114</f>
        <v>0.117644122227419</v>
      </c>
      <c r="AF177" s="96" t="n">
        <f aca="false">AF57*Ratio!AF114</f>
        <v>0.117059061340803</v>
      </c>
      <c r="AG177" s="31" t="n">
        <f aca="false">AG57*Ratio!AG114</f>
        <v>0.125162513578586</v>
      </c>
      <c r="AH177" s="31" t="n">
        <f aca="false">AH57*Ratio!AH114</f>
        <v>0.123973428364757</v>
      </c>
      <c r="AI177" s="74" t="n">
        <f aca="false">AI57*Ratio!AI114</f>
        <v>0.097638058916387</v>
      </c>
      <c r="AJ177" s="75" t="n">
        <f aca="false">AJ57*Ratio!AJ114</f>
        <v>0.0914715553847831</v>
      </c>
      <c r="AK177" s="31" t="n">
        <f aca="false">AK57*Ratio!AK114</f>
        <v>0.0845807946909095</v>
      </c>
      <c r="AL177" s="31" t="n">
        <f aca="false">AL57*Ratio!AL114</f>
        <v>0.0785702147487918</v>
      </c>
      <c r="AM177" s="31" t="n">
        <f aca="false">AM57*Ratio!AM114</f>
        <v>0.0794725402618129</v>
      </c>
      <c r="AN177" s="76" t="n">
        <f aca="false">AN57*Ratio!AN114</f>
        <v>0.0604977135195022</v>
      </c>
      <c r="AO177" s="75" t="n">
        <f aca="false">AO57*Ratio!AO114</f>
        <v>0.0507211145390832</v>
      </c>
      <c r="AP177" s="31" t="n">
        <f aca="false">AP57*Ratio!AP114</f>
        <v>0.0479850060748713</v>
      </c>
      <c r="AQ177" s="31" t="n">
        <f aca="false">AQ57*Ratio!AQ114</f>
        <v>0.0455945825950354</v>
      </c>
    </row>
    <row r="178" customFormat="false" ht="12.8" hidden="false" customHeight="false" outlineLevel="0" collapsed="false">
      <c r="A178" s="139" t="s">
        <v>196</v>
      </c>
      <c r="B178" s="72" t="n">
        <f aca="false">B58*Ratio!B115</f>
        <v>0.024186863558406</v>
      </c>
      <c r="C178" s="72" t="n">
        <f aca="false">C58*Ratio!C115</f>
        <v>0.0249613214978526</v>
      </c>
      <c r="D178" s="31" t="n">
        <f aca="false">D58*Ratio!D115</f>
        <v>0.0246093674755342</v>
      </c>
      <c r="E178" s="96" t="n">
        <f aca="false">E58*Ratio!E115</f>
        <v>0.01942006016701</v>
      </c>
      <c r="F178" s="31" t="n">
        <f aca="false">F58*Ratio!F115</f>
        <v>0.0202958558120595</v>
      </c>
      <c r="G178" s="96" t="n">
        <f aca="false">G58*Ratio!G115</f>
        <v>0.0215447830737937</v>
      </c>
      <c r="H178" s="31" t="n">
        <f aca="false">H58*Ratio!H115</f>
        <v>0.0215629047877105</v>
      </c>
      <c r="I178" s="74" t="n">
        <f aca="false">I58*Ratio!I115</f>
        <v>0.0226691119582574</v>
      </c>
      <c r="J178" s="75" t="n">
        <f aca="false">J58*Ratio!J115</f>
        <v>0.0248276577157052</v>
      </c>
      <c r="K178" s="96" t="n">
        <f aca="false">K58*Ratio!K115</f>
        <v>0.0249974551230708</v>
      </c>
      <c r="L178" s="31" t="n">
        <f aca="false">L58*Ratio!L115</f>
        <v>0.0255480630762233</v>
      </c>
      <c r="M178" s="96" t="n">
        <f aca="false">M58*Ratio!M115</f>
        <v>0.0255760915438092</v>
      </c>
      <c r="N178" s="96" t="n">
        <f aca="false">N58*Ratio!N115</f>
        <v>0.0258025749605095</v>
      </c>
      <c r="O178" s="31" t="n">
        <f aca="false">O58*Ratio!O115</f>
        <v>0.0264269711596892</v>
      </c>
      <c r="P178" s="76" t="n">
        <f aca="false">P58*Ratio!P115</f>
        <v>0.0290724646953561</v>
      </c>
      <c r="Q178" s="75" t="n">
        <f aca="false">Q58*Ratio!Q115</f>
        <v>0.0283089304166087</v>
      </c>
      <c r="R178" s="31" t="n">
        <f aca="false">R58*Ratio!R115</f>
        <v>0.0300229432645374</v>
      </c>
      <c r="S178" s="96" t="n">
        <f aca="false">S58*Ratio!S115</f>
        <v>0.0289269385837556</v>
      </c>
      <c r="T178" s="31" t="n">
        <f aca="false">T58*Ratio!T115</f>
        <v>0.0293572599344699</v>
      </c>
      <c r="U178" s="31" t="n">
        <f aca="false">U58*Ratio!U115</f>
        <v>0.0301143071214112</v>
      </c>
      <c r="V178" s="96" t="n">
        <f aca="false">V58*Ratio!V115</f>
        <v>0.0308994746393582</v>
      </c>
      <c r="W178" s="96" t="n">
        <f aca="false">W58*Ratio!W115</f>
        <v>0.0320502317491933</v>
      </c>
      <c r="X178" s="74" t="n">
        <f aca="false">X58*Ratio!X115</f>
        <v>0.0300182463674286</v>
      </c>
      <c r="Y178" s="75" t="n">
        <f aca="false">Y58*Ratio!Y115</f>
        <v>0.0310788293980893</v>
      </c>
      <c r="Z178" s="31" t="n">
        <f aca="false">Z58*Ratio!Z115</f>
        <v>0.0329139738378539</v>
      </c>
      <c r="AA178" s="96" t="n">
        <f aca="false">AA58*Ratio!AA115</f>
        <v>0.0320360251770591</v>
      </c>
      <c r="AB178" s="31" t="n">
        <f aca="false">AB58*Ratio!AB115</f>
        <v>0.036356443447794</v>
      </c>
      <c r="AC178" s="76" t="n">
        <f aca="false">AC58*Ratio!AC115</f>
        <v>0.0761290078870838</v>
      </c>
      <c r="AD178" s="75" t="n">
        <f aca="false">AD58*Ratio!AD115</f>
        <v>0.0560807520610566</v>
      </c>
      <c r="AE178" s="31" t="n">
        <f aca="false">AE58*Ratio!AE115</f>
        <v>0.0498122912579851</v>
      </c>
      <c r="AF178" s="96" t="n">
        <f aca="false">AF58*Ratio!AF115</f>
        <v>0.046389204287263</v>
      </c>
      <c r="AG178" s="31" t="n">
        <f aca="false">AG58*Ratio!AG115</f>
        <v>0.0496005122969536</v>
      </c>
      <c r="AH178" s="31" t="n">
        <f aca="false">AH58*Ratio!AH115</f>
        <v>0.0502277822304305</v>
      </c>
      <c r="AI178" s="74" t="n">
        <f aca="false">AI58*Ratio!AI115</f>
        <v>0.0395499033273424</v>
      </c>
      <c r="AJ178" s="75" t="n">
        <f aca="false">AJ58*Ratio!AJ115</f>
        <v>0.0195287244898635</v>
      </c>
      <c r="AK178" s="31" t="n">
        <f aca="false">AK58*Ratio!AK115</f>
        <v>0.0231549167361514</v>
      </c>
      <c r="AL178" s="31" t="n">
        <f aca="false">AL58*Ratio!AL115</f>
        <v>0.0271423744890422</v>
      </c>
      <c r="AM178" s="31" t="n">
        <f aca="false">AM58*Ratio!AM115</f>
        <v>0.0372161749607191</v>
      </c>
      <c r="AN178" s="76" t="n">
        <f aca="false">AN58*Ratio!AN115</f>
        <v>0.00551003512191948</v>
      </c>
      <c r="AO178" s="75" t="n">
        <f aca="false">AO58*Ratio!AO115</f>
        <v>0.00570547339248963</v>
      </c>
      <c r="AP178" s="31" t="n">
        <f aca="false">AP58*Ratio!AP115</f>
        <v>0.00778436860652239</v>
      </c>
      <c r="AQ178" s="31" t="n">
        <f aca="false">AQ58*Ratio!AQ115</f>
        <v>0.0079571768620754</v>
      </c>
    </row>
    <row r="179" customFormat="false" ht="12.8" hidden="false" customHeight="false" outlineLevel="0" collapsed="false">
      <c r="A179" s="139" t="s">
        <v>197</v>
      </c>
      <c r="B179" s="72" t="n">
        <f aca="false">B59*Ratio!B116</f>
        <v>0.00831457973303821</v>
      </c>
      <c r="C179" s="72" t="n">
        <f aca="false">C59*Ratio!C116</f>
        <v>0.00715945536175325</v>
      </c>
      <c r="D179" s="31" t="n">
        <f aca="false">D59*Ratio!D116</f>
        <v>0.00705850721634376</v>
      </c>
      <c r="E179" s="96" t="n">
        <f aca="false">E59*Ratio!E116</f>
        <v>0.00731832114356784</v>
      </c>
      <c r="F179" s="31" t="n">
        <f aca="false">F59*Ratio!F116</f>
        <v>0.00863848581653283</v>
      </c>
      <c r="G179" s="96" t="n">
        <f aca="false">G59*Ratio!G116</f>
        <v>0.0123136188496098</v>
      </c>
      <c r="H179" s="31" t="n">
        <f aca="false">H59*Ratio!H116</f>
        <v>0.0123754615934709</v>
      </c>
      <c r="I179" s="74" t="n">
        <f aca="false">I59*Ratio!I116</f>
        <v>0.0130284666716044</v>
      </c>
      <c r="J179" s="75" t="n">
        <f aca="false">J59*Ratio!J116</f>
        <v>0.0103336315151951</v>
      </c>
      <c r="K179" s="96" t="n">
        <f aca="false">K59*Ratio!K116</f>
        <v>0.0104043036607533</v>
      </c>
      <c r="L179" s="31" t="n">
        <f aca="false">L59*Ratio!L116</f>
        <v>0.00826234587412741</v>
      </c>
      <c r="M179" s="96" t="n">
        <f aca="false">M59*Ratio!M116</f>
        <v>0.00827141039274964</v>
      </c>
      <c r="N179" s="96" t="n">
        <f aca="false">N59*Ratio!N116</f>
        <v>0.0083446560363802</v>
      </c>
      <c r="O179" s="31" t="n">
        <f aca="false">O59*Ratio!O116</f>
        <v>0.00627801172999981</v>
      </c>
      <c r="P179" s="76" t="n">
        <f aca="false">P59*Ratio!P116</f>
        <v>0.00732321769796705</v>
      </c>
      <c r="Q179" s="75" t="n">
        <f aca="false">Q59*Ratio!Q116</f>
        <v>0.00977142731517998</v>
      </c>
      <c r="R179" s="31" t="n">
        <f aca="false">R59*Ratio!R116</f>
        <v>0.00958946789958354</v>
      </c>
      <c r="S179" s="96" t="n">
        <f aca="false">S59*Ratio!S116</f>
        <v>0.00923939890030042</v>
      </c>
      <c r="T179" s="31" t="n">
        <f aca="false">T59*Ratio!T116</f>
        <v>0.00887721519899349</v>
      </c>
      <c r="U179" s="31" t="n">
        <f aca="false">U59*Ratio!U116</f>
        <v>0.00711175972265636</v>
      </c>
      <c r="V179" s="96" t="n">
        <f aca="false">V59*Ratio!V116</f>
        <v>0.00713867343418983</v>
      </c>
      <c r="W179" s="96" t="n">
        <f aca="false">W59*Ratio!W116</f>
        <v>0.0074045316503914</v>
      </c>
      <c r="X179" s="74" t="n">
        <f aca="false">X59*Ratio!X116</f>
        <v>0.00666198217882909</v>
      </c>
      <c r="Y179" s="75" t="n">
        <f aca="false">Y59*Ratio!Y116</f>
        <v>0.00640809964110764</v>
      </c>
      <c r="Z179" s="31" t="n">
        <f aca="false">Z59*Ratio!Z116</f>
        <v>0.00678193092123108</v>
      </c>
      <c r="AA179" s="96" t="n">
        <f aca="false">AA59*Ratio!AA116</f>
        <v>0.00587819787688002</v>
      </c>
      <c r="AB179" s="31" t="n">
        <f aca="false">AB59*Ratio!AB116</f>
        <v>0.00668850264402354</v>
      </c>
      <c r="AC179" s="76" t="n">
        <f aca="false">AC59*Ratio!AC116</f>
        <v>0.0138626445705025</v>
      </c>
      <c r="AD179" s="75" t="n">
        <f aca="false">AD59*Ratio!AD116</f>
        <v>0.0123573318385163</v>
      </c>
      <c r="AE179" s="31" t="n">
        <f aca="false">AE59*Ratio!AE116</f>
        <v>0.0108895244547604</v>
      </c>
      <c r="AF179" s="96" t="n">
        <f aca="false">AF59*Ratio!AF116</f>
        <v>0.0108353693069153</v>
      </c>
      <c r="AG179" s="31" t="n">
        <f aca="false">AG59*Ratio!AG116</f>
        <v>0.0115854513309092</v>
      </c>
      <c r="AH179" s="31" t="n">
        <f aca="false">AH59*Ratio!AH116</f>
        <v>0.0311574064590567</v>
      </c>
      <c r="AI179" s="74" t="n">
        <f aca="false">AI59*Ratio!AI116</f>
        <v>0.0245336815337196</v>
      </c>
      <c r="AJ179" s="75" t="n">
        <f aca="false">AJ59*Ratio!AJ116</f>
        <v>0.0255921509813739</v>
      </c>
      <c r="AK179" s="31" t="n">
        <f aca="false">AK59*Ratio!AK116</f>
        <v>0.0268829823701995</v>
      </c>
      <c r="AL179" s="31" t="n">
        <f aca="false">AL59*Ratio!AL116</f>
        <v>0.0290089374095972</v>
      </c>
      <c r="AM179" s="31" t="n">
        <f aca="false">AM59*Ratio!AM116</f>
        <v>0.0305871960972408</v>
      </c>
      <c r="AN179" s="76" t="n">
        <f aca="false">AN59*Ratio!AN116</f>
        <v>0.0341414848281065</v>
      </c>
      <c r="AO179" s="75" t="n">
        <f aca="false">AO59*Ratio!AO116</f>
        <v>0.0328603025570446</v>
      </c>
      <c r="AP179" s="31" t="n">
        <f aca="false">AP59*Ratio!AP116</f>
        <v>0.0250274845779133</v>
      </c>
      <c r="AQ179" s="31" t="n">
        <f aca="false">AQ59*Ratio!AQ116</f>
        <v>0.0265811146967531</v>
      </c>
    </row>
    <row r="180" customFormat="false" ht="12.8" hidden="false" customHeight="false" outlineLevel="0" collapsed="false">
      <c r="A180" s="139" t="s">
        <v>198</v>
      </c>
      <c r="B180" s="72" t="n">
        <f aca="false">B60*Ratio!B117</f>
        <v>0.021222829771104</v>
      </c>
      <c r="C180" s="72" t="n">
        <f aca="false">C60*Ratio!C117</f>
        <v>0.0217765262043107</v>
      </c>
      <c r="D180" s="31" t="n">
        <f aca="false">D60*Ratio!D117</f>
        <v>0.0214694777176996</v>
      </c>
      <c r="E180" s="96" t="n">
        <f aca="false">E60*Ratio!E117</f>
        <v>0.0222597396173219</v>
      </c>
      <c r="F180" s="31" t="n">
        <f aca="false">F60*Ratio!F117</f>
        <v>0.0232635976305893</v>
      </c>
      <c r="G180" s="96" t="n">
        <f aca="false">G60*Ratio!G117</f>
        <v>0.0795622104302641</v>
      </c>
      <c r="H180" s="31" t="n">
        <f aca="false">H60*Ratio!H117</f>
        <v>0.0799617960809776</v>
      </c>
      <c r="I180" s="74" t="n">
        <f aca="false">I60*Ratio!I117</f>
        <v>0.0841810697220597</v>
      </c>
      <c r="J180" s="75" t="n">
        <f aca="false">J60*Ratio!J117</f>
        <v>0.0446396043553547</v>
      </c>
      <c r="K180" s="96" t="n">
        <f aca="false">K60*Ratio!K117</f>
        <v>0.0928273024750212</v>
      </c>
      <c r="L180" s="31" t="n">
        <f aca="false">L60*Ratio!L117</f>
        <v>0.09487196865247</v>
      </c>
      <c r="M180" s="96" t="n">
        <f aca="false">M60*Ratio!M117</f>
        <v>0.0949760515291346</v>
      </c>
      <c r="N180" s="96" t="n">
        <f aca="false">N60*Ratio!N117</f>
        <v>0.0958170909279098</v>
      </c>
      <c r="O180" s="31" t="n">
        <f aca="false">O60*Ratio!O117</f>
        <v>0.0981357675515962</v>
      </c>
      <c r="P180" s="76" t="n">
        <f aca="false">P60*Ratio!P117</f>
        <v>0.0247874066754576</v>
      </c>
      <c r="Q180" s="75" t="n">
        <f aca="false">Q60*Ratio!Q117</f>
        <v>0.0257659002285825</v>
      </c>
      <c r="R180" s="31" t="n">
        <f aca="false">R60*Ratio!R117</f>
        <v>0.0265892550093405</v>
      </c>
      <c r="S180" s="96" t="n">
        <f aca="false">S60*Ratio!S117</f>
        <v>0.0256185990782426</v>
      </c>
      <c r="T180" s="31" t="n">
        <f aca="false">T60*Ratio!T117</f>
        <v>0.0263374744090789</v>
      </c>
      <c r="U180" s="31" t="n">
        <f aca="false">U60*Ratio!U117</f>
        <v>0.0362019047442336</v>
      </c>
      <c r="V180" s="96" t="n">
        <f aca="false">V60*Ratio!V117</f>
        <v>0.0371457936266303</v>
      </c>
      <c r="W180" s="96" t="n">
        <f aca="false">W60*Ratio!W117</f>
        <v>0.038529175920835</v>
      </c>
      <c r="X180" s="74" t="n">
        <f aca="false">X60*Ratio!X117</f>
        <v>0.0360864253393342</v>
      </c>
      <c r="Y180" s="75" t="n">
        <f aca="false">Y60*Ratio!Y117</f>
        <v>0.032210467634657</v>
      </c>
      <c r="Z180" s="31" t="n">
        <f aca="false">Z60*Ratio!Z117</f>
        <v>0.0340895395941494</v>
      </c>
      <c r="AA180" s="96" t="n">
        <f aca="false">AA60*Ratio!AA117</f>
        <v>0.0332143055660424</v>
      </c>
      <c r="AB180" s="31" t="n">
        <f aca="false">AB60*Ratio!AB117</f>
        <v>0.0369597595357293</v>
      </c>
      <c r="AC180" s="76" t="n">
        <f aca="false">AC60*Ratio!AC117</f>
        <v>0.0456701906740145</v>
      </c>
      <c r="AD180" s="75" t="n">
        <f aca="false">AD60*Ratio!AD117</f>
        <v>0.0430634944753585</v>
      </c>
      <c r="AE180" s="31" t="n">
        <f aca="false">AE60*Ratio!AE117</f>
        <v>0.0395656203437371</v>
      </c>
      <c r="AF180" s="96" t="n">
        <f aca="false">AF60*Ratio!AF117</f>
        <v>0.0393688549084604</v>
      </c>
      <c r="AG180" s="31" t="n">
        <f aca="false">AG60*Ratio!AG117</f>
        <v>0.0420941769104719</v>
      </c>
      <c r="AH180" s="31" t="n">
        <f aca="false">AH60*Ratio!AH117</f>
        <v>0.0576909688200846</v>
      </c>
      <c r="AI180" s="74" t="n">
        <f aca="false">AI60*Ratio!AI117</f>
        <v>0.0454264978140468</v>
      </c>
      <c r="AJ180" s="75" t="n">
        <f aca="false">AJ60*Ratio!AJ117</f>
        <v>0.0473863569564269</v>
      </c>
      <c r="AK180" s="31" t="n">
        <f aca="false">AK60*Ratio!AK117</f>
        <v>0.0497764568353298</v>
      </c>
      <c r="AL180" s="31" t="n">
        <f aca="false">AL60*Ratio!AL117</f>
        <v>0.0513351398466543</v>
      </c>
      <c r="AM180" s="31" t="n">
        <f aca="false">AM60*Ratio!AM117</f>
        <v>0.0541280767026446</v>
      </c>
      <c r="AN180" s="76" t="n">
        <f aca="false">AN60*Ratio!AN117</f>
        <v>0.0111486118635736</v>
      </c>
      <c r="AO180" s="75" t="n">
        <f aca="false">AO60*Ratio!AO117</f>
        <v>0.0115440477135571</v>
      </c>
      <c r="AP180" s="31" t="n">
        <f aca="false">AP60*Ratio!AP117</f>
        <v>0.0101449623572929</v>
      </c>
      <c r="AQ180" s="31" t="n">
        <f aca="false">AQ60*Ratio!AQ117</f>
        <v>0.0103701743605048</v>
      </c>
    </row>
    <row r="181" customFormat="false" ht="12.8" hidden="false" customHeight="false" outlineLevel="0" collapsed="false">
      <c r="A181" s="139" t="s">
        <v>28</v>
      </c>
      <c r="B181" s="72" t="n">
        <f aca="false">B61*Ratio!B118</f>
        <v>0.00821890559545388</v>
      </c>
      <c r="C181" s="72" t="n">
        <f aca="false">C61*Ratio!C118</f>
        <v>0.00843333405584994</v>
      </c>
      <c r="D181" s="31" t="n">
        <f aca="false">D61*Ratio!D118</f>
        <v>0.00831442425202538</v>
      </c>
      <c r="E181" s="96" t="n">
        <f aca="false">E61*Ratio!E118</f>
        <v>0.00862046675525099</v>
      </c>
      <c r="F181" s="31" t="n">
        <f aca="false">F61*Ratio!F118</f>
        <v>0.00900922802466089</v>
      </c>
      <c r="G181" s="96" t="n">
        <f aca="false">G61*Ratio!G118</f>
        <v>0.0136679936283304</v>
      </c>
      <c r="H181" s="31" t="n">
        <f aca="false">H61*Ratio!H118</f>
        <v>0.0132046334264724</v>
      </c>
      <c r="I181" s="74" t="n">
        <f aca="false">I61*Ratio!I118</f>
        <v>0.0130820001631222</v>
      </c>
      <c r="J181" s="75" t="n">
        <f aca="false">J61*Ratio!J118</f>
        <v>0.0143276641310375</v>
      </c>
      <c r="K181" s="96" t="n">
        <f aca="false">K61*Ratio!K118</f>
        <v>0.0144256516355743</v>
      </c>
      <c r="L181" s="31" t="n">
        <f aca="false">L61*Ratio!L118</f>
        <v>0.0147433991215023</v>
      </c>
      <c r="M181" s="96" t="n">
        <f aca="false">M61*Ratio!M118</f>
        <v>0.0147595739243885</v>
      </c>
      <c r="N181" s="96" t="n">
        <f aca="false">N61*Ratio!N118</f>
        <v>0.00610093909288943</v>
      </c>
      <c r="O181" s="31" t="n">
        <f aca="false">O61*Ratio!O118</f>
        <v>0.00624857564415834</v>
      </c>
      <c r="P181" s="76" t="n">
        <f aca="false">P61*Ratio!P118</f>
        <v>0.0566016447890056</v>
      </c>
      <c r="Q181" s="75" t="n">
        <f aca="false">Q61*Ratio!Q118</f>
        <v>0.0588360190923547</v>
      </c>
      <c r="R181" s="31" t="n">
        <f aca="false">R61*Ratio!R118</f>
        <v>0.060716136502214</v>
      </c>
      <c r="S181" s="96" t="n">
        <f aca="false">S61*Ratio!S118</f>
        <v>0.0584996592828064</v>
      </c>
      <c r="T181" s="31" t="n">
        <f aca="false">T61*Ratio!T118</f>
        <v>0.0573691725103822</v>
      </c>
      <c r="U181" s="31" t="n">
        <f aca="false">U61*Ratio!U118</f>
        <v>0.0109271421446408</v>
      </c>
      <c r="V181" s="96" t="n">
        <f aca="false">V61*Ratio!V118</f>
        <v>0.0112120445015627</v>
      </c>
      <c r="W181" s="96" t="n">
        <f aca="false">W61*Ratio!W118</f>
        <v>0.0116296030547922</v>
      </c>
      <c r="X181" s="74" t="n">
        <f aca="false">X61*Ratio!X118</f>
        <v>0.0108922859711596</v>
      </c>
      <c r="Y181" s="75" t="n">
        <f aca="false">Y61*Ratio!Y118</f>
        <v>0.0112771243632733</v>
      </c>
      <c r="Z181" s="31" t="n">
        <f aca="false">Z61*Ratio!Z118</f>
        <v>0.00799570699011346</v>
      </c>
      <c r="AA181" s="96" t="n">
        <f aca="false">AA61*Ratio!AA118</f>
        <v>0.00778242918055268</v>
      </c>
      <c r="AB181" s="31" t="n">
        <f aca="false">AB61*Ratio!AB118</f>
        <v>0.00866002483614</v>
      </c>
      <c r="AC181" s="76" t="n">
        <f aca="false">AC61*Ratio!AC118</f>
        <v>0.00755309500463148</v>
      </c>
      <c r="AD181" s="75" t="n">
        <f aca="false">AD61*Ratio!AD118</f>
        <v>0.00791615236155327</v>
      </c>
      <c r="AE181" s="31" t="n">
        <f aca="false">AE61*Ratio!AE118</f>
        <v>0.010885542101941</v>
      </c>
      <c r="AF181" s="96" t="n">
        <f aca="false">AF61*Ratio!AF118</f>
        <v>0.0114909496650156</v>
      </c>
      <c r="AG181" s="31" t="n">
        <f aca="false">AG61*Ratio!AG118</f>
        <v>0.0139280701540331</v>
      </c>
      <c r="AH181" s="31" t="n">
        <f aca="false">AH61*Ratio!AH118</f>
        <v>0.0190814298132975</v>
      </c>
      <c r="AI181" s="74" t="n">
        <f aca="false">AI61*Ratio!AI118</f>
        <v>0.0150249258667481</v>
      </c>
      <c r="AJ181" s="75" t="n">
        <f aca="false">AJ61*Ratio!AJ118</f>
        <v>0.012515961679387</v>
      </c>
      <c r="AK181" s="31" t="n">
        <f aca="false">AK61*Ratio!AK118</f>
        <v>0.0140312287175402</v>
      </c>
      <c r="AL181" s="31" t="n">
        <f aca="false">AL61*Ratio!AL118</f>
        <v>0.0145633893070775</v>
      </c>
      <c r="AM181" s="31" t="n">
        <f aca="false">AM61*Ratio!AM118</f>
        <v>0.0243156105951096</v>
      </c>
      <c r="AN181" s="76" t="n">
        <f aca="false">AN61*Ratio!AN118</f>
        <v>0.031296821984323</v>
      </c>
      <c r="AO181" s="75" t="n">
        <f aca="false">AO61*Ratio!AO118</f>
        <v>0.0280534224295181</v>
      </c>
      <c r="AP181" s="31" t="n">
        <f aca="false">AP61*Ratio!AP118</f>
        <v>0.0262328284946695</v>
      </c>
      <c r="AQ181" s="31" t="n">
        <f aca="false">AQ61*Ratio!AQ118</f>
        <v>0.0208020803297251</v>
      </c>
    </row>
    <row r="182" customFormat="false" ht="12.8" hidden="false" customHeight="false" outlineLevel="0" collapsed="false">
      <c r="A182" s="139" t="s">
        <v>199</v>
      </c>
      <c r="B182" s="72" t="n">
        <f aca="false">B62*Ratio!B119</f>
        <v>0.000599842864045303</v>
      </c>
      <c r="C182" s="72" t="n">
        <f aca="false">C62*Ratio!C119</f>
        <v>0.000615492560993756</v>
      </c>
      <c r="D182" s="31" t="n">
        <f aca="false">D62*Ratio!D119</f>
        <v>0.000606814130944792</v>
      </c>
      <c r="E182" s="96" t="n">
        <f aca="false">E62*Ratio!E119</f>
        <v>0.0002825231549095</v>
      </c>
      <c r="F182" s="31" t="n">
        <f aca="false">F62*Ratio!F119</f>
        <v>0.000295264235347331</v>
      </c>
      <c r="G182" s="96" t="n">
        <f aca="false">G62*Ratio!G119</f>
        <v>-0.000185720497438993</v>
      </c>
      <c r="H182" s="31" t="n">
        <f aca="false">H62*Ratio!H119</f>
        <v>-0.000186653242336586</v>
      </c>
      <c r="I182" s="74" t="n">
        <f aca="false">I62*Ratio!I119</f>
        <v>-0.00019650220951856</v>
      </c>
      <c r="J182" s="75" t="n">
        <f aca="false">J62*Ratio!J119</f>
        <v>-0.000215213088509605</v>
      </c>
      <c r="K182" s="96" t="n">
        <f aca="false">K62*Ratio!K119</f>
        <v>-0.000216684939977774</v>
      </c>
      <c r="L182" s="31" t="n">
        <f aca="false">L62*Ratio!L119</f>
        <v>-0.000221457763878957</v>
      </c>
      <c r="M182" s="96" t="n">
        <f aca="false">M62*Ratio!M119</f>
        <v>-0.000221700722483607</v>
      </c>
      <c r="N182" s="96" t="n">
        <f aca="false">N62*Ratio!N119</f>
        <v>-0.000223663944152055</v>
      </c>
      <c r="O182" s="31" t="n">
        <f aca="false">O62*Ratio!O119</f>
        <v>-0.000229076385229577</v>
      </c>
      <c r="P182" s="76" t="n">
        <f aca="false">P62*Ratio!P119</f>
        <v>-0.000423218377168938</v>
      </c>
      <c r="Q182" s="75" t="n">
        <f aca="false">Q62*Ratio!Q119</f>
        <v>-0.000439925104865217</v>
      </c>
      <c r="R182" s="31" t="n">
        <f aca="false">R62*Ratio!R119</f>
        <v>-0.000453983004455482</v>
      </c>
      <c r="S182" s="96" t="n">
        <f aca="false">S62*Ratio!S119</f>
        <v>-0.00043741009574715</v>
      </c>
      <c r="T182" s="31" t="n">
        <f aca="false">T62*Ratio!T119</f>
        <v>-0.000428957288783328</v>
      </c>
      <c r="U182" s="31" t="n">
        <f aca="false">U62*Ratio!U119</f>
        <v>-0.000212598541784526</v>
      </c>
      <c r="V182" s="96" t="n">
        <f aca="false">V62*Ratio!V119</f>
        <v>-0.00021814160371516</v>
      </c>
      <c r="W182" s="96" t="n">
        <f aca="false">W62*Ratio!W119</f>
        <v>-0.000226265625380768</v>
      </c>
      <c r="X182" s="74" t="n">
        <f aca="false">X62*Ratio!X119</f>
        <v>-0.000211920379868428</v>
      </c>
      <c r="Y182" s="75" t="n">
        <f aca="false">Y62*Ratio!Y119</f>
        <v>-0.000219407797887073</v>
      </c>
      <c r="Z182" s="31" t="n">
        <f aca="false">Z62*Ratio!Z119</f>
        <v>-0.000555765200040991</v>
      </c>
      <c r="AA182" s="96" t="n">
        <f aca="false">AA62*Ratio!AA119</f>
        <v>-0.000540940696761742</v>
      </c>
      <c r="AB182" s="31" t="n">
        <f aca="false">AB62*Ratio!AB119</f>
        <v>-0.000601940571530248</v>
      </c>
      <c r="AC182" s="76" t="n">
        <f aca="false">AC62*Ratio!AC119</f>
        <v>0.00052301386509275</v>
      </c>
      <c r="AD182" s="75" t="n">
        <f aca="false">AD62*Ratio!AD119</f>
        <v>0.000548153762231286</v>
      </c>
      <c r="AE182" s="31" t="n">
        <f aca="false">AE62*Ratio!AE119</f>
        <v>7.40708588662081E-006</v>
      </c>
      <c r="AF182" s="96" t="n">
        <f aca="false">AF62*Ratio!AF119</f>
        <v>7.37024939913621E-006</v>
      </c>
      <c r="AG182" s="31" t="n">
        <f aca="false">AG62*Ratio!AG119</f>
        <v>5.00984827300053E-006</v>
      </c>
      <c r="AH182" s="31" t="n">
        <f aca="false">AH62*Ratio!AH119</f>
        <v>5.59767092767384E-006</v>
      </c>
      <c r="AI182" s="74" t="n">
        <f aca="false">AI62*Ratio!AI119</f>
        <v>4.40766711602185E-006</v>
      </c>
      <c r="AJ182" s="75" t="n">
        <f aca="false">AJ62*Ratio!AJ119</f>
        <v>4.59782940256362E-006</v>
      </c>
      <c r="AK182" s="31" t="n">
        <f aca="false">AK62*Ratio!AK119</f>
        <v>4.82973732298866E-006</v>
      </c>
      <c r="AL182" s="31" t="n">
        <f aca="false">AL62*Ratio!AL119</f>
        <v>4.98097407210896E-006</v>
      </c>
      <c r="AM182" s="31" t="n">
        <f aca="false">AM62*Ratio!AM119</f>
        <v>5.25196867943409E-006</v>
      </c>
      <c r="AN182" s="76" t="n">
        <f aca="false">AN62*Ratio!AN119</f>
        <v>0.000387097393770992</v>
      </c>
      <c r="AO182" s="75" t="n">
        <f aca="false">AO62*Ratio!AO119</f>
        <v>0.000400827550386485</v>
      </c>
      <c r="AP182" s="31" t="n">
        <f aca="false">AP62*Ratio!AP119</f>
        <v>0.000394929500528396</v>
      </c>
      <c r="AQ182" s="31" t="n">
        <f aca="false">AQ62*Ratio!AQ119</f>
        <v>0.000403696695596157</v>
      </c>
    </row>
    <row r="183" customFormat="false" ht="12.8" hidden="false" customHeight="false" outlineLevel="0" collapsed="false">
      <c r="A183" s="139" t="s">
        <v>200</v>
      </c>
      <c r="B183" s="72" t="n">
        <f aca="false">B63*Ratio!B120</f>
        <v>0.00578814597855888</v>
      </c>
      <c r="C183" s="72" t="n">
        <f aca="false">C63*Ratio!C120</f>
        <v>0.00593915674469015</v>
      </c>
      <c r="D183" s="31" t="n">
        <f aca="false">D63*Ratio!D120</f>
        <v>0.00585541477992065</v>
      </c>
      <c r="E183" s="96" t="n">
        <f aca="false">E63*Ratio!E120</f>
        <v>0.00607094453187366</v>
      </c>
      <c r="F183" s="31" t="n">
        <f aca="false">F63*Ratio!F120</f>
        <v>0.00634472879086296</v>
      </c>
      <c r="G183" s="96" t="n">
        <f aca="false">G63*Ratio!G120</f>
        <v>0.000642214358300888</v>
      </c>
      <c r="H183" s="31" t="n">
        <f aca="false">H63*Ratio!H120</f>
        <v>0.000645439754388697</v>
      </c>
      <c r="I183" s="74" t="n">
        <f aca="false">I63*Ratio!I120</f>
        <v>0.000605906564231911</v>
      </c>
      <c r="J183" s="75" t="n">
        <f aca="false">J63*Ratio!J120</f>
        <v>0.000670141741899427</v>
      </c>
      <c r="K183" s="96" t="n">
        <f aca="false">K63*Ratio!K120</f>
        <v>0.000585449636548274</v>
      </c>
      <c r="L183" s="31" t="n">
        <f aca="false">L63*Ratio!L120</f>
        <v>0.000598345078282909</v>
      </c>
      <c r="M183" s="96" t="n">
        <f aca="false">M63*Ratio!M120</f>
        <v>0.000599001515351417</v>
      </c>
      <c r="N183" s="96" t="n">
        <f aca="false">N63*Ratio!N120</f>
        <v>0.000604305840665278</v>
      </c>
      <c r="O183" s="31" t="n">
        <f aca="false">O63*Ratio!O120</f>
        <v>0.000525196377054993</v>
      </c>
      <c r="P183" s="76" t="n">
        <f aca="false">P63*Ratio!P120</f>
        <v>0.00662447871421319</v>
      </c>
      <c r="Q183" s="75" t="n">
        <f aca="false">Q63*Ratio!Q120</f>
        <v>0.00724840534134474</v>
      </c>
      <c r="R183" s="31" t="n">
        <f aca="false">R63*Ratio!R120</f>
        <v>0.00748002966410165</v>
      </c>
      <c r="S183" s="96" t="n">
        <f aca="false">S63*Ratio!S120</f>
        <v>0.00750190001200284</v>
      </c>
      <c r="T183" s="31" t="n">
        <f aca="false">T63*Ratio!T120</f>
        <v>0.00636998211867366</v>
      </c>
      <c r="U183" s="31" t="n">
        <f aca="false">U63*Ratio!U120</f>
        <v>0.00757792184703977</v>
      </c>
      <c r="V183" s="96" t="n">
        <f aca="false">V63*Ratio!V120</f>
        <v>0.00777550029584312</v>
      </c>
      <c r="W183" s="96" t="n">
        <f aca="false">W63*Ratio!W120</f>
        <v>0.00806507519484706</v>
      </c>
      <c r="X183" s="74" t="n">
        <f aca="false">X63*Ratio!X120</f>
        <v>0.00948826320162971</v>
      </c>
      <c r="Y183" s="75" t="n">
        <f aca="false">Y63*Ratio!Y120</f>
        <v>0.0061840680004954</v>
      </c>
      <c r="Z183" s="31" t="n">
        <f aca="false">Z63*Ratio!Z120</f>
        <v>0.00878427322120611</v>
      </c>
      <c r="AA183" s="96" t="n">
        <f aca="false">AA63*Ratio!AA120</f>
        <v>0.0141847133415771</v>
      </c>
      <c r="AB183" s="31" t="n">
        <f aca="false">AB63*Ratio!AB120</f>
        <v>0.0157842708210626</v>
      </c>
      <c r="AC183" s="76" t="n">
        <f aca="false">AC63*Ratio!AC120</f>
        <v>0.0039928933864825</v>
      </c>
      <c r="AD183" s="75" t="n">
        <f aca="false">AD63*Ratio!AD120</f>
        <v>0.00242029108215618</v>
      </c>
      <c r="AE183" s="31" t="n">
        <f aca="false">AE63*Ratio!AE120</f>
        <v>0.00248065606260036</v>
      </c>
      <c r="AF183" s="96" t="n">
        <f aca="false">AF63*Ratio!AF120</f>
        <v>0.00246831940856363</v>
      </c>
      <c r="AG183" s="31" t="n">
        <f aca="false">AG63*Ratio!AG120</f>
        <v>0.00289886940583169</v>
      </c>
      <c r="AH183" s="31" t="n">
        <f aca="false">AH63*Ratio!AH120</f>
        <v>0.0119054734887801</v>
      </c>
      <c r="AI183" s="74" t="n">
        <f aca="false">AI63*Ratio!AI120</f>
        <v>0.0093744996222871</v>
      </c>
      <c r="AJ183" s="75" t="n">
        <f aca="false">AJ63*Ratio!AJ120</f>
        <v>0.0133173607548834</v>
      </c>
      <c r="AK183" s="31" t="n">
        <f aca="false">AK63*Ratio!AK120</f>
        <v>0.0102721846995939</v>
      </c>
      <c r="AL183" s="31" t="n">
        <f aca="false">AL63*Ratio!AL120</f>
        <v>0.0105938443917133</v>
      </c>
      <c r="AM183" s="31" t="n">
        <f aca="false">AM63*Ratio!AM120</f>
        <v>0.0117095548333967</v>
      </c>
      <c r="AN183" s="76" t="n">
        <f aca="false">AN63*Ratio!AN120</f>
        <v>0.0212697722960331</v>
      </c>
      <c r="AO183" s="75" t="n">
        <f aca="false">AO63*Ratio!AO120</f>
        <v>0.0138415848581993</v>
      </c>
      <c r="AP183" s="31" t="n">
        <f aca="false">AP63*Ratio!AP120</f>
        <v>0.0268078381749274</v>
      </c>
      <c r="AQ183" s="31" t="n">
        <f aca="false">AQ63*Ratio!AQ120</f>
        <v>0.0257996024959136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4000"/>
    <pageSetUpPr fitToPage="false"/>
  </sheetPr>
  <dimension ref="A1:AQ102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AM2" activePane="bottomRight" state="frozen"/>
      <selection pane="topLeft" activeCell="A1" activeCellId="0" sqref="A1"/>
      <selection pane="topRight" activeCell="AM1" activeCellId="0" sqref="AM1"/>
      <selection pane="bottomLeft" activeCell="A2" activeCellId="0" sqref="A2"/>
      <selection pane="bottomRight" activeCell="AQ19" activeCellId="0" sqref="AQ1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4.42"/>
    <col collapsed="false" customWidth="true" hidden="false" outlineLevel="0" max="2" min="2" style="21" width="15.22"/>
    <col collapsed="false" customWidth="true" hidden="false" outlineLevel="0" max="3" min="3" style="39" width="15.22"/>
    <col collapsed="false" customWidth="true" hidden="false" outlineLevel="0" max="4" min="4" style="1" width="15.42"/>
    <col collapsed="false" customWidth="true" hidden="false" outlineLevel="0" max="5" min="5" style="40" width="15.42"/>
    <col collapsed="false" customWidth="true" hidden="false" outlineLevel="0" max="6" min="6" style="1" width="15.52"/>
    <col collapsed="false" customWidth="true" hidden="false" outlineLevel="0" max="7" min="7" style="40" width="15.42"/>
    <col collapsed="false" customWidth="true" hidden="false" outlineLevel="0" max="8" min="8" style="1" width="15.52"/>
    <col collapsed="false" customWidth="true" hidden="false" outlineLevel="0" max="9" min="9" style="41" width="15.42"/>
    <col collapsed="false" customWidth="true" hidden="false" outlineLevel="0" max="10" min="10" style="21" width="15.52"/>
    <col collapsed="false" customWidth="true" hidden="false" outlineLevel="0" max="11" min="11" style="39" width="15.52"/>
    <col collapsed="false" customWidth="true" hidden="false" outlineLevel="0" max="12" min="12" style="1" width="15.52"/>
    <col collapsed="false" customWidth="true" hidden="false" outlineLevel="0" max="13" min="13" style="40" width="15.52"/>
    <col collapsed="false" customWidth="true" hidden="false" outlineLevel="0" max="14" min="14" style="40" width="15.42"/>
    <col collapsed="false" customWidth="true" hidden="false" outlineLevel="0" max="15" min="15" style="1" width="15.52"/>
    <col collapsed="false" customWidth="true" hidden="false" outlineLevel="0" max="16" min="16" style="42" width="15.52"/>
    <col collapsed="false" customWidth="true" hidden="false" outlineLevel="0" max="17" min="17" style="21" width="15.52"/>
    <col collapsed="false" customWidth="true" hidden="false" outlineLevel="0" max="18" min="18" style="1" width="15.52"/>
    <col collapsed="false" customWidth="true" hidden="false" outlineLevel="0" max="19" min="19" style="40" width="15.42"/>
    <col collapsed="false" customWidth="true" hidden="false" outlineLevel="0" max="21" min="20" style="1" width="15.52"/>
    <col collapsed="false" customWidth="true" hidden="false" outlineLevel="0" max="23" min="22" style="40" width="15.42"/>
    <col collapsed="false" customWidth="true" hidden="false" outlineLevel="0" max="24" min="24" style="41" width="15.42"/>
    <col collapsed="false" customWidth="true" hidden="false" outlineLevel="0" max="25" min="25" style="21" width="15.52"/>
    <col collapsed="false" customWidth="true" hidden="false" outlineLevel="0" max="26" min="26" style="1" width="15.52"/>
    <col collapsed="false" customWidth="true" hidden="false" outlineLevel="0" max="27" min="27" style="40" width="15.42"/>
    <col collapsed="false" customWidth="true" hidden="false" outlineLevel="0" max="28" min="28" style="1" width="15.52"/>
    <col collapsed="false" customWidth="true" hidden="false" outlineLevel="0" max="29" min="29" style="42" width="15.52"/>
    <col collapsed="false" customWidth="true" hidden="false" outlineLevel="0" max="30" min="30" style="21" width="15.52"/>
    <col collapsed="false" customWidth="true" hidden="false" outlineLevel="0" max="31" min="31" style="1" width="15.52"/>
    <col collapsed="false" customWidth="true" hidden="false" outlineLevel="0" max="32" min="32" style="40" width="15.42"/>
    <col collapsed="false" customWidth="true" hidden="false" outlineLevel="0" max="34" min="33" style="1" width="15.52"/>
    <col collapsed="false" customWidth="true" hidden="false" outlineLevel="0" max="35" min="35" style="41" width="15.72"/>
    <col collapsed="false" customWidth="true" hidden="false" outlineLevel="0" max="36" min="36" style="21" width="15.52"/>
    <col collapsed="false" customWidth="true" hidden="false" outlineLevel="0" max="39" min="37" style="1" width="15.52"/>
    <col collapsed="false" customWidth="true" hidden="false" outlineLevel="0" max="40" min="40" style="42" width="15.52"/>
    <col collapsed="false" customWidth="true" hidden="false" outlineLevel="0" max="41" min="41" style="21" width="15.52"/>
    <col collapsed="false" customWidth="true" hidden="false" outlineLevel="0" max="42" min="42" style="22" width="15.52"/>
    <col collapsed="false" customWidth="true" hidden="false" outlineLevel="0" max="43" min="43" style="40" width="16.73"/>
    <col collapsed="false" customWidth="true" hidden="false" outlineLevel="0" max="47" min="47" style="1" width="12.97"/>
  </cols>
  <sheetData>
    <row r="1" customFormat="false" ht="12.8" hidden="false" customHeight="false" outlineLevel="0" collapsed="false">
      <c r="A1" s="180" t="s">
        <v>209</v>
      </c>
      <c r="B1" s="19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7" t="s">
        <v>78</v>
      </c>
      <c r="AQ1" s="24" t="s">
        <v>79</v>
      </c>
    </row>
    <row r="2" customFormat="false" ht="12.8" hidden="false" customHeight="false" outlineLevel="0" collapsed="false">
      <c r="A2" s="139" t="s">
        <v>24</v>
      </c>
      <c r="B2" s="20" t="n">
        <v>889062183.8</v>
      </c>
      <c r="C2" s="25" t="n">
        <v>869378456.52</v>
      </c>
      <c r="D2" s="32" t="n">
        <v>899672259.78</v>
      </c>
      <c r="E2" s="20" t="n">
        <v>869685667.34</v>
      </c>
      <c r="F2" s="32" t="n">
        <v>804146000.28</v>
      </c>
      <c r="G2" s="20" t="n">
        <v>667246707.26</v>
      </c>
      <c r="H2" s="32" t="n">
        <v>665115131.1</v>
      </c>
      <c r="I2" s="26" t="n">
        <v>619203604.32</v>
      </c>
      <c r="J2" s="33" t="n">
        <v>527217866.14</v>
      </c>
      <c r="K2" s="25" t="n">
        <v>481133649.08</v>
      </c>
      <c r="L2" s="32" t="n">
        <v>462882584.08</v>
      </c>
      <c r="M2" s="20" t="n">
        <v>461004114.06</v>
      </c>
      <c r="N2" s="20" t="n">
        <v>456267360.5</v>
      </c>
      <c r="O2" s="32" t="n">
        <v>433578600</v>
      </c>
      <c r="P2" s="167" t="n">
        <v>459315010.42</v>
      </c>
      <c r="Q2" s="33" t="n">
        <v>432772959.08</v>
      </c>
      <c r="R2" s="32" t="n">
        <v>410855375.56</v>
      </c>
      <c r="S2" s="20" t="n">
        <v>422381525.3</v>
      </c>
      <c r="T2" s="32" t="n">
        <v>431806486.44</v>
      </c>
      <c r="U2" s="32" t="n">
        <v>467236899.08</v>
      </c>
      <c r="V2" s="20" t="n">
        <v>450212083.3</v>
      </c>
      <c r="W2" s="20" t="n">
        <v>414399232.1</v>
      </c>
      <c r="X2" s="26" t="n">
        <v>460399698.08</v>
      </c>
      <c r="Y2" s="33" t="n">
        <v>434539513.94</v>
      </c>
      <c r="Z2" s="32" t="n">
        <v>379379792.68</v>
      </c>
      <c r="AA2" s="20" t="n">
        <v>394664364.78</v>
      </c>
      <c r="AB2" s="32" t="n">
        <v>326064077.5</v>
      </c>
      <c r="AC2" s="167" t="n">
        <v>295535697.1</v>
      </c>
      <c r="AD2" s="33" t="n">
        <v>270510429.7</v>
      </c>
      <c r="AE2" s="32" t="n">
        <v>256123031.78</v>
      </c>
      <c r="AF2" s="20" t="n">
        <v>262117533.86</v>
      </c>
      <c r="AG2" s="32" t="n">
        <v>214980128.44</v>
      </c>
      <c r="AH2" s="32" t="n">
        <v>223353383.54</v>
      </c>
      <c r="AI2" s="26" t="n">
        <v>293175102.5</v>
      </c>
      <c r="AJ2" s="33" t="n">
        <v>246361584</v>
      </c>
      <c r="AK2" s="32" t="n">
        <v>209372882.46</v>
      </c>
      <c r="AL2" s="32" t="n">
        <v>204101381.96</v>
      </c>
      <c r="AM2" s="32" t="n">
        <v>197031827.3</v>
      </c>
      <c r="AN2" s="167" t="n">
        <v>209362506.22</v>
      </c>
      <c r="AO2" s="33" t="n">
        <v>187157723.2</v>
      </c>
      <c r="AP2" s="168" t="n">
        <v>194797600.48</v>
      </c>
      <c r="AQ2" s="25" t="n">
        <v>191033990</v>
      </c>
    </row>
    <row r="3" customFormat="false" ht="12.8" hidden="false" customHeight="false" outlineLevel="0" collapsed="false">
      <c r="A3" s="139" t="s">
        <v>180</v>
      </c>
      <c r="B3" s="20" t="n">
        <v>636821421.902439</v>
      </c>
      <c r="C3" s="25" t="n">
        <v>640997811.014634</v>
      </c>
      <c r="D3" s="32" t="n">
        <v>649833679.02439</v>
      </c>
      <c r="E3" s="20" t="n">
        <v>653121806.273171</v>
      </c>
      <c r="F3" s="32" t="n">
        <v>654773661.668293</v>
      </c>
      <c r="G3" s="20" t="n">
        <v>654508741.463415</v>
      </c>
      <c r="H3" s="32" t="n">
        <v>654508741.463415</v>
      </c>
      <c r="I3" s="26" t="n">
        <v>654508741.463415</v>
      </c>
      <c r="J3" s="33" t="n">
        <v>598096321.365854</v>
      </c>
      <c r="K3" s="25" t="n">
        <v>640483554.146341</v>
      </c>
      <c r="L3" s="32" t="n">
        <v>623341658.536585</v>
      </c>
      <c r="M3" s="20" t="n">
        <v>623341658.536585</v>
      </c>
      <c r="N3" s="20" t="n">
        <v>621783304.390244</v>
      </c>
      <c r="O3" s="32" t="n">
        <v>626364865.580488</v>
      </c>
      <c r="P3" s="167" t="n">
        <v>599966346.341463</v>
      </c>
      <c r="Q3" s="33" t="n">
        <v>568799263.414634</v>
      </c>
      <c r="R3" s="32" t="n">
        <v>545423951.219512</v>
      </c>
      <c r="S3" s="20" t="n">
        <v>574097667.512195</v>
      </c>
      <c r="T3" s="32" t="n">
        <v>579318153.902439</v>
      </c>
      <c r="U3" s="32" t="n">
        <v>561007492.682927</v>
      </c>
      <c r="V3" s="20" t="n">
        <v>559449138.536585</v>
      </c>
      <c r="W3" s="20" t="n">
        <v>545688871.42439</v>
      </c>
      <c r="X3" s="26" t="n">
        <v>568799263.414634</v>
      </c>
      <c r="Y3" s="33" t="n">
        <v>537632180.487805</v>
      </c>
      <c r="Z3" s="32" t="n">
        <v>522858983.180488</v>
      </c>
      <c r="AA3" s="20" t="n">
        <v>552233958.839024</v>
      </c>
      <c r="AB3" s="32" t="n">
        <v>536073826.341463</v>
      </c>
      <c r="AC3" s="167" t="n">
        <v>508397456.702439</v>
      </c>
      <c r="AD3" s="33" t="n">
        <v>489323201.95122</v>
      </c>
      <c r="AE3" s="32" t="n">
        <v>495556618.536585</v>
      </c>
      <c r="AF3" s="20" t="n">
        <v>497348725.804878</v>
      </c>
      <c r="AG3" s="32" t="n">
        <v>487593428.84878</v>
      </c>
      <c r="AH3" s="32" t="n">
        <v>418932345.160976</v>
      </c>
      <c r="AI3" s="26" t="n">
        <v>498673326.829268</v>
      </c>
      <c r="AJ3" s="33" t="n">
        <v>498673326.829268</v>
      </c>
      <c r="AK3" s="32" t="n">
        <v>481531431.219512</v>
      </c>
      <c r="AL3" s="32" t="n">
        <v>467506243.902439</v>
      </c>
      <c r="AM3" s="32" t="n">
        <v>458156119.02439</v>
      </c>
      <c r="AN3" s="167" t="n">
        <v>456410762.380488</v>
      </c>
      <c r="AO3" s="33" t="n">
        <v>453029133.882927</v>
      </c>
      <c r="AP3" s="168" t="n">
        <v>449709839.551219</v>
      </c>
      <c r="AQ3" s="25" t="n">
        <v>446811300.839024</v>
      </c>
    </row>
    <row r="4" customFormat="false" ht="12.8" hidden="false" customHeight="false" outlineLevel="0" collapsed="false">
      <c r="A4" s="139" t="s">
        <v>181</v>
      </c>
      <c r="B4" s="20" t="n">
        <v>626662189.932683</v>
      </c>
      <c r="C4" s="25" t="n">
        <v>599396396.661463</v>
      </c>
      <c r="D4" s="32" t="n">
        <v>614694781.682927</v>
      </c>
      <c r="E4" s="20" t="n">
        <v>573912882.881951</v>
      </c>
      <c r="F4" s="32" t="n">
        <v>540210941.463415</v>
      </c>
      <c r="G4" s="20" t="n">
        <v>528828321.973171</v>
      </c>
      <c r="H4" s="32" t="n">
        <v>552015036.585366</v>
      </c>
      <c r="I4" s="26" t="n">
        <v>465341037.897561</v>
      </c>
      <c r="J4" s="33" t="n">
        <v>410217580.138537</v>
      </c>
      <c r="K4" s="25" t="n">
        <v>399083957.619512</v>
      </c>
      <c r="L4" s="32" t="n">
        <v>391733894.766342</v>
      </c>
      <c r="M4" s="20" t="n">
        <v>393006931.707317</v>
      </c>
      <c r="N4" s="20" t="n">
        <v>388381948.366829</v>
      </c>
      <c r="O4" s="32" t="n">
        <v>362732899.512195</v>
      </c>
      <c r="P4" s="167" t="n">
        <v>369181823.856585</v>
      </c>
      <c r="Q4" s="33" t="n">
        <v>329125946.341463</v>
      </c>
      <c r="R4" s="32" t="n">
        <v>315363760.146341</v>
      </c>
      <c r="S4" s="20" t="n">
        <v>347500617.423415</v>
      </c>
      <c r="T4" s="32" t="n">
        <v>344401834.146341</v>
      </c>
      <c r="U4" s="32" t="n">
        <v>391618214.634146</v>
      </c>
      <c r="V4" s="20" t="n">
        <v>386025434.365366</v>
      </c>
      <c r="W4" s="20" t="n">
        <v>366418415.752683</v>
      </c>
      <c r="X4" s="26" t="n">
        <v>395784365.853659</v>
      </c>
      <c r="Y4" s="33" t="n">
        <v>405434283.051707</v>
      </c>
      <c r="Z4" s="32" t="n">
        <v>361080326.195122</v>
      </c>
      <c r="AA4" s="20" t="n">
        <v>374802100.723415</v>
      </c>
      <c r="AB4" s="32" t="n">
        <v>306780238.78878</v>
      </c>
      <c r="AC4" s="167" t="n">
        <v>257553412.594146</v>
      </c>
      <c r="AD4" s="33" t="n">
        <v>255662813.170732</v>
      </c>
      <c r="AE4" s="32" t="n">
        <v>244171179.390244</v>
      </c>
      <c r="AF4" s="20" t="n">
        <v>241328058.926341</v>
      </c>
      <c r="AG4" s="32" t="n">
        <v>222194731.707317</v>
      </c>
      <c r="AH4" s="32" t="n">
        <v>192726155.414634</v>
      </c>
      <c r="AI4" s="26" t="n">
        <v>258670635.479512</v>
      </c>
      <c r="AJ4" s="33" t="n">
        <v>238917246.087317</v>
      </c>
      <c r="AK4" s="32" t="n">
        <v>233998826.829268</v>
      </c>
      <c r="AL4" s="32" t="n">
        <v>235877205.542439</v>
      </c>
      <c r="AM4" s="32" t="n">
        <v>217804580.423902</v>
      </c>
      <c r="AN4" s="167" t="n">
        <v>212473712.195122</v>
      </c>
      <c r="AO4" s="33" t="n">
        <v>195809107.317073</v>
      </c>
      <c r="AP4" s="168" t="n">
        <v>198258804.234146</v>
      </c>
      <c r="AQ4" s="25" t="n">
        <v>194420390.243902</v>
      </c>
    </row>
    <row r="5" customFormat="false" ht="12.8" hidden="false" customHeight="false" outlineLevel="0" collapsed="false">
      <c r="A5" s="139" t="s">
        <v>30</v>
      </c>
      <c r="B5" s="20" t="n">
        <v>518290128.416098</v>
      </c>
      <c r="C5" s="25" t="n">
        <v>512282402.401626</v>
      </c>
      <c r="D5" s="32" t="n">
        <v>518986487.469106</v>
      </c>
      <c r="E5" s="20" t="n">
        <v>515020592.327642</v>
      </c>
      <c r="F5" s="32" t="n">
        <v>479189055.560976</v>
      </c>
      <c r="G5" s="20" t="n">
        <v>467290904.655935</v>
      </c>
      <c r="H5" s="32" t="n">
        <v>474678780.798862</v>
      </c>
      <c r="I5" s="26" t="n">
        <v>471234223.985854</v>
      </c>
      <c r="J5" s="33" t="n">
        <v>422529587.09187</v>
      </c>
      <c r="K5" s="25" t="n">
        <v>411979933.631057</v>
      </c>
      <c r="L5" s="32" t="n">
        <v>409332046.95122</v>
      </c>
      <c r="M5" s="20" t="n">
        <v>407624431.185203</v>
      </c>
      <c r="N5" s="20" t="n">
        <v>407168492.88813</v>
      </c>
      <c r="O5" s="32" t="n">
        <v>415406103.958374</v>
      </c>
      <c r="P5" s="167" t="n">
        <v>416945913.949919</v>
      </c>
      <c r="Q5" s="33" t="n">
        <v>399319092.680325</v>
      </c>
      <c r="R5" s="32" t="n">
        <v>374020219.330732</v>
      </c>
      <c r="S5" s="20" t="n">
        <v>392622920.783902</v>
      </c>
      <c r="T5" s="32" t="n">
        <v>389896135.133821</v>
      </c>
      <c r="U5" s="32" t="n">
        <v>418932585.365854</v>
      </c>
      <c r="V5" s="20" t="n">
        <v>408122030.000488</v>
      </c>
      <c r="W5" s="20" t="n">
        <v>383416178.999512</v>
      </c>
      <c r="X5" s="26" t="n">
        <v>423701434.629268</v>
      </c>
      <c r="Y5" s="33" t="n">
        <v>429177116.260325</v>
      </c>
      <c r="Z5" s="32" t="n">
        <v>398316214.619024</v>
      </c>
      <c r="AA5" s="20" t="n">
        <v>417615740.605854</v>
      </c>
      <c r="AB5" s="32" t="n">
        <v>360747504.065041</v>
      </c>
      <c r="AC5" s="167" t="n">
        <v>332681813.729431</v>
      </c>
      <c r="AD5" s="33" t="n">
        <v>307379682.015285</v>
      </c>
      <c r="AE5" s="32" t="n">
        <v>290926570.205691</v>
      </c>
      <c r="AF5" s="20" t="n">
        <v>298712199.56439</v>
      </c>
      <c r="AG5" s="32" t="n">
        <v>277078520.856098</v>
      </c>
      <c r="AH5" s="32" t="n">
        <v>225862848.593496</v>
      </c>
      <c r="AI5" s="26" t="n">
        <v>303340473.671382</v>
      </c>
      <c r="AJ5" s="33" t="n">
        <v>276964012.616098</v>
      </c>
      <c r="AK5" s="32" t="n">
        <v>260700118.690894</v>
      </c>
      <c r="AL5" s="32" t="n">
        <v>232671899.547642</v>
      </c>
      <c r="AM5" s="32" t="n">
        <v>210536432.698211</v>
      </c>
      <c r="AN5" s="167" t="n">
        <v>197829276.422764</v>
      </c>
      <c r="AO5" s="33" t="n">
        <v>190861962.04748</v>
      </c>
      <c r="AP5" s="168" t="n">
        <v>194392632.780813</v>
      </c>
      <c r="AQ5" s="25" t="n">
        <v>187301500.55252</v>
      </c>
    </row>
    <row r="6" customFormat="false" ht="12.8" hidden="false" customHeight="false" outlineLevel="0" collapsed="false">
      <c r="A6" s="139" t="s">
        <v>182</v>
      </c>
      <c r="B6" s="20" t="n">
        <v>562794123.892683</v>
      </c>
      <c r="C6" s="25" t="n">
        <v>511029658.536585</v>
      </c>
      <c r="D6" s="32" t="n">
        <v>511029658.536585</v>
      </c>
      <c r="E6" s="20" t="n">
        <v>445473070.507317</v>
      </c>
      <c r="F6" s="32" t="n">
        <v>442892370.731707</v>
      </c>
      <c r="G6" s="20" t="n">
        <v>452045479.726829</v>
      </c>
      <c r="H6" s="32" t="n">
        <v>429361440.995122</v>
      </c>
      <c r="I6" s="26" t="n">
        <v>400306565.853659</v>
      </c>
      <c r="J6" s="33" t="n">
        <v>374124813.014634</v>
      </c>
      <c r="K6" s="25" t="n">
        <v>380220261.219512</v>
      </c>
      <c r="L6" s="32" t="n">
        <v>368168478.439024</v>
      </c>
      <c r="M6" s="20" t="n">
        <v>368793070.243902</v>
      </c>
      <c r="N6" s="20" t="n">
        <v>365059714.682927</v>
      </c>
      <c r="O6" s="32" t="n">
        <v>350907032.195122</v>
      </c>
      <c r="P6" s="167" t="n">
        <v>373610944.302439</v>
      </c>
      <c r="Q6" s="33" t="n">
        <v>382136622.439024</v>
      </c>
      <c r="R6" s="32" t="n">
        <v>383272243.902439</v>
      </c>
      <c r="S6" s="20" t="n">
        <v>399031830.760976</v>
      </c>
      <c r="T6" s="32" t="n">
        <v>388822593.804878</v>
      </c>
      <c r="U6" s="32" t="n">
        <v>425858048.780488</v>
      </c>
      <c r="V6" s="20" t="n">
        <v>398035322.926829</v>
      </c>
      <c r="W6" s="20" t="n">
        <v>384217648.770732</v>
      </c>
      <c r="X6" s="26" t="n">
        <v>425858048.780488</v>
      </c>
      <c r="Y6" s="33" t="n">
        <v>389878721.765854</v>
      </c>
      <c r="Z6" s="32" t="n">
        <v>371916029.268293</v>
      </c>
      <c r="AA6" s="20" t="n">
        <v>381952083.95122</v>
      </c>
      <c r="AB6" s="32" t="n">
        <v>340686439.02439</v>
      </c>
      <c r="AC6" s="167" t="n">
        <v>338415196.097561</v>
      </c>
      <c r="AD6" s="33" t="n">
        <v>325065965.795122</v>
      </c>
      <c r="AE6" s="32" t="n">
        <v>323300074.419512</v>
      </c>
      <c r="AF6" s="20" t="n">
        <v>335666992.156098</v>
      </c>
      <c r="AG6" s="32" t="n">
        <v>298100634.146341</v>
      </c>
      <c r="AH6" s="32" t="n">
        <v>251525958.878049</v>
      </c>
      <c r="AI6" s="26" t="n">
        <v>354881707.317073</v>
      </c>
      <c r="AJ6" s="33" t="n">
        <v>341140687.609756</v>
      </c>
      <c r="AK6" s="32" t="n">
        <v>340686439.02439</v>
      </c>
      <c r="AL6" s="32" t="n">
        <v>340686439.02439</v>
      </c>
      <c r="AM6" s="32" t="n">
        <v>293805145.960976</v>
      </c>
      <c r="AN6" s="167" t="n">
        <v>334554083.121951</v>
      </c>
      <c r="AO6" s="33" t="n">
        <v>340686439.02439</v>
      </c>
      <c r="AP6" s="168" t="n">
        <v>328106592.263415</v>
      </c>
      <c r="AQ6" s="25" t="n">
        <v>322082120.4</v>
      </c>
    </row>
    <row r="7" customFormat="false" ht="12.8" hidden="false" customHeight="false" outlineLevel="0" collapsed="false">
      <c r="A7" s="139" t="s">
        <v>183</v>
      </c>
      <c r="B7" s="20" t="n">
        <v>332770068.292683</v>
      </c>
      <c r="C7" s="25" t="n">
        <v>340562204.878049</v>
      </c>
      <c r="D7" s="32" t="n">
        <v>340562204.878049</v>
      </c>
      <c r="E7" s="20" t="n">
        <v>341020565.853659</v>
      </c>
      <c r="F7" s="32" t="n">
        <v>341020565.853659</v>
      </c>
      <c r="G7" s="20" t="n">
        <v>286475609.756098</v>
      </c>
      <c r="H7" s="32" t="n">
        <v>286475609.756098</v>
      </c>
      <c r="I7" s="26" t="n">
        <v>279600195.121951</v>
      </c>
      <c r="J7" s="33" t="n">
        <v>278545964.878049</v>
      </c>
      <c r="K7" s="25" t="n">
        <v>264923476.682927</v>
      </c>
      <c r="L7" s="32" t="n">
        <v>264923476.682927</v>
      </c>
      <c r="M7" s="20" t="n">
        <v>264923476.682927</v>
      </c>
      <c r="N7" s="20" t="n">
        <v>264923476.682927</v>
      </c>
      <c r="O7" s="32" t="n">
        <v>267682809.756098</v>
      </c>
      <c r="P7" s="167" t="n">
        <v>273641502.439024</v>
      </c>
      <c r="Q7" s="33" t="n">
        <v>265849365.853659</v>
      </c>
      <c r="R7" s="32" t="n">
        <v>261274923.317073</v>
      </c>
      <c r="S7" s="20" t="n">
        <v>258698934.634146</v>
      </c>
      <c r="T7" s="32" t="n">
        <v>320852682.926829</v>
      </c>
      <c r="U7" s="32" t="n">
        <v>375856000</v>
      </c>
      <c r="V7" s="20" t="n">
        <v>365772058.536585</v>
      </c>
      <c r="W7" s="20" t="n">
        <v>365772058.536585</v>
      </c>
      <c r="X7" s="26" t="n">
        <v>365772058.536585</v>
      </c>
      <c r="Y7" s="33" t="n">
        <v>321833575.414634</v>
      </c>
      <c r="Z7" s="32" t="n">
        <v>321778572.097561</v>
      </c>
      <c r="AA7" s="20" t="n">
        <v>307431873.560976</v>
      </c>
      <c r="AB7" s="32" t="n">
        <v>265858533.073171</v>
      </c>
      <c r="AC7" s="167" t="n">
        <v>265849365.853659</v>
      </c>
      <c r="AD7" s="33" t="n">
        <v>238356874.536585</v>
      </c>
      <c r="AE7" s="32" t="n">
        <v>229189655.02439</v>
      </c>
      <c r="AF7" s="20" t="n">
        <v>229180487.804878</v>
      </c>
      <c r="AG7" s="32" t="n">
        <v>224596878.048781</v>
      </c>
      <c r="AH7" s="32" t="n">
        <v>212221131.707317</v>
      </c>
      <c r="AI7" s="26" t="n">
        <v>221846712.195122</v>
      </c>
      <c r="AJ7" s="33" t="n">
        <v>230097209.756098</v>
      </c>
      <c r="AK7" s="32" t="n">
        <v>211313576.97561</v>
      </c>
      <c r="AL7" s="32" t="n">
        <v>211304409.756098</v>
      </c>
      <c r="AM7" s="32" t="n">
        <v>210855216</v>
      </c>
      <c r="AN7" s="167" t="n">
        <v>215429658.536585</v>
      </c>
      <c r="AO7" s="33" t="n">
        <v>210846048.780488</v>
      </c>
      <c r="AP7" s="168" t="n">
        <v>218179824.390244</v>
      </c>
      <c r="AQ7" s="25" t="n">
        <v>218179824.390244</v>
      </c>
    </row>
    <row r="8" customFormat="false" ht="12.8" hidden="false" customHeight="false" outlineLevel="0" collapsed="false">
      <c r="A8" s="139" t="s">
        <v>27</v>
      </c>
      <c r="B8" s="20" t="n">
        <v>159310018.722602</v>
      </c>
      <c r="C8" s="25" t="n">
        <v>155096643.94439</v>
      </c>
      <c r="D8" s="32" t="n">
        <v>155324715.447154</v>
      </c>
      <c r="E8" s="20" t="n">
        <v>148928279.203577</v>
      </c>
      <c r="F8" s="32" t="n">
        <v>144269067.671545</v>
      </c>
      <c r="G8" s="20" t="n">
        <v>129700833.686829</v>
      </c>
      <c r="H8" s="32" t="n">
        <v>124259735.810732</v>
      </c>
      <c r="I8" s="26" t="n">
        <v>119691434.920976</v>
      </c>
      <c r="J8" s="33" t="n">
        <v>117636543.756098</v>
      </c>
      <c r="K8" s="25" t="n">
        <v>126998969.398374</v>
      </c>
      <c r="L8" s="32" t="n">
        <v>119234560.97561</v>
      </c>
      <c r="M8" s="20" t="n">
        <v>119325928.455285</v>
      </c>
      <c r="N8" s="20" t="n">
        <v>119326385.292683</v>
      </c>
      <c r="O8" s="32" t="n">
        <v>120480996.133333</v>
      </c>
      <c r="P8" s="167" t="n">
        <v>121650847.069593</v>
      </c>
      <c r="Q8" s="33" t="n">
        <v>123152508.145041</v>
      </c>
      <c r="R8" s="32" t="n">
        <v>120605164.538211</v>
      </c>
      <c r="S8" s="20" t="n">
        <v>127608244.299837</v>
      </c>
      <c r="T8" s="32" t="n">
        <v>129741821.138211</v>
      </c>
      <c r="U8" s="32" t="n">
        <v>134316280.196098</v>
      </c>
      <c r="V8" s="20" t="n">
        <v>126074860.435447</v>
      </c>
      <c r="W8" s="20" t="n">
        <v>124990712.195122</v>
      </c>
      <c r="X8" s="26" t="n">
        <v>138878569.105691</v>
      </c>
      <c r="Y8" s="33" t="n">
        <v>143044926.178862</v>
      </c>
      <c r="Z8" s="32" t="n">
        <v>138029162.194146</v>
      </c>
      <c r="AA8" s="20" t="n">
        <v>141135656.503089</v>
      </c>
      <c r="AB8" s="32" t="n">
        <v>139238410.787642</v>
      </c>
      <c r="AC8" s="167" t="n">
        <v>131569243.825691</v>
      </c>
      <c r="AD8" s="33" t="n">
        <v>134541025.922602</v>
      </c>
      <c r="AE8" s="32" t="n">
        <v>127841030.364553</v>
      </c>
      <c r="AF8" s="20" t="n">
        <v>122864463.028618</v>
      </c>
      <c r="AG8" s="32" t="n">
        <v>118777723.577236</v>
      </c>
      <c r="AH8" s="32" t="n">
        <v>92274594.2865041</v>
      </c>
      <c r="AI8" s="26" t="n">
        <v>140863728.610081</v>
      </c>
      <c r="AJ8" s="33" t="n">
        <v>142259513.050081</v>
      </c>
      <c r="AK8" s="32" t="n">
        <v>133396447.23122</v>
      </c>
      <c r="AL8" s="32" t="n">
        <v>121168043.033496</v>
      </c>
      <c r="AM8" s="32" t="n">
        <v>113260918.60748</v>
      </c>
      <c r="AN8" s="167" t="n">
        <v>94108504.0650407</v>
      </c>
      <c r="AO8" s="33" t="n">
        <v>86790517.1479675</v>
      </c>
      <c r="AP8" s="168" t="n">
        <v>88339762.4068293</v>
      </c>
      <c r="AQ8" s="25" t="n">
        <v>85068605.6260163</v>
      </c>
    </row>
    <row r="9" customFormat="false" ht="12.8" hidden="false" customHeight="false" outlineLevel="0" collapsed="false">
      <c r="A9" s="139" t="s">
        <v>31</v>
      </c>
      <c r="B9" s="20" t="n">
        <v>81456989.2682927</v>
      </c>
      <c r="C9" s="25" t="n">
        <v>81456989.2682927</v>
      </c>
      <c r="D9" s="32" t="n">
        <v>81456989.2682927</v>
      </c>
      <c r="E9" s="20" t="n">
        <v>73607860.3902439</v>
      </c>
      <c r="F9" s="32" t="n">
        <v>67433560.9756098</v>
      </c>
      <c r="G9" s="20" t="n">
        <v>70819000.9756098</v>
      </c>
      <c r="H9" s="32" t="n">
        <v>70819000.9756098</v>
      </c>
      <c r="I9" s="25" t="n">
        <v>67433560.9756098</v>
      </c>
      <c r="J9" s="33" t="n">
        <v>68672136.5853659</v>
      </c>
      <c r="K9" s="25" t="n">
        <v>83539172.4878049</v>
      </c>
      <c r="L9" s="32" t="n">
        <v>83539172.4878049</v>
      </c>
      <c r="M9" s="20" t="n">
        <v>83918176.6243903</v>
      </c>
      <c r="N9" s="20" t="n">
        <v>76547000.3121951</v>
      </c>
      <c r="O9" s="32" t="n">
        <v>45414439.0243902</v>
      </c>
      <c r="P9" s="167" t="n">
        <v>46102536.5853659</v>
      </c>
      <c r="Q9" s="33" t="n">
        <v>48166829.2682927</v>
      </c>
      <c r="R9" s="32" t="n">
        <v>45455724.8780488</v>
      </c>
      <c r="S9" s="20" t="n">
        <v>49955882.9268293</v>
      </c>
      <c r="T9" s="32" t="n">
        <v>44905246.8292683</v>
      </c>
      <c r="U9" s="32" t="n">
        <v>50065978.5365854</v>
      </c>
      <c r="V9" s="20" t="n">
        <v>50244883.902439</v>
      </c>
      <c r="W9" s="20" t="n">
        <v>50244883.902439</v>
      </c>
      <c r="X9" s="26" t="n">
        <v>50244883.902439</v>
      </c>
      <c r="Y9" s="33" t="n">
        <v>49446690.7317073</v>
      </c>
      <c r="Z9" s="32" t="n">
        <v>49538207.7073171</v>
      </c>
      <c r="AA9" s="20" t="n">
        <v>51543324</v>
      </c>
      <c r="AB9" s="32" t="n">
        <v>46790634.1463415</v>
      </c>
      <c r="AC9" s="167" t="n">
        <v>46790634.1463415</v>
      </c>
      <c r="AD9" s="33" t="n">
        <v>46780725.5414634</v>
      </c>
      <c r="AE9" s="32" t="n">
        <v>49439259.2780488</v>
      </c>
      <c r="AF9" s="20" t="n">
        <v>43361568.7609756</v>
      </c>
      <c r="AG9" s="32" t="n">
        <v>45414439.0243902</v>
      </c>
      <c r="AH9" s="32" t="n">
        <v>41285853.6585366</v>
      </c>
      <c r="AI9" s="26" t="n">
        <v>62148971.7073171</v>
      </c>
      <c r="AJ9" s="33" t="n">
        <v>66057365.8536585</v>
      </c>
      <c r="AK9" s="32" t="n">
        <v>65860707.5707317</v>
      </c>
      <c r="AL9" s="32" t="n">
        <v>62052638.0487805</v>
      </c>
      <c r="AM9" s="32" t="n">
        <v>60552585.3658537</v>
      </c>
      <c r="AN9" s="167" t="n">
        <v>58089196.097561</v>
      </c>
      <c r="AO9" s="33" t="n">
        <v>55171662.4390244</v>
      </c>
      <c r="AP9" s="168" t="n">
        <v>68075831.2390244</v>
      </c>
      <c r="AQ9" s="25" t="n">
        <v>60552585.3658537</v>
      </c>
    </row>
    <row r="10" customFormat="false" ht="12.8" hidden="false" customHeight="false" outlineLevel="0" collapsed="false">
      <c r="A10" s="139" t="s">
        <v>184</v>
      </c>
      <c r="B10" s="20" t="n">
        <v>81419457.5100813</v>
      </c>
      <c r="C10" s="25" t="n">
        <v>71933147.5726829</v>
      </c>
      <c r="D10" s="32" t="n">
        <v>71915168.7804878</v>
      </c>
      <c r="E10" s="20" t="n">
        <v>71915168.7804878</v>
      </c>
      <c r="F10" s="32" t="n">
        <v>66921059.8373984</v>
      </c>
      <c r="G10" s="20" t="n">
        <v>68918703.4146342</v>
      </c>
      <c r="H10" s="32" t="n">
        <v>61427540</v>
      </c>
      <c r="I10" s="26" t="n">
        <v>58573906.1499187</v>
      </c>
      <c r="J10" s="168" t="n">
        <v>58893029.7113821</v>
      </c>
      <c r="K10" s="25" t="n">
        <v>55934020.1626016</v>
      </c>
      <c r="L10" s="32" t="n">
        <v>55714279.3691057</v>
      </c>
      <c r="M10" s="20" t="n">
        <v>55434609.2682927</v>
      </c>
      <c r="N10" s="20" t="n">
        <v>55434609.2682927</v>
      </c>
      <c r="O10" s="32" t="n">
        <v>57400789.959187</v>
      </c>
      <c r="P10" s="167" t="n">
        <v>59979248.4065041</v>
      </c>
      <c r="Q10" s="33" t="n">
        <v>63678884.3115447</v>
      </c>
      <c r="R10" s="32" t="n">
        <v>74891657.7105691</v>
      </c>
      <c r="S10" s="20" t="n">
        <v>69336710.3331707</v>
      </c>
      <c r="T10" s="32" t="n">
        <v>65922238.0487805</v>
      </c>
      <c r="U10" s="32" t="n">
        <v>64920919.2056911</v>
      </c>
      <c r="V10" s="20" t="n">
        <v>59138240.4604878</v>
      </c>
      <c r="W10" s="20" t="n">
        <v>59138240.4604878</v>
      </c>
      <c r="X10" s="26" t="n">
        <v>65690511.3938211</v>
      </c>
      <c r="Y10" s="33" t="n">
        <v>69556950.537561</v>
      </c>
      <c r="Z10" s="32" t="n">
        <v>65173121.7073171</v>
      </c>
      <c r="AA10" s="20" t="n">
        <v>64973357.3495935</v>
      </c>
      <c r="AB10" s="32" t="n">
        <v>59929307.3170732</v>
      </c>
      <c r="AC10" s="167" t="n">
        <v>52594958.923252</v>
      </c>
      <c r="AD10" s="33" t="n">
        <v>55881582.0186992</v>
      </c>
      <c r="AE10" s="32" t="n">
        <v>51439322.1138211</v>
      </c>
      <c r="AF10" s="20" t="n">
        <v>51426337.4305691</v>
      </c>
      <c r="AG10" s="32" t="n">
        <v>46500148.3691057</v>
      </c>
      <c r="AH10" s="32" t="n">
        <v>39496409.9873171</v>
      </c>
      <c r="AI10" s="26" t="n">
        <v>59899342.6634146</v>
      </c>
      <c r="AJ10" s="33" t="n">
        <v>56248149.615122</v>
      </c>
      <c r="AK10" s="32" t="n">
        <v>51127190.3048781</v>
      </c>
      <c r="AL10" s="32" t="n">
        <v>46815776.0543089</v>
      </c>
      <c r="AM10" s="32" t="n">
        <v>43515169.4538211</v>
      </c>
      <c r="AN10" s="167" t="n">
        <v>40951693.3333333</v>
      </c>
      <c r="AO10" s="33" t="n">
        <v>39976843.2676423</v>
      </c>
      <c r="AP10" s="168" t="n">
        <v>43178566.5110569</v>
      </c>
      <c r="AQ10" s="25" t="n">
        <v>40672522.6434146</v>
      </c>
    </row>
    <row r="11" customFormat="false" ht="12.8" hidden="false" customHeight="false" outlineLevel="0" collapsed="false">
      <c r="A11" s="139" t="s">
        <v>185</v>
      </c>
      <c r="B11" s="20" t="n">
        <v>62220057.0713821</v>
      </c>
      <c r="C11" s="25" t="n">
        <v>62144861.7886179</v>
      </c>
      <c r="D11" s="32" t="n">
        <v>63831650.8943089</v>
      </c>
      <c r="E11" s="20" t="n">
        <v>61700969.9186992</v>
      </c>
      <c r="F11" s="32" t="n">
        <v>59925402.4390244</v>
      </c>
      <c r="G11" s="20" t="n">
        <v>63338930.9186992</v>
      </c>
      <c r="H11" s="32" t="n">
        <v>61541168.8455285</v>
      </c>
      <c r="I11" s="26" t="n">
        <v>62855088.7804878</v>
      </c>
      <c r="J11" s="33" t="n">
        <v>50294280.5373984</v>
      </c>
      <c r="K11" s="25" t="n">
        <v>44407475.3369106</v>
      </c>
      <c r="L11" s="32" t="n">
        <v>44389186.9918699</v>
      </c>
      <c r="M11" s="20" t="n">
        <v>44389186.9918699</v>
      </c>
      <c r="N11" s="20" t="n">
        <v>44398064.8292683</v>
      </c>
      <c r="O11" s="32" t="n">
        <v>45720862.601626</v>
      </c>
      <c r="P11" s="167" t="n">
        <v>43501403.2520325</v>
      </c>
      <c r="Q11" s="33" t="n">
        <v>35561065.4829268</v>
      </c>
      <c r="R11" s="32"/>
      <c r="S11" s="20"/>
      <c r="T11" s="32"/>
      <c r="U11" s="32"/>
      <c r="V11" s="20"/>
      <c r="W11" s="20"/>
      <c r="X11" s="26"/>
      <c r="Y11" s="33"/>
      <c r="Z11" s="32"/>
      <c r="AA11" s="20"/>
      <c r="AB11" s="32"/>
      <c r="AC11" s="167"/>
      <c r="AD11" s="33"/>
      <c r="AE11" s="32"/>
      <c r="AF11" s="20"/>
      <c r="AG11" s="32"/>
      <c r="AH11" s="32"/>
      <c r="AI11" s="26"/>
      <c r="AJ11" s="33"/>
      <c r="AK11" s="32"/>
      <c r="AL11" s="32"/>
      <c r="AM11" s="32"/>
      <c r="AN11" s="167"/>
      <c r="AO11" s="33"/>
      <c r="AP11" s="168"/>
      <c r="AQ11" s="25"/>
    </row>
    <row r="12" customFormat="false" ht="12.8" hidden="false" customHeight="false" outlineLevel="0" collapsed="false">
      <c r="A12" s="139" t="s">
        <v>29</v>
      </c>
      <c r="B12" s="20" t="n">
        <v>63105211.3170732</v>
      </c>
      <c r="C12" s="25" t="n">
        <v>60212370.7317073</v>
      </c>
      <c r="D12" s="32" t="n">
        <v>60212370.7317073</v>
      </c>
      <c r="E12" s="20" t="n">
        <v>62639789.2682927</v>
      </c>
      <c r="F12" s="32" t="n">
        <v>48889756.097561</v>
      </c>
      <c r="G12" s="20" t="n">
        <v>45939512.195122</v>
      </c>
      <c r="H12" s="32" t="n">
        <v>43655652.5268293</v>
      </c>
      <c r="I12" s="26" t="n">
        <v>41552461.5804878</v>
      </c>
      <c r="J12" s="33" t="n">
        <v>39196097.5609756</v>
      </c>
      <c r="K12" s="25" t="n">
        <v>36667317.0731707</v>
      </c>
      <c r="L12" s="32" t="n">
        <v>35824390.2439024</v>
      </c>
      <c r="M12" s="20" t="n">
        <v>35824390.2439024</v>
      </c>
      <c r="N12" s="20" t="n">
        <v>33717073.1707317</v>
      </c>
      <c r="O12" s="32" t="n">
        <v>33704488.2731707</v>
      </c>
      <c r="P12" s="167" t="n">
        <v>34560000</v>
      </c>
      <c r="Q12" s="33" t="n">
        <v>36899121.9512195</v>
      </c>
      <c r="R12" s="32" t="n">
        <v>38353170.7317073</v>
      </c>
      <c r="S12" s="20" t="n">
        <v>38353170.7317073</v>
      </c>
      <c r="T12" s="32" t="n">
        <v>36250068.2926829</v>
      </c>
      <c r="U12" s="32" t="n">
        <v>34983570.7317073</v>
      </c>
      <c r="V12" s="20" t="n">
        <v>38775055.6097561</v>
      </c>
      <c r="W12" s="20" t="n">
        <v>38775055.6097561</v>
      </c>
      <c r="X12" s="26" t="n">
        <v>38775055.6097561</v>
      </c>
      <c r="Y12" s="33" t="n">
        <v>42926048.7804878</v>
      </c>
      <c r="Z12" s="32" t="n">
        <v>44675121.9512195</v>
      </c>
      <c r="AA12" s="20" t="n">
        <v>43972681.5219512</v>
      </c>
      <c r="AB12" s="32" t="n">
        <v>45518048.7804878</v>
      </c>
      <c r="AC12" s="167" t="n">
        <v>42104195.1219512</v>
      </c>
      <c r="AD12" s="33" t="n">
        <v>43832195.1219512</v>
      </c>
      <c r="AE12" s="32" t="n">
        <v>37510243.902439</v>
      </c>
      <c r="AF12" s="20" t="n">
        <v>35730732.6439024</v>
      </c>
      <c r="AG12" s="32" t="n">
        <v>34559894.6341463</v>
      </c>
      <c r="AH12" s="32" t="n">
        <v>35192195.1219512</v>
      </c>
      <c r="AI12" s="26" t="n">
        <v>34981463.4146341</v>
      </c>
      <c r="AJ12" s="33" t="n">
        <v>32337737.2097561</v>
      </c>
      <c r="AK12" s="32" t="n">
        <v>32667629.2682927</v>
      </c>
      <c r="AL12" s="32" t="n">
        <v>32600195.1219512</v>
      </c>
      <c r="AM12" s="32" t="n">
        <v>31188292.6829268</v>
      </c>
      <c r="AN12" s="167" t="n">
        <v>32031219.5121951</v>
      </c>
      <c r="AO12" s="33"/>
      <c r="AP12" s="168"/>
      <c r="AQ12" s="25"/>
    </row>
    <row r="13" customFormat="false" ht="12.8" hidden="false" customHeight="false" outlineLevel="0" collapsed="false">
      <c r="A13" s="139" t="s">
        <v>186</v>
      </c>
      <c r="B13" s="46"/>
      <c r="C13" s="25"/>
      <c r="D13" s="32"/>
      <c r="E13" s="20"/>
      <c r="F13" s="32"/>
      <c r="G13" s="20"/>
      <c r="H13" s="32"/>
      <c r="I13" s="26"/>
      <c r="J13" s="33"/>
      <c r="K13" s="25"/>
      <c r="L13" s="32"/>
      <c r="M13" s="20"/>
      <c r="N13" s="20"/>
      <c r="O13" s="32"/>
      <c r="P13" s="167"/>
      <c r="Q13" s="33"/>
      <c r="R13" s="32" t="n">
        <v>32355882.9268293</v>
      </c>
      <c r="S13" s="20" t="n">
        <v>32297568.8014634</v>
      </c>
      <c r="T13" s="32" t="n">
        <v>33525106.8780488</v>
      </c>
      <c r="U13" s="32" t="n">
        <v>33826604.8780488</v>
      </c>
      <c r="V13" s="20" t="n">
        <v>34561965.8536585</v>
      </c>
      <c r="W13" s="20" t="n">
        <v>34561965.8536585</v>
      </c>
      <c r="X13" s="26" t="n">
        <v>34561965.8536585</v>
      </c>
      <c r="Y13" s="33" t="n">
        <v>35665007.3170732</v>
      </c>
      <c r="Z13" s="32" t="n">
        <v>34561965.8536585</v>
      </c>
      <c r="AA13" s="20" t="n">
        <v>36760695.1707317</v>
      </c>
      <c r="AB13" s="32" t="n">
        <v>33091243.902439</v>
      </c>
      <c r="AC13" s="167" t="n">
        <v>30598370.195122</v>
      </c>
      <c r="AD13" s="33" t="n">
        <v>30641682.9565854</v>
      </c>
      <c r="AE13" s="32" t="n">
        <v>29414439.0243902</v>
      </c>
      <c r="AF13" s="20" t="n">
        <v>29414439.0243902</v>
      </c>
      <c r="AG13" s="32" t="n">
        <v>32944171.7073171</v>
      </c>
      <c r="AH13" s="32" t="n">
        <v>32355882.9268293</v>
      </c>
      <c r="AI13" s="26" t="n">
        <v>41915575.6097561</v>
      </c>
      <c r="AJ13" s="33" t="n">
        <v>41402440.7209756</v>
      </c>
      <c r="AK13" s="32" t="n">
        <v>39055021.4146341</v>
      </c>
      <c r="AL13" s="32" t="n">
        <v>39047667.8048781</v>
      </c>
      <c r="AM13" s="32" t="n">
        <v>39231508.0487805</v>
      </c>
      <c r="AN13" s="167" t="n">
        <v>37144921.2804878</v>
      </c>
      <c r="AO13" s="33" t="n">
        <v>36768048.7804878</v>
      </c>
      <c r="AP13" s="168" t="n">
        <v>35853774.4795122</v>
      </c>
      <c r="AQ13" s="25" t="n">
        <v>34924866.495122</v>
      </c>
    </row>
    <row r="14" customFormat="false" ht="12.8" hidden="false" customHeight="false" outlineLevel="0" collapsed="false">
      <c r="A14" s="139" t="s">
        <v>187</v>
      </c>
      <c r="B14" s="46"/>
      <c r="C14" s="25"/>
      <c r="D14" s="32"/>
      <c r="E14" s="20"/>
      <c r="F14" s="32"/>
      <c r="G14" s="20"/>
      <c r="H14" s="32"/>
      <c r="I14" s="26"/>
      <c r="J14" s="33"/>
      <c r="K14" s="25"/>
      <c r="L14" s="32"/>
      <c r="M14" s="20"/>
      <c r="N14" s="20"/>
      <c r="O14" s="32"/>
      <c r="P14" s="167"/>
      <c r="Q14" s="33"/>
      <c r="R14" s="32"/>
      <c r="S14" s="20"/>
      <c r="T14" s="32"/>
      <c r="U14" s="32"/>
      <c r="V14" s="20"/>
      <c r="W14" s="20"/>
      <c r="X14" s="26"/>
      <c r="Y14" s="33"/>
      <c r="Z14" s="32"/>
      <c r="AA14" s="20"/>
      <c r="AB14" s="32"/>
      <c r="AC14" s="167"/>
      <c r="AD14" s="33"/>
      <c r="AE14" s="32"/>
      <c r="AF14" s="20"/>
      <c r="AG14" s="32"/>
      <c r="AH14" s="32"/>
      <c r="AI14" s="26"/>
      <c r="AJ14" s="33"/>
      <c r="AK14" s="32"/>
      <c r="AL14" s="32"/>
      <c r="AM14" s="32"/>
      <c r="AN14" s="167"/>
      <c r="AO14" s="33"/>
      <c r="AP14" s="168" t="n">
        <v>34182020.9053659</v>
      </c>
      <c r="AQ14" s="25" t="n">
        <v>32099143.1707317</v>
      </c>
    </row>
    <row r="15" customFormat="false" ht="12.8" hidden="false" customHeight="false" outlineLevel="0" collapsed="false">
      <c r="A15" s="139" t="s">
        <v>190</v>
      </c>
      <c r="B15" s="46"/>
      <c r="C15" s="25"/>
      <c r="D15" s="32"/>
      <c r="E15" s="20"/>
      <c r="F15" s="32"/>
      <c r="G15" s="20"/>
      <c r="H15" s="32"/>
      <c r="I15" s="26"/>
      <c r="J15" s="33"/>
      <c r="K15" s="25"/>
      <c r="L15" s="32"/>
      <c r="M15" s="20"/>
      <c r="N15" s="20"/>
      <c r="O15" s="32"/>
      <c r="P15" s="167"/>
      <c r="Q15" s="33"/>
      <c r="R15" s="32"/>
      <c r="S15" s="20"/>
      <c r="T15" s="32"/>
      <c r="U15" s="32"/>
      <c r="V15" s="20"/>
      <c r="W15" s="20"/>
      <c r="X15" s="26"/>
      <c r="Y15" s="33"/>
      <c r="Z15" s="32"/>
      <c r="AA15" s="20"/>
      <c r="AB15" s="32"/>
      <c r="AC15" s="167"/>
      <c r="AD15" s="33"/>
      <c r="AE15" s="32"/>
      <c r="AF15" s="20"/>
      <c r="AG15" s="32"/>
      <c r="AH15" s="32"/>
      <c r="AI15" s="26"/>
      <c r="AJ15" s="33"/>
      <c r="AK15" s="32"/>
      <c r="AL15" s="32"/>
      <c r="AM15" s="32"/>
      <c r="AN15" s="167"/>
      <c r="AO15" s="33" t="n">
        <v>29870347.3170732</v>
      </c>
      <c r="AP15" s="168"/>
      <c r="AQ15" s="25"/>
    </row>
    <row r="16" customFormat="false" ht="12.8" hidden="false" customHeight="false" outlineLevel="0" collapsed="false">
      <c r="A16" s="139"/>
      <c r="B16" s="46"/>
      <c r="C16" s="25"/>
      <c r="D16" s="32"/>
      <c r="E16" s="20"/>
      <c r="F16" s="32"/>
      <c r="G16" s="20"/>
      <c r="H16" s="32"/>
      <c r="I16" s="26"/>
      <c r="J16" s="33"/>
      <c r="K16" s="25"/>
      <c r="L16" s="32"/>
      <c r="M16" s="20"/>
      <c r="N16" s="20"/>
      <c r="O16" s="32"/>
      <c r="P16" s="167"/>
      <c r="Q16" s="33"/>
      <c r="R16" s="32"/>
      <c r="S16" s="20"/>
      <c r="T16" s="32"/>
      <c r="U16" s="32"/>
      <c r="V16" s="20"/>
      <c r="W16" s="20"/>
      <c r="X16" s="26"/>
      <c r="Y16" s="33"/>
      <c r="Z16" s="32"/>
      <c r="AA16" s="20"/>
      <c r="AB16" s="32"/>
      <c r="AC16" s="167"/>
      <c r="AD16" s="33"/>
      <c r="AE16" s="32"/>
      <c r="AF16" s="20"/>
      <c r="AG16" s="32"/>
      <c r="AH16" s="32"/>
      <c r="AI16" s="26"/>
      <c r="AJ16" s="33"/>
      <c r="AK16" s="32"/>
      <c r="AL16" s="32"/>
      <c r="AM16" s="32"/>
      <c r="AN16" s="167"/>
      <c r="AO16" s="33"/>
      <c r="AP16" s="168"/>
    </row>
    <row r="17" customFormat="false" ht="12.8" hidden="false" customHeight="false" outlineLevel="0" collapsed="false">
      <c r="A17" s="1" t="s">
        <v>210</v>
      </c>
      <c r="B17" s="39" t="n">
        <f aca="false">COUNT(B2:B15)</f>
        <v>11</v>
      </c>
      <c r="C17" s="39" t="n">
        <f aca="false">COUNT(C2:C15)</f>
        <v>11</v>
      </c>
      <c r="D17" s="1" t="n">
        <f aca="false">COUNT(D2:D15)</f>
        <v>11</v>
      </c>
      <c r="E17" s="40" t="n">
        <f aca="false">COUNT(E2:E15)</f>
        <v>11</v>
      </c>
      <c r="F17" s="1" t="n">
        <f aca="false">COUNT(F2:F15)</f>
        <v>11</v>
      </c>
      <c r="G17" s="40" t="n">
        <f aca="false">COUNT(G2:G15)</f>
        <v>11</v>
      </c>
      <c r="H17" s="1" t="n">
        <f aca="false">COUNT(H2:H15)</f>
        <v>11</v>
      </c>
      <c r="I17" s="41" t="n">
        <f aca="false">COUNT(I2:I15)</f>
        <v>11</v>
      </c>
      <c r="J17" s="21" t="n">
        <f aca="false">COUNT(J2:J15)</f>
        <v>11</v>
      </c>
      <c r="K17" s="40" t="n">
        <f aca="false">COUNT(K2:K15)</f>
        <v>11</v>
      </c>
      <c r="L17" s="1" t="n">
        <f aca="false">COUNT(L2:L15)</f>
        <v>11</v>
      </c>
      <c r="M17" s="40" t="n">
        <f aca="false">COUNT(M2:M15)</f>
        <v>11</v>
      </c>
      <c r="N17" s="40" t="n">
        <f aca="false">COUNT(N2:N15)</f>
        <v>11</v>
      </c>
      <c r="O17" s="1" t="n">
        <f aca="false">COUNT(O2:O15)</f>
        <v>11</v>
      </c>
      <c r="P17" s="42" t="n">
        <f aca="false">COUNT(P2:P15)</f>
        <v>11</v>
      </c>
      <c r="Q17" s="21" t="n">
        <f aca="false">COUNT(Q2:Q15)</f>
        <v>11</v>
      </c>
      <c r="R17" s="1" t="n">
        <f aca="false">COUNT(R2:R15)</f>
        <v>11</v>
      </c>
      <c r="S17" s="40" t="n">
        <f aca="false">COUNT(S2:S15)</f>
        <v>11</v>
      </c>
      <c r="T17" s="1" t="n">
        <f aca="false">COUNT(T2:T15)</f>
        <v>11</v>
      </c>
      <c r="U17" s="1" t="n">
        <f aca="false">COUNT(U2:U15)</f>
        <v>11</v>
      </c>
      <c r="V17" s="40" t="n">
        <f aca="false">COUNT(V2:V15)</f>
        <v>11</v>
      </c>
      <c r="W17" s="40" t="n">
        <f aca="false">COUNT(W2:W15)</f>
        <v>11</v>
      </c>
      <c r="X17" s="41" t="n">
        <f aca="false">COUNT(X2:X15)</f>
        <v>11</v>
      </c>
      <c r="Y17" s="21" t="n">
        <f aca="false">COUNT(Y2:Y15)</f>
        <v>11</v>
      </c>
      <c r="Z17" s="1" t="n">
        <f aca="false">COUNT(Z2:Z15)</f>
        <v>11</v>
      </c>
      <c r="AA17" s="40" t="n">
        <f aca="false">COUNT(AA2:AA15)</f>
        <v>11</v>
      </c>
      <c r="AB17" s="1" t="n">
        <f aca="false">COUNT(AB2:AB15)</f>
        <v>11</v>
      </c>
      <c r="AC17" s="42" t="n">
        <f aca="false">COUNT(AC2:AC15)</f>
        <v>11</v>
      </c>
      <c r="AD17" s="21" t="n">
        <f aca="false">COUNT(AD2:AD15)</f>
        <v>11</v>
      </c>
      <c r="AE17" s="1" t="n">
        <f aca="false">COUNT(AE2:AE15)</f>
        <v>11</v>
      </c>
      <c r="AF17" s="40" t="n">
        <f aca="false">COUNT(AF2:AF15)</f>
        <v>11</v>
      </c>
      <c r="AG17" s="1" t="n">
        <f aca="false">COUNT(AG2:AG15)</f>
        <v>11</v>
      </c>
      <c r="AH17" s="1" t="n">
        <f aca="false">COUNT(AH2:AH15)</f>
        <v>11</v>
      </c>
      <c r="AI17" s="41" t="n">
        <f aca="false">COUNT(AI2:AI15)</f>
        <v>11</v>
      </c>
      <c r="AJ17" s="21" t="n">
        <f aca="false">COUNT(AJ2:AJ15)</f>
        <v>11</v>
      </c>
      <c r="AK17" s="1" t="n">
        <f aca="false">COUNT(AK2:AK15)</f>
        <v>11</v>
      </c>
      <c r="AL17" s="1" t="n">
        <f aca="false">COUNT(AL2:AL15)</f>
        <v>11</v>
      </c>
      <c r="AM17" s="1" t="n">
        <f aca="false">COUNT(AM2:AM15)</f>
        <v>11</v>
      </c>
      <c r="AN17" s="42" t="n">
        <f aca="false">COUNT(AN2:AN15)</f>
        <v>11</v>
      </c>
      <c r="AO17" s="21" t="n">
        <f aca="false">COUNT(AO2:AO15)</f>
        <v>11</v>
      </c>
      <c r="AP17" s="22" t="n">
        <f aca="false">COUNT(AP2:AP15)</f>
        <v>11</v>
      </c>
      <c r="AQ17" s="39" t="n">
        <f aca="false">COUNT(AQ2:AQ15)</f>
        <v>11</v>
      </c>
    </row>
    <row r="18" customFormat="false" ht="12.8" hidden="false" customHeight="false" outlineLevel="0" collapsed="false">
      <c r="A18" s="1" t="s">
        <v>211</v>
      </c>
      <c r="B18" s="181" t="n">
        <f aca="false">SUM(B2:B15)</f>
        <v>4013911850.12602</v>
      </c>
      <c r="C18" s="181" t="n">
        <f aca="false">SUM(C2:C15)</f>
        <v>3904490943.31805</v>
      </c>
      <c r="D18" s="182" t="n">
        <f aca="false">SUM(D2:D15)</f>
        <v>3967519966.49301</v>
      </c>
      <c r="E18" s="183" t="n">
        <f aca="false">SUM(E2:E15)</f>
        <v>3817026652.74504</v>
      </c>
      <c r="F18" s="182" t="n">
        <f aca="false">SUM(F2:F15)</f>
        <v>3649671442.57919</v>
      </c>
      <c r="G18" s="183" t="n">
        <f aca="false">SUM(G2:G15)</f>
        <v>3435112746.02634</v>
      </c>
      <c r="H18" s="182" t="n">
        <f aca="false">SUM(H2:H15)</f>
        <v>3423857838.85756</v>
      </c>
      <c r="I18" s="184" t="n">
        <f aca="false">SUM(I2:I15)</f>
        <v>3240300821.04992</v>
      </c>
      <c r="J18" s="185" t="n">
        <f aca="false">SUM(J2:J15)</f>
        <v>2945424220.78016</v>
      </c>
      <c r="K18" s="183" t="n">
        <f aca="false">SUM(K2:K15)</f>
        <v>2925371786.83821</v>
      </c>
      <c r="L18" s="182" t="n">
        <f aca="false">SUM(L2:L15)</f>
        <v>2859083729.52439</v>
      </c>
      <c r="M18" s="183" t="n">
        <f aca="false">SUM(M2:M15)</f>
        <v>2857585973.99967</v>
      </c>
      <c r="N18" s="183" t="n">
        <f aca="false">SUM(N2:N15)</f>
        <v>2833007430.38423</v>
      </c>
      <c r="O18" s="182" t="n">
        <f aca="false">SUM(O2:O15)</f>
        <v>2759393886.99398</v>
      </c>
      <c r="P18" s="186" t="n">
        <f aca="false">SUM(P2:P15)</f>
        <v>2798455576.62293</v>
      </c>
      <c r="Q18" s="185" t="n">
        <f aca="false">SUM(Q2:Q15)</f>
        <v>2685461658.96813</v>
      </c>
      <c r="R18" s="182" t="n">
        <f aca="false">SUM(R2:R15)</f>
        <v>2601872074.26146</v>
      </c>
      <c r="S18" s="183" t="n">
        <f aca="false">SUM(S2:S15)</f>
        <v>2711885073.50764</v>
      </c>
      <c r="T18" s="182" t="n">
        <f aca="false">SUM(T2:T15)</f>
        <v>2765442367.5413</v>
      </c>
      <c r="U18" s="182" t="n">
        <f aca="false">SUM(U2:U15)</f>
        <v>2958622594.09155</v>
      </c>
      <c r="V18" s="183" t="n">
        <f aca="false">SUM(V2:V15)</f>
        <v>2876411073.92764</v>
      </c>
      <c r="W18" s="183" t="n">
        <f aca="false">SUM(W2:W15)</f>
        <v>2767623263.60537</v>
      </c>
      <c r="X18" s="184" t="n">
        <f aca="false">SUM(X2:X15)</f>
        <v>2968465855.16</v>
      </c>
      <c r="Y18" s="185" t="n">
        <f aca="false">SUM(Y2:Y15)</f>
        <v>2859135014.46602</v>
      </c>
      <c r="Z18" s="182" t="n">
        <f aca="false">SUM(Z2:Z15)</f>
        <v>2687307497.45415</v>
      </c>
      <c r="AA18" s="183" t="n">
        <f aca="false">SUM(AA2:AA15)</f>
        <v>2767085837.00585</v>
      </c>
      <c r="AB18" s="182" t="n">
        <f aca="false">SUM(AB2:AB15)</f>
        <v>2460778263.72683</v>
      </c>
      <c r="AC18" s="186" t="n">
        <f aca="false">SUM(AC2:AC15)</f>
        <v>2302090344.28959</v>
      </c>
      <c r="AD18" s="185" t="n">
        <f aca="false">SUM(AD2:AD15)</f>
        <v>2197976178.73025</v>
      </c>
      <c r="AE18" s="182" t="n">
        <f aca="false">SUM(AE2:AE15)</f>
        <v>2134911424.03967</v>
      </c>
      <c r="AF18" s="183" t="n">
        <f aca="false">SUM(AF2:AF15)</f>
        <v>2147151539.00504</v>
      </c>
      <c r="AG18" s="182" t="n">
        <f aca="false">SUM(AG2:AG15)</f>
        <v>2002740699.35951</v>
      </c>
      <c r="AH18" s="182" t="n">
        <f aca="false">SUM(AH2:AH15)</f>
        <v>1765226759.27561</v>
      </c>
      <c r="AI18" s="184" t="n">
        <f aca="false">SUM(AI2:AI15)</f>
        <v>2270397039.99756</v>
      </c>
      <c r="AJ18" s="185" t="n">
        <f aca="false">SUM(AJ2:AJ15)</f>
        <v>2170459273.34813</v>
      </c>
      <c r="AK18" s="182" t="n">
        <f aca="false">SUM(AK2:AK15)</f>
        <v>2059710270.98943</v>
      </c>
      <c r="AL18" s="182" t="n">
        <f aca="false">SUM(AL2:AL15)</f>
        <v>1993831899.79642</v>
      </c>
      <c r="AM18" s="182" t="n">
        <f aca="false">SUM(AM2:AM15)</f>
        <v>1875937795.56634</v>
      </c>
      <c r="AN18" s="186" t="n">
        <f aca="false">SUM(AN2:AN15)</f>
        <v>1888385533.16553</v>
      </c>
      <c r="AO18" s="185" t="n">
        <f aca="false">SUM(AO2:AO15)</f>
        <v>1826967833.20455</v>
      </c>
      <c r="AP18" s="187" t="n">
        <f aca="false">SUM(AP2:AP15)</f>
        <v>1853075249.24163</v>
      </c>
      <c r="AQ18" s="181" t="n">
        <f aca="false">SUM(AQ2:AQ15)</f>
        <v>1813146849.72683</v>
      </c>
    </row>
    <row r="19" customFormat="false" ht="12.8" hidden="false" customHeight="false" outlineLevel="0" collapsed="false">
      <c r="A19" s="1" t="s">
        <v>202</v>
      </c>
      <c r="B19" s="181" t="n">
        <f aca="false">SUM(B2*B22,B3*B23,B4*B24,B5*B25,B26*B6,B7*B27,B28*B8,B9*B29,B30*B10,B11*B31,B32*B12,B33*B13,B34*B14,B35*B15)</f>
        <v>580798516.079259</v>
      </c>
      <c r="C19" s="181" t="n">
        <f aca="false">SUM(C2*C22,C3*C23,C4*C24,C5*C25,C26*C6,C7*C27,C28*C8,C9*C29,C30*C10,C11*C31,C32*C12,C33*C13,C34*C14,C35*C15)</f>
        <v>565731219.538983</v>
      </c>
      <c r="D19" s="182" t="n">
        <f aca="false">SUM(D2*D22,D3*D23,D4*D24,D5*D25,D26*D6,D7*D27,D28*D8,D9*D29,D30*D10,D11*D31,D32*D12,D33*D13,D34*D14,D35*D15)</f>
        <v>579620868.957858</v>
      </c>
      <c r="E19" s="183" t="n">
        <f aca="false">SUM(E2*E22,E3*E23,E4*E24,E5*E25,E26*E6,E7*E27,E28*E8,E9*E29,E30*E10,E11*E31,E32*E12,E33*E13,E34*E14,E35*E15)</f>
        <v>558755605.403247</v>
      </c>
      <c r="F19" s="182" t="n">
        <f aca="false">SUM(F2*F22,F3*F23,F4*F24,F5*F25,F26*F6,F7*F27,F28*F8,F9*F29,F30*F10,F11*F31,F32*F12,F33*F13,F34*F14,F35*F15)</f>
        <v>532951691.243511</v>
      </c>
      <c r="G19" s="183" t="n">
        <f aca="false">SUM(G2*G22,G3*G23,G4*G24,G5*G25,G26*G6,G7*G27,G28*G8,G9*G29,G30*G10,G11*G31,G32*G12,G33*G13,G34*G14,G35*G15)</f>
        <v>492194359.899279</v>
      </c>
      <c r="H19" s="182" t="n">
        <f aca="false">SUM(H2*H22,H3*H23,H4*H24,H5*H25,H26*H6,H7*H27,H28*H8,H9*H29,H30*H10,H11*H31,H32*H12,H33*H13,H34*H14,H35*H15)</f>
        <v>495681265.015914</v>
      </c>
      <c r="I19" s="184" t="n">
        <f aca="false">SUM(I2*I22,I3*I23,I4*I24,I5*I25,I26*I6,I7*I27,I28*I8,I9*I29,I30*I10,I11*I31,I32*I12,I33*I13,I34*I14,I35*I15)</f>
        <v>468105298.759976</v>
      </c>
      <c r="J19" s="185" t="n">
        <f aca="false">SUM(J2*J22,J3*J23,J4*J24,J5*J25,J26*J6,J7*J27,J28*J8,J9*J29,J30*J10,J11*J31,J32*J12,J33*J13,J34*J14,J35*J15)</f>
        <v>416284106.405251</v>
      </c>
      <c r="K19" s="183" t="n">
        <f aca="false">SUM(K2*K22,K3*K23,K4*K24,K5*K25,K26*K6,K7*K27,K28*K8,K9*K29,K30*K10,K11*K31,K32*K12,K33*K13,K34*K14,K35*K15)</f>
        <v>415334832.155663</v>
      </c>
      <c r="L19" s="182" t="n">
        <f aca="false">SUM(L2*L22,L3*L23,L4*L24,L5*L25,L26*L6,L7*L27,L28*L8,L9*L29,L30*L10,L11*L31,L32*L12,L33*L13,L34*L14,L35*L15)</f>
        <v>404713330.218882</v>
      </c>
      <c r="M19" s="183" t="n">
        <f aca="false">SUM(M2*M22,M3*M23,M4*M24,M5*M25,M26*M6,M7*M27,M28*M8,M9*M29,M30*M10,M11*M31,M32*M12,M33*M13,M34*M14,M35*M15)</f>
        <v>404359571.232562</v>
      </c>
      <c r="N19" s="183" t="n">
        <f aca="false">SUM(N2*N22,N3*N23,N4*N24,N5*N25,N26*N6,N7*N27,N28*N8,N9*N29,N30*N10,N11*N31,N32*N12,N33*N13,N34*N14,N35*N15)</f>
        <v>402806356.033383</v>
      </c>
      <c r="O19" s="182" t="n">
        <f aca="false">SUM(O2*O22,O3*O23,O4*O24,O5*O25,O26*O6,O7*O27,O28*O8,O9*O29,O30*O10,O11*O31,O32*O12,O33*O13,O34*O14,O35*O15)</f>
        <v>399489885.833485</v>
      </c>
      <c r="P19" s="186" t="n">
        <f aca="false">SUM(P2*P22,P3*P23,P4*P24,P5*P25,P26*P6,P7*P27,P28*P8,P9*P29,P30*P10,P11*P31,P32*P12,P33*P13,P34*P14,P35*P15)</f>
        <v>399914323.125295</v>
      </c>
      <c r="Q19" s="185" t="n">
        <f aca="false">SUM(Q2*Q22,Q3*Q23,Q4*Q24,Q5*Q25,Q26*Q6,Q7*Q27,Q28*Q8,Q9*Q29,Q30*Q10,Q11*Q31,Q32*Q12,Q33*Q13,Q34*Q14,Q35*Q15)</f>
        <v>379628084.141818</v>
      </c>
      <c r="R19" s="182" t="n">
        <f aca="false">SUM(R2*R22,R3*R23,R4*R24,R5*R25,R26*R6,R7*R27,R28*R8,R9*R29,R30*R10,R11*R31,R32*R12,R33*R13,R34*R14,R35*R15)</f>
        <v>363405840.595875</v>
      </c>
      <c r="S19" s="183" t="n">
        <f aca="false">SUM(S2*S22,S3*S23,S4*S24,S5*S25,S26*S6,S7*S27,S28*S8,S9*S29,S30*S10,S11*S31,S32*S12,S33*S13,S34*S14,S35*S15)</f>
        <v>381711011.6331</v>
      </c>
      <c r="T19" s="182" t="n">
        <f aca="false">SUM(T2*T22,T3*T23,T4*T24,T5*T25,T26*T6,T7*T27,T28*T8,T9*T29,T30*T10,T11*T31,T32*T12,T33*T13,T34*T14,T35*T15)</f>
        <v>387807973.858833</v>
      </c>
      <c r="U19" s="182" t="n">
        <f aca="false">SUM(U2*U22,U3*U23,U4*U24,U5*U25,U26*U6,U7*U27,U28*U8,U9*U29,U30*U10,U11*U31,U32*U12,U33*U13,U34*U14,U35*U15)</f>
        <v>409535895.923817</v>
      </c>
      <c r="V19" s="183" t="n">
        <f aca="false">SUM(V2*V22,V3*V23,V4*V24,V5*V25,V26*V6,V7*V27,V28*V8,V9*V29,V30*V10,V11*V31,V32*V12,V33*V13,V34*V14,V35*V15)</f>
        <v>399139607.726993</v>
      </c>
      <c r="W19" s="183" t="n">
        <f aca="false">SUM(W2*W22,W3*W23,W4*W24,W5*W25,W26*W6,W7*W27,W28*W8,W9*W29,W30*W10,W11*W31,W32*W12,W33*W13,W34*W14,W35*W15)</f>
        <v>381745773.136348</v>
      </c>
      <c r="X19" s="184" t="n">
        <f aca="false">SUM(X2*X22,X3*X23,X4*X24,X5*X25,X26*X6,X7*X27,X28*X8,X9*X29,X30*X10,X11*X31,X32*X12,X33*X13,X34*X14,X35*X15)</f>
        <v>409517263.418065</v>
      </c>
      <c r="Y19" s="185" t="n">
        <f aca="false">SUM(Y2*Y22,Y3*Y23,Y4*Y24,Y5*Y25,Y26*Y6,Y7*Y27,Y28*Y8,Y9*Y29,Y30*Y10,Y11*Y31,Y32*Y12,Y33*Y13,Y34*Y14,Y35*Y15)</f>
        <v>389238284.269343</v>
      </c>
      <c r="Z19" s="182" t="n">
        <f aca="false">SUM(Z2*Z22,Z3*Z23,Z4*Z24,Z5*Z25,Z26*Z6,Z7*Z27,Z28*Z8,Z9*Z29,Z30*Z10,Z11*Z31,Z32*Z12,Z33*Z13,Z34*Z14,Z35*Z15)</f>
        <v>363617617.570966</v>
      </c>
      <c r="AA19" s="183" t="n">
        <f aca="false">SUM(AA2*AA22,AA3*AA23,AA4*AA24,AA5*AA25,AA26*AA6,AA7*AA27,AA28*AA8,AA9*AA29,AA30*AA10,AA11*AA31,AA32*AA12,AA33*AA13,AA34*AA14,AA35*AA15)</f>
        <v>378046114.557462</v>
      </c>
      <c r="AB19" s="182" t="n">
        <f aca="false">SUM(AB2*AB22,AB3*AB23,AB4*AB24,AB5*AB25,AB26*AB6,AB7*AB27,AB28*AB8,AB9*AB29,AB30*AB10,AB11*AB31,AB32*AB12,AB33*AB13,AB34*AB14,AB35*AB15)</f>
        <v>338522560.806379</v>
      </c>
      <c r="AC19" s="186" t="n">
        <f aca="false">SUM(AC2*AC22,AC3*AC23,AC4*AC24,AC5*AC25,AC26*AC6,AC7*AC27,AC28*AC8,AC9*AC29,AC30*AC10,AC11*AC31,AC32*AC12,AC33*AC13,AC34*AC14,AC35*AC15)</f>
        <v>318404569.322891</v>
      </c>
      <c r="AD19" s="185" t="n">
        <f aca="false">SUM(AD2*AD22,AD3*AD23,AD4*AD24,AD5*AD25,AD26*AD6,AD7*AD27,AD28*AD8,AD9*AD29,AD30*AD10,AD11*AD31,AD32*AD12,AD33*AD13,AD34*AD14,AD35*AD15)</f>
        <v>300828265.95902</v>
      </c>
      <c r="AE19" s="182" t="n">
        <f aca="false">SUM(AE2*AE22,AE3*AE23,AE4*AE24,AE5*AE25,AE26*AE6,AE7*AE27,AE28*AE8,AE9*AE29,AE30*AE10,AE11*AE31,AE32*AE12,AE33*AE13,AE34*AE14,AE35*AE15)</f>
        <v>297993553.029488</v>
      </c>
      <c r="AF19" s="183" t="n">
        <f aca="false">SUM(AF2*AF22,AF3*AF23,AF4*AF24,AF5*AF25,AF26*AF6,AF7*AF27,AF28*AF8,AF9*AF29,AF30*AF10,AF11*AF31,AF32*AF12,AF33*AF13,AF34*AF14,AF35*AF15)</f>
        <v>302953957.924182</v>
      </c>
      <c r="AG19" s="182" t="n">
        <f aca="false">SUM(AG2*AG22,AG3*AG23,AG4*AG24,AG5*AG25,AG26*AG6,AG7*AG27,AG28*AG8,AG9*AG29,AG30*AG10,AG11*AG31,AG32*AG12,AG33*AG13,AG34*AG14,AG35*AG15)</f>
        <v>284623539.304879</v>
      </c>
      <c r="AH19" s="182" t="n">
        <f aca="false">SUM(AH2*AH22,AH3*AH23,AH4*AH24,AH5*AH25,AH26*AH6,AH7*AH27,AH28*AH8,AH9*AH29,AH30*AH10,AH11*AH31,AH32*AH12,AH33*AH13,AH34*AH14,AH35*AH15)</f>
        <v>246946200.073736</v>
      </c>
      <c r="AI19" s="184" t="n">
        <f aca="false">SUM(AI2*AI22,AI3*AI23,AI4*AI24,AI5*AI25,AI26*AI6,AI7*AI27,AI28*AI8,AI9*AI29,AI30*AI10,AI11*AI31,AI32*AI12,AI33*AI13,AI34*AI14,AI35*AI15)</f>
        <v>307868306.760686</v>
      </c>
      <c r="AJ19" s="185" t="n">
        <f aca="false">SUM(AJ2*AJ22,AJ3*AJ23,AJ4*AJ24,AJ5*AJ25,AJ26*AJ6,AJ7*AJ27,AJ28*AJ8,AJ9*AJ29,AJ30*AJ10,AJ11*AJ31,AJ32*AJ12,AJ33*AJ13,AJ34*AJ14,AJ35*AJ15)</f>
        <v>296253619.967822</v>
      </c>
      <c r="AK19" s="182" t="n">
        <f aca="false">SUM(AK2*AK22,AK3*AK23,AK4*AK24,AK5*AK25,AK26*AK6,AK7*AK27,AK28*AK8,AK9*AK29,AK30*AK10,AK11*AK31,AK32*AK12,AK33*AK13,AK34*AK14,AK35*AK15)</f>
        <v>284743400.583356</v>
      </c>
      <c r="AL19" s="182" t="n">
        <f aca="false">SUM(AL2*AL22,AL3*AL23,AL4*AL24,AL5*AL25,AL26*AL6,AL7*AL27,AL28*AL8,AL9*AL29,AL30*AL10,AL11*AL31,AL32*AL12,AL33*AL13,AL34*AL14,AL35*AL15)</f>
        <v>277867943.142731</v>
      </c>
      <c r="AM19" s="182" t="n">
        <f aca="false">SUM(AM2*AM22,AM3*AM23,AM4*AM24,AM5*AM25,AM26*AM6,AM7*AM27,AM28*AM8,AM9*AM29,AM30*AM10,AM11*AM31,AM32*AM12,AM33*AM13,AM34*AM14,AM35*AM15)</f>
        <v>262361803.393225</v>
      </c>
      <c r="AN19" s="186" t="n">
        <f aca="false">SUM(AN2*AN22,AN3*AN23,AN4*AN24,AN5*AN25,AN26*AN6,AN7*AN27,AN28*AN8,AN9*AN29,AN30*AN10,AN11*AN31,AN32*AN12,AN33*AN13,AN34*AN14,AN35*AN15)</f>
        <v>270641168.328209</v>
      </c>
      <c r="AO19" s="185" t="n">
        <f aca="false">SUM(AO2*AO22,AO3*AO23,AO4*AO24,AO5*AO25,AO26*AO6,AO7*AO27,AO28*AO8,AO9*AO29,AO30*AO10,AO11*AO31,AO32*AO12,AO33*AO13,AO34*AO14,AO35*AO15)</f>
        <v>268190267.470549</v>
      </c>
      <c r="AP19" s="187" t="n">
        <f aca="false">SUM(AP2*AP22,AP3*AP23,AP4*AP24,AP5*AP25,AP26*AP6,AP7*AP27,AP28*AP8,AP9*AP29,AP30*AP10,AP11*AP31,AP32*AP12,AP33*AP13,AP34*AP14,AP35*AP15)</f>
        <v>264043778.394969</v>
      </c>
      <c r="AQ19" s="181" t="n">
        <f aca="false">SUM(AQ2*AQ22,AQ3*AQ23,AQ4*AQ24,AQ5*AQ25,AQ26*AQ6,AQ7*AQ27,AQ28*AQ8,AQ9*AQ29,AQ30*AQ10,AQ11*AQ31,AQ32*AQ12,AQ33*AQ13,AQ34*AQ14,AQ35*AQ15)</f>
        <v>262065056.074374</v>
      </c>
    </row>
    <row r="20" customFormat="false" ht="12.8" hidden="false" customHeight="false" outlineLevel="0" collapsed="false">
      <c r="A20" s="1" t="s">
        <v>212</v>
      </c>
      <c r="B20" s="72" t="n">
        <f aca="false">B19/$AQ$19*1000</f>
        <v>2216.23792496177</v>
      </c>
      <c r="C20" s="72" t="n">
        <f aca="false">C19/$AQ$19*1000</f>
        <v>2158.74343574608</v>
      </c>
      <c r="D20" s="31" t="n">
        <f aca="false">D19/$AQ$19*1000</f>
        <v>2211.74420443664</v>
      </c>
      <c r="E20" s="96" t="n">
        <f aca="false">E19/$AQ$19*1000</f>
        <v>2132.1255636794</v>
      </c>
      <c r="F20" s="31" t="n">
        <f aca="false">F19/$AQ$19*1000</f>
        <v>2033.66179080457</v>
      </c>
      <c r="G20" s="96" t="n">
        <f aca="false">G19/$AQ$19*1000</f>
        <v>1878.1380748435</v>
      </c>
      <c r="H20" s="31" t="n">
        <f aca="false">H19/$AQ$19*1000</f>
        <v>1891.44356916948</v>
      </c>
      <c r="I20" s="74" t="n">
        <f aca="false">I19/$AQ$19*1000</f>
        <v>1786.21791768807</v>
      </c>
      <c r="J20" s="75" t="n">
        <f aca="false">J19/$AQ$19*1000</f>
        <v>1588.47620755325</v>
      </c>
      <c r="K20" s="96" t="n">
        <f aca="false">K19/$AQ$19*1000</f>
        <v>1584.8539228282</v>
      </c>
      <c r="L20" s="31" t="n">
        <f aca="false">L19/$AQ$19*1000</f>
        <v>1544.32390293204</v>
      </c>
      <c r="M20" s="96" t="n">
        <f aca="false">M19/$AQ$19*1000</f>
        <v>1542.97401297869</v>
      </c>
      <c r="N20" s="96" t="n">
        <f aca="false">N19/$AQ$19*1000</f>
        <v>1537.04718235714</v>
      </c>
      <c r="O20" s="31" t="n">
        <f aca="false">O19/$AQ$19*1000</f>
        <v>1524.39204149412</v>
      </c>
      <c r="P20" s="76" t="n">
        <f aca="false">P19/$AQ$19*1000</f>
        <v>1526.01162900482</v>
      </c>
      <c r="Q20" s="75" t="n">
        <f aca="false">Q19/$AQ$19*1000</f>
        <v>1448.60245707112</v>
      </c>
      <c r="R20" s="31" t="n">
        <f aca="false">R19/$AQ$19*1000</f>
        <v>1386.70086748514</v>
      </c>
      <c r="S20" s="96" t="n">
        <f aca="false">S19/$AQ$19*1000</f>
        <v>1456.55058843393</v>
      </c>
      <c r="T20" s="31" t="n">
        <f aca="false">T19/$AQ$19*1000</f>
        <v>1479.81565977562</v>
      </c>
      <c r="U20" s="31" t="n">
        <f aca="false">U19/$AQ$19*1000</f>
        <v>1562.7260729015</v>
      </c>
      <c r="V20" s="96" t="n">
        <f aca="false">V19/$AQ$19*1000</f>
        <v>1523.05543404351</v>
      </c>
      <c r="W20" s="96" t="n">
        <f aca="false">W19/$AQ$19*1000</f>
        <v>1456.68323299085</v>
      </c>
      <c r="X20" s="74" t="n">
        <f aca="false">X19/$AQ$19*1000</f>
        <v>1562.65497412156</v>
      </c>
      <c r="Y20" s="75" t="n">
        <f aca="false">Y19/$AQ$19*1000</f>
        <v>1485.27350460215</v>
      </c>
      <c r="Z20" s="31" t="n">
        <f aca="false">Z19/$AQ$19*1000</f>
        <v>1387.5089758925</v>
      </c>
      <c r="AA20" s="96" t="n">
        <f aca="false">AA19/$AQ$19*1000</f>
        <v>1442.56590413249</v>
      </c>
      <c r="AB20" s="31" t="n">
        <f aca="false">AB19/$AQ$19*1000</f>
        <v>1291.75009395494</v>
      </c>
      <c r="AC20" s="76" t="n">
        <f aca="false">AC19/$AQ$19*1000</f>
        <v>1214.98292863787</v>
      </c>
      <c r="AD20" s="75" t="n">
        <f aca="false">AD19/$AQ$19*1000</f>
        <v>1147.91445477434</v>
      </c>
      <c r="AE20" s="31" t="n">
        <f aca="false">AE19/$AQ$19*1000</f>
        <v>1137.09762565566</v>
      </c>
      <c r="AF20" s="96" t="n">
        <f aca="false">AF19/$AQ$19*1000</f>
        <v>1156.02576880072</v>
      </c>
      <c r="AG20" s="31" t="n">
        <f aca="false">AG19/$AQ$19*1000</f>
        <v>1086.07970695682</v>
      </c>
      <c r="AH20" s="31" t="n">
        <f aca="false">AH19/$AQ$19*1000</f>
        <v>942.308767803262</v>
      </c>
      <c r="AI20" s="74" t="n">
        <f aca="false">AI19/$AQ$19*1000</f>
        <v>1174.77816910208</v>
      </c>
      <c r="AJ20" s="75" t="n">
        <f aca="false">AJ19/$AQ$19*1000</f>
        <v>1130.45830835129</v>
      </c>
      <c r="AK20" s="31" t="n">
        <f aca="false">AK19/$AQ$19*1000</f>
        <v>1086.53707918444</v>
      </c>
      <c r="AL20" s="31" t="n">
        <f aca="false">AL19/$AQ$19*1000</f>
        <v>1060.30138968193</v>
      </c>
      <c r="AM20" s="31" t="n">
        <f aca="false">AM19/$AQ$19*1000</f>
        <v>1001.13234218746</v>
      </c>
      <c r="AN20" s="76" t="n">
        <f aca="false">AN19/$AQ$19*1000</f>
        <v>1032.72512704403</v>
      </c>
      <c r="AO20" s="75" t="n">
        <f aca="false">AO19/$AQ$19*1000</f>
        <v>1023.37286583694</v>
      </c>
      <c r="AP20" s="73" t="n">
        <f aca="false">AP19/$AQ$19*1000</f>
        <v>1007.5505004377</v>
      </c>
      <c r="AQ20" s="39" t="n">
        <v>1000</v>
      </c>
    </row>
    <row r="21" customFormat="false" ht="12.8" hidden="false" customHeight="false" outlineLevel="0" collapsed="false">
      <c r="C21" s="181"/>
      <c r="D21" s="182"/>
      <c r="E21" s="183"/>
      <c r="F21" s="182"/>
      <c r="G21" s="183"/>
      <c r="H21" s="182"/>
      <c r="I21" s="184"/>
      <c r="J21" s="185"/>
      <c r="K21" s="183"/>
      <c r="L21" s="182"/>
      <c r="M21" s="183"/>
      <c r="N21" s="183"/>
      <c r="O21" s="182"/>
      <c r="P21" s="186"/>
      <c r="Q21" s="185"/>
      <c r="R21" s="182"/>
      <c r="S21" s="183"/>
      <c r="T21" s="182"/>
      <c r="U21" s="182"/>
      <c r="V21" s="183"/>
      <c r="W21" s="183"/>
      <c r="X21" s="184"/>
      <c r="Y21" s="185"/>
      <c r="Z21" s="182"/>
      <c r="AA21" s="183"/>
      <c r="AB21" s="182"/>
      <c r="AC21" s="186"/>
      <c r="AD21" s="185"/>
      <c r="AE21" s="182"/>
      <c r="AF21" s="183"/>
      <c r="AG21" s="182"/>
      <c r="AH21" s="182"/>
      <c r="AI21" s="184"/>
      <c r="AJ21" s="185"/>
      <c r="AK21" s="182"/>
      <c r="AL21" s="182"/>
      <c r="AM21" s="182"/>
      <c r="AN21" s="186"/>
      <c r="AO21" s="185"/>
      <c r="AP21" s="187"/>
    </row>
    <row r="22" customFormat="false" ht="12.8" hidden="false" customHeight="false" outlineLevel="0" collapsed="false">
      <c r="A22" s="139" t="s">
        <v>24</v>
      </c>
      <c r="B22" s="118" t="n">
        <f aca="false">B2/B$18</f>
        <v>0.221495193964483</v>
      </c>
      <c r="C22" s="118" t="n">
        <f aca="false">C2/C$18</f>
        <v>0.222661153308042</v>
      </c>
      <c r="D22" s="117" t="n">
        <f aca="false">D2/D$18</f>
        <v>0.226759352789154</v>
      </c>
      <c r="E22" s="79" t="n">
        <f aca="false">E2/E$18</f>
        <v>0.227843750243284</v>
      </c>
      <c r="F22" s="117" t="n">
        <f aca="false">F2/F$18</f>
        <v>0.220333806188241</v>
      </c>
      <c r="G22" s="79" t="n">
        <f aca="false">G2/G$18</f>
        <v>0.194243029732243</v>
      </c>
      <c r="H22" s="117" t="n">
        <f aca="false">H2/H$18</f>
        <v>0.194258979900266</v>
      </c>
      <c r="I22" s="176" t="n">
        <f aca="false">I2/I$18</f>
        <v>0.191094481196769</v>
      </c>
      <c r="J22" s="177" t="n">
        <f aca="false">J2/J$18</f>
        <v>0.178995562819251</v>
      </c>
      <c r="K22" s="79" t="n">
        <f aca="false">K2/K$18</f>
        <v>0.164469231310943</v>
      </c>
      <c r="L22" s="117" t="n">
        <f aca="false">L2/L$18</f>
        <v>0.16189892562433</v>
      </c>
      <c r="M22" s="79" t="n">
        <f aca="false">M2/M$18</f>
        <v>0.161326419661399</v>
      </c>
      <c r="N22" s="79" t="n">
        <f aca="false">N2/N$18</f>
        <v>0.161054064174522</v>
      </c>
      <c r="O22" s="117" t="n">
        <f aca="false">O2/O$18</f>
        <v>0.157128201973488</v>
      </c>
      <c r="P22" s="178" t="n">
        <f aca="false">P2/P$18</f>
        <v>0.164131606825178</v>
      </c>
      <c r="Q22" s="177" t="n">
        <f aca="false">Q2/Q$18</f>
        <v>0.161154026397938</v>
      </c>
      <c r="R22" s="117" t="n">
        <f aca="false">R2/R$18</f>
        <v>0.157907600309912</v>
      </c>
      <c r="S22" s="79" t="n">
        <f aca="false">S2/S$18</f>
        <v>0.155752000490816</v>
      </c>
      <c r="T22" s="117" t="n">
        <f aca="false">T2/T$18</f>
        <v>0.156143730026061</v>
      </c>
      <c r="U22" s="117" t="n">
        <f aca="false">U2/U$18</f>
        <v>0.157923791974375</v>
      </c>
      <c r="V22" s="79" t="n">
        <f aca="false">V2/V$18</f>
        <v>0.156518686560767</v>
      </c>
      <c r="W22" s="79" t="n">
        <f aca="false">W2/W$18</f>
        <v>0.149731084266203</v>
      </c>
      <c r="X22" s="176" t="n">
        <f aca="false">X2/X$18</f>
        <v>0.155096848184964</v>
      </c>
      <c r="Y22" s="177" t="n">
        <f aca="false">Y2/Y$18</f>
        <v>0.151982859061014</v>
      </c>
      <c r="Z22" s="117" t="n">
        <f aca="false">Z2/Z$18</f>
        <v>0.14117468620149</v>
      </c>
      <c r="AA22" s="79" t="n">
        <f aca="false">AA2/AA$18</f>
        <v>0.142628161187457</v>
      </c>
      <c r="AB22" s="117" t="n">
        <f aca="false">AB2/AB$18</f>
        <v>0.13250445288239</v>
      </c>
      <c r="AC22" s="178" t="n">
        <f aca="false">AC2/AC$18</f>
        <v>0.128377106412477</v>
      </c>
      <c r="AD22" s="177" t="n">
        <f aca="false">AD2/AD$18</f>
        <v>0.123072502931434</v>
      </c>
      <c r="AE22" s="117" t="n">
        <f aca="false">AE2/AE$18</f>
        <v>0.119968926530621</v>
      </c>
      <c r="AF22" s="79" t="n">
        <f aca="false">AF2/AF$18</f>
        <v>0.122076867467613</v>
      </c>
      <c r="AG22" s="117" t="n">
        <f aca="false">AG2/AG$18</f>
        <v>0.107342966819794</v>
      </c>
      <c r="AH22" s="117" t="n">
        <f aca="false">AH2/AH$18</f>
        <v>0.12652957041715</v>
      </c>
      <c r="AI22" s="176" t="n">
        <f aca="false">AI2/AI$18</f>
        <v>0.129129441826754</v>
      </c>
      <c r="AJ22" s="177" t="n">
        <f aca="false">AJ2/AJ$18</f>
        <v>0.113506660560355</v>
      </c>
      <c r="AK22" s="117" t="n">
        <f aca="false">AK2/AK$18</f>
        <v>0.101651618389718</v>
      </c>
      <c r="AL22" s="117" t="n">
        <f aca="false">AL2/AL$18</f>
        <v>0.102366394068045</v>
      </c>
      <c r="AM22" s="117" t="n">
        <f aca="false">AM2/AM$18</f>
        <v>0.10503110911549</v>
      </c>
      <c r="AN22" s="178" t="n">
        <f aca="false">AN2/AN$18</f>
        <v>0.110868518394675</v>
      </c>
      <c r="AO22" s="177" t="n">
        <f aca="false">AO2/AO$18</f>
        <v>0.102441717800647</v>
      </c>
      <c r="AP22" s="179" t="n">
        <f aca="false">AP2/AP$18</f>
        <v>0.105121257520288</v>
      </c>
      <c r="AQ22" s="118" t="n">
        <f aca="false">AQ2/AQ$18</f>
        <v>0.10536046213178</v>
      </c>
    </row>
    <row r="23" customFormat="false" ht="12.8" hidden="false" customHeight="false" outlineLevel="0" collapsed="false">
      <c r="A23" s="139" t="s">
        <v>180</v>
      </c>
      <c r="B23" s="118" t="n">
        <f aca="false">B3/B$18</f>
        <v>0.158653564323403</v>
      </c>
      <c r="C23" s="118" t="n">
        <f aca="false">C3/C$18</f>
        <v>0.164169368125083</v>
      </c>
      <c r="D23" s="117" t="n">
        <f aca="false">D3/D$18</f>
        <v>0.163788382796418</v>
      </c>
      <c r="E23" s="79" t="n">
        <f aca="false">E3/E$18</f>
        <v>0.171107478592918</v>
      </c>
      <c r="F23" s="117" t="n">
        <f aca="false">F3/F$18</f>
        <v>0.179406193672483</v>
      </c>
      <c r="G23" s="79" t="n">
        <f aca="false">G3/G$18</f>
        <v>0.190534864458389</v>
      </c>
      <c r="H23" s="117" t="n">
        <f aca="false">H3/H$18</f>
        <v>0.191161190758377</v>
      </c>
      <c r="I23" s="176" t="n">
        <f aca="false">I3/I$18</f>
        <v>0.201990116847034</v>
      </c>
      <c r="J23" s="177" t="n">
        <f aca="false">J3/J$18</f>
        <v>0.203059483637788</v>
      </c>
      <c r="K23" s="79" t="n">
        <f aca="false">K3/K$18</f>
        <v>0.218940907623433</v>
      </c>
      <c r="L23" s="117" t="n">
        <f aca="false">L3/L$18</f>
        <v>0.218021477335425</v>
      </c>
      <c r="M23" s="79" t="n">
        <f aca="false">M3/M$18</f>
        <v>0.218135749618099</v>
      </c>
      <c r="N23" s="79" t="n">
        <f aca="false">N3/N$18</f>
        <v>0.219478176344181</v>
      </c>
      <c r="O23" s="117" t="n">
        <f aca="false">O3/O$18</f>
        <v>0.226993641079213</v>
      </c>
      <c r="P23" s="178" t="n">
        <f aca="false">P3/P$18</f>
        <v>0.214391949385697</v>
      </c>
      <c r="Q23" s="177" t="n">
        <f aca="false">Q3/Q$18</f>
        <v>0.211806883004687</v>
      </c>
      <c r="R23" s="117" t="n">
        <f aca="false">R3/R$18</f>
        <v>0.209627504985744</v>
      </c>
      <c r="S23" s="79" t="n">
        <f aca="false">S3/S$18</f>
        <v>0.211696901583531</v>
      </c>
      <c r="T23" s="117" t="n">
        <f aca="false">T3/T$18</f>
        <v>0.209484804565824</v>
      </c>
      <c r="U23" s="117" t="n">
        <f aca="false">U3/U$18</f>
        <v>0.189617795052088</v>
      </c>
      <c r="V23" s="79" t="n">
        <f aca="false">V3/V$18</f>
        <v>0.19449554467633</v>
      </c>
      <c r="W23" s="79" t="n">
        <f aca="false">W3/W$18</f>
        <v>0.197168768813399</v>
      </c>
      <c r="X23" s="176" t="n">
        <f aca="false">X3/X$18</f>
        <v>0.19161388109818</v>
      </c>
      <c r="Y23" s="177" t="n">
        <f aca="false">Y3/Y$18</f>
        <v>0.188040151223224</v>
      </c>
      <c r="Z23" s="117" t="n">
        <f aca="false">Z3/Z$18</f>
        <v>0.194566116336082</v>
      </c>
      <c r="AA23" s="79" t="n">
        <f aca="false">AA3/AA$18</f>
        <v>0.199572399039335</v>
      </c>
      <c r="AB23" s="117" t="n">
        <f aca="false">AB3/AB$18</f>
        <v>0.21784726980219</v>
      </c>
      <c r="AC23" s="178" t="n">
        <f aca="false">AC3/AC$18</f>
        <v>0.220841661563602</v>
      </c>
      <c r="AD23" s="177" t="n">
        <f aca="false">AD3/AD$18</f>
        <v>0.22262443364327</v>
      </c>
      <c r="AE23" s="117" t="n">
        <f aca="false">AE3/AE$18</f>
        <v>0.232120458467965</v>
      </c>
      <c r="AF23" s="79" t="n">
        <f aca="false">AF3/AF$18</f>
        <v>0.231631869837814</v>
      </c>
      <c r="AG23" s="117" t="n">
        <f aca="false">AG3/AG$18</f>
        <v>0.243463084864014</v>
      </c>
      <c r="AH23" s="117" t="n">
        <f aca="false">AH3/AH$18</f>
        <v>0.237324945908305</v>
      </c>
      <c r="AI23" s="176" t="n">
        <f aca="false">AI3/AI$18</f>
        <v>0.219641462723984</v>
      </c>
      <c r="AJ23" s="177" t="n">
        <f aca="false">AJ3/AJ$18</f>
        <v>0.229754749583492</v>
      </c>
      <c r="AK23" s="117" t="n">
        <f aca="false">AK3/AK$18</f>
        <v>0.233786002818832</v>
      </c>
      <c r="AL23" s="117" t="n">
        <f aca="false">AL3/AL$18</f>
        <v>0.234476258480052</v>
      </c>
      <c r="AM23" s="117" t="n">
        <f aca="false">AM3/AM$18</f>
        <v>0.244227777758523</v>
      </c>
      <c r="AN23" s="178" t="n">
        <f aca="false">AN3/AN$18</f>
        <v>0.241693634252429</v>
      </c>
      <c r="AO23" s="177" t="n">
        <f aca="false">AO3/AO$18</f>
        <v>0.247967766946559</v>
      </c>
      <c r="AP23" s="179" t="n">
        <f aca="false">AP3/AP$18</f>
        <v>0.242682988580881</v>
      </c>
      <c r="AQ23" s="118" t="n">
        <f aca="false">AQ3/AQ$18</f>
        <v>0.246428633679804</v>
      </c>
    </row>
    <row r="24" customFormat="false" ht="12.8" hidden="false" customHeight="false" outlineLevel="0" collapsed="false">
      <c r="A24" s="139" t="s">
        <v>181</v>
      </c>
      <c r="B24" s="118" t="n">
        <f aca="false">B4/B$18</f>
        <v>0.156122559072394</v>
      </c>
      <c r="C24" s="118" t="n">
        <f aca="false">C4/C$18</f>
        <v>0.153514608014968</v>
      </c>
      <c r="D24" s="117" t="n">
        <f aca="false">D4/D$18</f>
        <v>0.154931742467391</v>
      </c>
      <c r="E24" s="79" t="n">
        <f aca="false">E4/E$18</f>
        <v>0.150356006151861</v>
      </c>
      <c r="F24" s="117" t="n">
        <f aca="false">F4/F$18</f>
        <v>0.148016321458694</v>
      </c>
      <c r="G24" s="79" t="n">
        <f aca="false">G4/G$18</f>
        <v>0.153947879173662</v>
      </c>
      <c r="H24" s="117" t="n">
        <f aca="false">H4/H$18</f>
        <v>0.161226038745101</v>
      </c>
      <c r="I24" s="176" t="n">
        <f aca="false">I4/I$18</f>
        <v>0.143610443473202</v>
      </c>
      <c r="J24" s="177" t="n">
        <f aca="false">J4/J$18</f>
        <v>0.139272834535828</v>
      </c>
      <c r="K24" s="79" t="n">
        <f aca="false">K4/K$18</f>
        <v>0.136421619780113</v>
      </c>
      <c r="L24" s="117" t="n">
        <f aca="false">L4/L$18</f>
        <v>0.137013788970604</v>
      </c>
      <c r="M24" s="79" t="n">
        <f aca="false">M4/M$18</f>
        <v>0.137531096276077</v>
      </c>
      <c r="N24" s="79" t="n">
        <f aca="false">N4/N$18</f>
        <v>0.13709175069624</v>
      </c>
      <c r="O24" s="117" t="n">
        <f aca="false">O4/O$18</f>
        <v>0.131453831662774</v>
      </c>
      <c r="P24" s="178" t="n">
        <f aca="false">P4/P$18</f>
        <v>0.131923417666719</v>
      </c>
      <c r="Q24" s="177" t="n">
        <f aca="false">Q4/Q$18</f>
        <v>0.122558423145735</v>
      </c>
      <c r="R24" s="117" t="n">
        <f aca="false">R4/R$18</f>
        <v>0.12120648177365</v>
      </c>
      <c r="S24" s="79" t="n">
        <f aca="false">S4/S$18</f>
        <v>0.128139876139348</v>
      </c>
      <c r="T24" s="117" t="n">
        <f aca="false">T4/T$18</f>
        <v>0.124537700799219</v>
      </c>
      <c r="U24" s="117" t="n">
        <f aca="false">U4/U$18</f>
        <v>0.132365045618261</v>
      </c>
      <c r="V24" s="79" t="n">
        <f aca="false">V4/V$18</f>
        <v>0.134203847935497</v>
      </c>
      <c r="W24" s="79" t="n">
        <f aca="false">W4/W$18</f>
        <v>0.132394614748017</v>
      </c>
      <c r="X24" s="176" t="n">
        <f aca="false">X4/X$18</f>
        <v>0.133329600259905</v>
      </c>
      <c r="Y24" s="177" t="n">
        <f aca="false">Y4/Y$18</f>
        <v>0.141803126120446</v>
      </c>
      <c r="Z24" s="117" t="n">
        <f aca="false">Z4/Z$18</f>
        <v>0.134365094629921</v>
      </c>
      <c r="AA24" s="79" t="n">
        <f aca="false">AA4/AA$18</f>
        <v>0.135450117127184</v>
      </c>
      <c r="AB24" s="117" t="n">
        <f aca="false">AB4/AB$18</f>
        <v>0.124667973263127</v>
      </c>
      <c r="AC24" s="178" t="n">
        <f aca="false">AC4/AC$18</f>
        <v>0.111878064747987</v>
      </c>
      <c r="AD24" s="177" t="n">
        <f aca="false">AD4/AD$18</f>
        <v>0.116317372155701</v>
      </c>
      <c r="AE24" s="117" t="n">
        <f aca="false">AE4/AE$18</f>
        <v>0.114370636945782</v>
      </c>
      <c r="AF24" s="79" t="n">
        <f aca="false">AF4/AF$18</f>
        <v>0.11239451642904</v>
      </c>
      <c r="AG24" s="117" t="n">
        <f aca="false">AG4/AG$18</f>
        <v>0.110945331953546</v>
      </c>
      <c r="AH24" s="117" t="n">
        <f aca="false">AH4/AH$18</f>
        <v>0.109179262325324</v>
      </c>
      <c r="AI24" s="176" t="n">
        <f aca="false">AI4/AI$18</f>
        <v>0.113931894255725</v>
      </c>
      <c r="AJ24" s="177" t="n">
        <f aca="false">AJ4/AJ$18</f>
        <v>0.110076816008976</v>
      </c>
      <c r="AK24" s="117" t="n">
        <f aca="false">AK4/AK$18</f>
        <v>0.113607641873272</v>
      </c>
      <c r="AL24" s="117" t="n">
        <f aca="false">AL4/AL$18</f>
        <v>0.118303456558461</v>
      </c>
      <c r="AM24" s="117" t="n">
        <f aca="false">AM4/AM$18</f>
        <v>0.116104372404388</v>
      </c>
      <c r="AN24" s="178" t="n">
        <f aca="false">AN4/AN$18</f>
        <v>0.112516066482965</v>
      </c>
      <c r="AO24" s="177" t="n">
        <f aca="false">AO4/AO$18</f>
        <v>0.107177096256598</v>
      </c>
      <c r="AP24" s="179" t="n">
        <f aca="false">AP4/AP$18</f>
        <v>0.106989073603613</v>
      </c>
      <c r="AQ24" s="118" t="n">
        <f aca="false">AQ4/AQ$18</f>
        <v>0.10722815434017</v>
      </c>
    </row>
    <row r="25" customFormat="false" ht="12.8" hidden="false" customHeight="false" outlineLevel="0" collapsed="false">
      <c r="A25" s="139" t="s">
        <v>30</v>
      </c>
      <c r="B25" s="118" t="n">
        <f aca="false">B5/B$18</f>
        <v>0.129123445598295</v>
      </c>
      <c r="C25" s="118" t="n">
        <f aca="false">C5/C$18</f>
        <v>0.131203378324726</v>
      </c>
      <c r="D25" s="117" t="n">
        <f aca="false">D5/D$18</f>
        <v>0.130808790340594</v>
      </c>
      <c r="E25" s="79" t="n">
        <f aca="false">E5/E$18</f>
        <v>0.134927166923831</v>
      </c>
      <c r="F25" s="117" t="n">
        <f aca="false">F5/F$18</f>
        <v>0.131296491506188</v>
      </c>
      <c r="G25" s="79" t="n">
        <f aca="false">G5/G$18</f>
        <v>0.136033644076599</v>
      </c>
      <c r="H25" s="117" t="n">
        <f aca="false">H5/H$18</f>
        <v>0.138638577633599</v>
      </c>
      <c r="I25" s="176" t="n">
        <f aca="false">I5/I$18</f>
        <v>0.145429159207868</v>
      </c>
      <c r="J25" s="177" t="n">
        <f aca="false">J5/J$18</f>
        <v>0.143452879931826</v>
      </c>
      <c r="K25" s="79" t="n">
        <f aca="false">K5/K$18</f>
        <v>0.140829940141158</v>
      </c>
      <c r="L25" s="117" t="n">
        <f aca="false">L5/L$18</f>
        <v>0.143168960994127</v>
      </c>
      <c r="M25" s="79" t="n">
        <f aca="false">M5/M$18</f>
        <v>0.142646427751975</v>
      </c>
      <c r="N25" s="79" t="n">
        <f aca="false">N5/N$18</f>
        <v>0.143723058584745</v>
      </c>
      <c r="O25" s="117" t="n">
        <f aca="false">O5/O$18</f>
        <v>0.150542518020473</v>
      </c>
      <c r="P25" s="178" t="n">
        <f aca="false">P5/P$18</f>
        <v>0.14899143564504</v>
      </c>
      <c r="Q25" s="177" t="n">
        <f aca="false">Q5/Q$18</f>
        <v>0.148696627764837</v>
      </c>
      <c r="R25" s="117" t="n">
        <f aca="false">R5/R$18</f>
        <v>0.143750426099214</v>
      </c>
      <c r="S25" s="79" t="n">
        <f aca="false">S5/S$18</f>
        <v>0.14477859870222</v>
      </c>
      <c r="T25" s="117" t="n">
        <f aca="false">T5/T$18</f>
        <v>0.140988703908688</v>
      </c>
      <c r="U25" s="117" t="n">
        <f aca="false">U5/U$18</f>
        <v>0.141597169643223</v>
      </c>
      <c r="V25" s="79" t="n">
        <f aca="false">V5/V$18</f>
        <v>0.141885849939804</v>
      </c>
      <c r="W25" s="79" t="n">
        <f aca="false">W5/W$18</f>
        <v>0.138536261073351</v>
      </c>
      <c r="X25" s="176" t="n">
        <f aca="false">X5/X$18</f>
        <v>0.142734144606299</v>
      </c>
      <c r="Y25" s="177" t="n">
        <f aca="false">Y5/Y$18</f>
        <v>0.150107327596938</v>
      </c>
      <c r="Z25" s="117" t="n">
        <f aca="false">Z5/Z$18</f>
        <v>0.148221301431404</v>
      </c>
      <c r="AA25" s="79" t="n">
        <f aca="false">AA5/AA$18</f>
        <v>0.150922582530992</v>
      </c>
      <c r="AB25" s="117" t="n">
        <f aca="false">AB5/AB$18</f>
        <v>0.14659894773237</v>
      </c>
      <c r="AC25" s="178" t="n">
        <f aca="false">AC5/AC$18</f>
        <v>0.144512926938188</v>
      </c>
      <c r="AD25" s="177" t="n">
        <f aca="false">AD5/AD$18</f>
        <v>0.139846684868467</v>
      </c>
      <c r="AE25" s="117" t="n">
        <f aca="false">AE5/AE$18</f>
        <v>0.136271026015309</v>
      </c>
      <c r="AF25" s="79" t="n">
        <f aca="false">AF5/AF$18</f>
        <v>0.1391202223681</v>
      </c>
      <c r="AG25" s="117" t="n">
        <f aca="false">AG5/AG$18</f>
        <v>0.138349672997962</v>
      </c>
      <c r="AH25" s="117" t="n">
        <f aca="false">AH5/AH$18</f>
        <v>0.127951181006446</v>
      </c>
      <c r="AI25" s="176" t="n">
        <f aca="false">AI5/AI$18</f>
        <v>0.133606795783925</v>
      </c>
      <c r="AJ25" s="177" t="n">
        <f aca="false">AJ5/AJ$18</f>
        <v>0.127606178110339</v>
      </c>
      <c r="AK25" s="117" t="n">
        <f aca="false">AK5/AK$18</f>
        <v>0.126571257308758</v>
      </c>
      <c r="AL25" s="117" t="n">
        <f aca="false">AL5/AL$18</f>
        <v>0.116695845608348</v>
      </c>
      <c r="AM25" s="117" t="n">
        <f aca="false">AM5/AM$18</f>
        <v>0.11222996476525</v>
      </c>
      <c r="AN25" s="178" t="n">
        <f aca="false">AN5/AN$18</f>
        <v>0.104761063325422</v>
      </c>
      <c r="AO25" s="177" t="n">
        <f aca="false">AO5/AO$18</f>
        <v>0.104469251498918</v>
      </c>
      <c r="AP25" s="179" t="n">
        <f aca="false">AP5/AP$18</f>
        <v>0.10490271933661</v>
      </c>
      <c r="AQ25" s="118" t="n">
        <f aca="false">AQ5/AQ$18</f>
        <v>0.103301892276811</v>
      </c>
    </row>
    <row r="26" customFormat="false" ht="12.8" hidden="false" customHeight="false" outlineLevel="0" collapsed="false">
      <c r="A26" s="139" t="s">
        <v>182</v>
      </c>
      <c r="B26" s="118" t="n">
        <f aca="false">B6/B$18</f>
        <v>0.140210882776365</v>
      </c>
      <c r="C26" s="118" t="n">
        <f aca="false">C6/C$18</f>
        <v>0.130882531411972</v>
      </c>
      <c r="D26" s="117" t="n">
        <f aca="false">D6/D$18</f>
        <v>0.128803298496894</v>
      </c>
      <c r="E26" s="79" t="n">
        <f aca="false">E6/E$18</f>
        <v>0.116706827338225</v>
      </c>
      <c r="F26" s="117" t="n">
        <f aca="false">F6/F$18</f>
        <v>0.121351299068915</v>
      </c>
      <c r="G26" s="79" t="n">
        <f aca="false">G6/G$18</f>
        <v>0.131595529215088</v>
      </c>
      <c r="H26" s="117" t="n">
        <f aca="false">H6/H$18</f>
        <v>0.125402823716065</v>
      </c>
      <c r="I26" s="176" t="n">
        <f aca="false">I6/I$18</f>
        <v>0.123539939024535</v>
      </c>
      <c r="J26" s="177" t="n">
        <f aca="false">J6/J$18</f>
        <v>0.127018991144012</v>
      </c>
      <c r="K26" s="79" t="n">
        <f aca="false">K6/K$18</f>
        <v>0.12997331242825</v>
      </c>
      <c r="L26" s="117" t="n">
        <f aca="false">L6/L$18</f>
        <v>0.128771492292137</v>
      </c>
      <c r="M26" s="79" t="n">
        <f aca="false">M6/M$18</f>
        <v>0.129057558932414</v>
      </c>
      <c r="N26" s="79" t="n">
        <f aca="false">N6/N$18</f>
        <v>0.128859427182447</v>
      </c>
      <c r="O26" s="117" t="n">
        <f aca="false">O6/O$18</f>
        <v>0.127168155966813</v>
      </c>
      <c r="P26" s="178" t="n">
        <f aca="false">P6/P$18</f>
        <v>0.133506119383642</v>
      </c>
      <c r="Q26" s="177" t="n">
        <f aca="false">Q6/Q$18</f>
        <v>0.142298297636414</v>
      </c>
      <c r="R26" s="117" t="n">
        <f aca="false">R6/R$18</f>
        <v>0.147306336731113</v>
      </c>
      <c r="S26" s="79" t="n">
        <f aca="false">S6/S$18</f>
        <v>0.147141866246144</v>
      </c>
      <c r="T26" s="117" t="n">
        <f aca="false">T6/T$18</f>
        <v>0.140600505137474</v>
      </c>
      <c r="U26" s="117" t="n">
        <f aca="false">U6/U$18</f>
        <v>0.143937942484093</v>
      </c>
      <c r="V26" s="79" t="n">
        <f aca="false">V6/V$18</f>
        <v>0.138379151205021</v>
      </c>
      <c r="W26" s="79" t="n">
        <f aca="false">W6/W$18</f>
        <v>0.138825848815208</v>
      </c>
      <c r="X26" s="176" t="n">
        <f aca="false">X6/X$18</f>
        <v>0.143460652592729</v>
      </c>
      <c r="Y26" s="177" t="n">
        <f aca="false">Y6/Y$18</f>
        <v>0.136362473193197</v>
      </c>
      <c r="Z26" s="117" t="n">
        <f aca="false">Z6/Z$18</f>
        <v>0.138397272965834</v>
      </c>
      <c r="AA26" s="79" t="n">
        <f aca="false">AA6/AA$18</f>
        <v>0.138034056928467</v>
      </c>
      <c r="AB26" s="117" t="n">
        <f aca="false">AB6/AB$18</f>
        <v>0.138446622374022</v>
      </c>
      <c r="AC26" s="178" t="n">
        <f aca="false">AC6/AC$18</f>
        <v>0.147003438391117</v>
      </c>
      <c r="AD26" s="177" t="n">
        <f aca="false">AD6/AD$18</f>
        <v>0.147893307007044</v>
      </c>
      <c r="AE26" s="117" t="n">
        <f aca="false">AE6/AE$18</f>
        <v>0.151434888950926</v>
      </c>
      <c r="AF26" s="79" t="n">
        <f aca="false">AF6/AF$18</f>
        <v>0.156331300356956</v>
      </c>
      <c r="AG26" s="117" t="n">
        <f aca="false">AG6/AG$18</f>
        <v>0.148846345531239</v>
      </c>
      <c r="AH26" s="117" t="n">
        <f aca="false">AH6/AH$18</f>
        <v>0.142489319038686</v>
      </c>
      <c r="AI26" s="176" t="n">
        <f aca="false">AI6/AI$18</f>
        <v>0.156308214407051</v>
      </c>
      <c r="AJ26" s="177" t="n">
        <f aca="false">AJ6/AJ$18</f>
        <v>0.157174424693773</v>
      </c>
      <c r="AK26" s="117" t="n">
        <f aca="false">AK6/AK$18</f>
        <v>0.165405029932066</v>
      </c>
      <c r="AL26" s="117" t="n">
        <f aca="false">AL6/AL$18</f>
        <v>0.170870191744437</v>
      </c>
      <c r="AM26" s="117" t="n">
        <f aca="false">AM6/AM$18</f>
        <v>0.156617744285213</v>
      </c>
      <c r="AN26" s="178" t="n">
        <f aca="false">AN6/AN$18</f>
        <v>0.177164078651425</v>
      </c>
      <c r="AO26" s="177" t="n">
        <f aca="false">AO6/AO$18</f>
        <v>0.186476429870589</v>
      </c>
      <c r="AP26" s="179" t="n">
        <f aca="false">AP6/AP$18</f>
        <v>0.177060587473549</v>
      </c>
      <c r="AQ26" s="118" t="n">
        <f aca="false">AQ6/AQ$18</f>
        <v>0.177637084634665</v>
      </c>
    </row>
    <row r="27" customFormat="false" ht="12.8" hidden="false" customHeight="false" outlineLevel="0" collapsed="false">
      <c r="A27" s="139" t="s">
        <v>183</v>
      </c>
      <c r="B27" s="118" t="n">
        <f aca="false">B7/B$18</f>
        <v>0.0829041794433616</v>
      </c>
      <c r="C27" s="118" t="n">
        <f aca="false">C7/C$18</f>
        <v>0.0872232026714956</v>
      </c>
      <c r="D27" s="117" t="n">
        <f aca="false">D7/D$18</f>
        <v>0.0858375528678387</v>
      </c>
      <c r="E27" s="79" t="n">
        <f aca="false">E7/E$18</f>
        <v>0.0893419399124216</v>
      </c>
      <c r="F27" s="117" t="n">
        <f aca="false">F7/F$18</f>
        <v>0.0934387029679206</v>
      </c>
      <c r="G27" s="79" t="n">
        <f aca="false">G7/G$18</f>
        <v>0.0833962757372334</v>
      </c>
      <c r="H27" s="117" t="n">
        <f aca="false">H7/H$18</f>
        <v>0.0836704160157789</v>
      </c>
      <c r="I27" s="176" t="n">
        <f aca="false">I7/I$18</f>
        <v>0.0862883449911774</v>
      </c>
      <c r="J27" s="177" t="n">
        <f aca="false">J7/J$18</f>
        <v>0.0945690481231493</v>
      </c>
      <c r="K27" s="79" t="n">
        <f aca="false">K7/K$18</f>
        <v>0.090560617927221</v>
      </c>
      <c r="L27" s="117" t="n">
        <f aca="false">L7/L$18</f>
        <v>0.0926602722218972</v>
      </c>
      <c r="M27" s="79" t="n">
        <f aca="false">M7/M$18</f>
        <v>0.0927088385418276</v>
      </c>
      <c r="N27" s="79" t="n">
        <f aca="false">N7/N$18</f>
        <v>0.0935131598461769</v>
      </c>
      <c r="O27" s="117" t="n">
        <f aca="false">O7/O$18</f>
        <v>0.0970078287908745</v>
      </c>
      <c r="P27" s="178" t="n">
        <f aca="false">P7/P$18</f>
        <v>0.0977830431631309</v>
      </c>
      <c r="Q27" s="177" t="n">
        <f aca="false">Q7/Q$18</f>
        <v>0.09899577786406</v>
      </c>
      <c r="R27" s="117" t="n">
        <f aca="false">R7/R$18</f>
        <v>0.100418051256896</v>
      </c>
      <c r="S27" s="79" t="n">
        <f aca="false">S7/S$18</f>
        <v>0.0953945051585598</v>
      </c>
      <c r="T27" s="117" t="n">
        <f aca="false">T7/T$18</f>
        <v>0.116022191130344</v>
      </c>
      <c r="U27" s="117" t="n">
        <f aca="false">U7/U$18</f>
        <v>0.127037493984733</v>
      </c>
      <c r="V27" s="79" t="n">
        <f aca="false">V7/V$18</f>
        <v>0.127162651351198</v>
      </c>
      <c r="W27" s="79" t="n">
        <f aca="false">W7/W$18</f>
        <v>0.132161072406978</v>
      </c>
      <c r="X27" s="176" t="n">
        <f aca="false">X7/X$18</f>
        <v>0.123219223795609</v>
      </c>
      <c r="Y27" s="177" t="n">
        <f aca="false">Y7/Y$18</f>
        <v>0.112563266087922</v>
      </c>
      <c r="Z27" s="117" t="n">
        <f aca="false">Z7/Z$18</f>
        <v>0.119740138559656</v>
      </c>
      <c r="AA27" s="79" t="n">
        <f aca="false">AA7/AA$18</f>
        <v>0.111103121359486</v>
      </c>
      <c r="AB27" s="117" t="n">
        <f aca="false">AB7/AB$18</f>
        <v>0.108038394597378</v>
      </c>
      <c r="AC27" s="178" t="n">
        <f aca="false">AC7/AC$18</f>
        <v>0.11548172577723</v>
      </c>
      <c r="AD27" s="177" t="n">
        <f aca="false">AD7/AD$18</f>
        <v>0.108443793360073</v>
      </c>
      <c r="AE27" s="117" t="n">
        <f aca="false">AE7/AE$18</f>
        <v>0.10735323837966</v>
      </c>
      <c r="AF27" s="79" t="n">
        <f aca="false">AF7/AF$18</f>
        <v>0.106736987884459</v>
      </c>
      <c r="AG27" s="117" t="n">
        <f aca="false">AG7/AG$18</f>
        <v>0.112144761486401</v>
      </c>
      <c r="AH27" s="117" t="n">
        <f aca="false">AH7/AH$18</f>
        <v>0.120223155802604</v>
      </c>
      <c r="AI27" s="176" t="n">
        <f aca="false">AI7/AI$18</f>
        <v>0.0977127384712237</v>
      </c>
      <c r="AJ27" s="177" t="n">
        <f aca="false">AJ7/AJ$18</f>
        <v>0.106013143200403</v>
      </c>
      <c r="AK27" s="117" t="n">
        <f aca="false">AK7/AK$18</f>
        <v>0.102593835624318</v>
      </c>
      <c r="AL27" s="117" t="n">
        <f aca="false">AL7/AL$18</f>
        <v>0.105979049576683</v>
      </c>
      <c r="AM27" s="117" t="n">
        <f aca="false">AM7/AM$18</f>
        <v>0.112399897533033</v>
      </c>
      <c r="AN27" s="178" t="n">
        <f aca="false">AN7/AN$18</f>
        <v>0.114081396384909</v>
      </c>
      <c r="AO27" s="177" t="n">
        <f aca="false">AO7/AO$18</f>
        <v>0.115407641529549</v>
      </c>
      <c r="AP27" s="179" t="n">
        <f aca="false">AP7/AP$18</f>
        <v>0.117739322501628</v>
      </c>
      <c r="AQ27" s="118" t="n">
        <f aca="false">AQ7/AQ$18</f>
        <v>0.120332131080897</v>
      </c>
    </row>
    <row r="28" customFormat="false" ht="12.8" hidden="false" customHeight="false" outlineLevel="0" collapsed="false">
      <c r="A28" s="139" t="s">
        <v>27</v>
      </c>
      <c r="B28" s="118" t="n">
        <f aca="false">B8/B$18</f>
        <v>0.0396894662042966</v>
      </c>
      <c r="C28" s="118" t="n">
        <f aca="false">C8/C$18</f>
        <v>0.0397226286847495</v>
      </c>
      <c r="D28" s="117" t="n">
        <f aca="false">D8/D$18</f>
        <v>0.039149069635168</v>
      </c>
      <c r="E28" s="79" t="n">
        <f aca="false">E8/E$18</f>
        <v>0.0390168297872571</v>
      </c>
      <c r="F28" s="117" t="n">
        <f aca="false">F8/F$18</f>
        <v>0.0395293302263919</v>
      </c>
      <c r="G28" s="79" t="n">
        <f aca="false">G8/G$18</f>
        <v>0.0377573731275237</v>
      </c>
      <c r="H28" s="117" t="n">
        <f aca="false">H8/H$18</f>
        <v>0.0362923175140337</v>
      </c>
      <c r="I28" s="176" t="n">
        <f aca="false">I8/I$18</f>
        <v>0.036938371321399</v>
      </c>
      <c r="J28" s="177" t="n">
        <f aca="false">J8/J$18</f>
        <v>0.0399387439426091</v>
      </c>
      <c r="K28" s="79" t="n">
        <f aca="false">K8/K$18</f>
        <v>0.0434129330055639</v>
      </c>
      <c r="L28" s="117" t="n">
        <f aca="false">L8/L$18</f>
        <v>0.0417037667502815</v>
      </c>
      <c r="M28" s="79" t="n">
        <f aca="false">M8/M$18</f>
        <v>0.0417575987357847</v>
      </c>
      <c r="N28" s="79" t="n">
        <f aca="false">N8/N$18</f>
        <v>0.0421200396486427</v>
      </c>
      <c r="O28" s="117" t="n">
        <f aca="false">O8/O$18</f>
        <v>0.0436621233022235</v>
      </c>
      <c r="P28" s="178" t="n">
        <f aca="false">P8/P$18</f>
        <v>0.0434707086600949</v>
      </c>
      <c r="Q28" s="177" t="n">
        <f aca="false">Q8/Q$18</f>
        <v>0.0458589709273159</v>
      </c>
      <c r="R28" s="117" t="n">
        <f aca="false">R8/R$18</f>
        <v>0.0463532260987292</v>
      </c>
      <c r="S28" s="79" t="n">
        <f aca="false">S8/S$18</f>
        <v>0.0470551814848054</v>
      </c>
      <c r="T28" s="117" t="n">
        <f aca="false">T8/T$18</f>
        <v>0.0469153950416844</v>
      </c>
      <c r="U28" s="117" t="n">
        <f aca="false">U8/U$18</f>
        <v>0.0453982473007309</v>
      </c>
      <c r="V28" s="79" t="n">
        <f aca="false">V8/V$18</f>
        <v>0.0438306129392334</v>
      </c>
      <c r="W28" s="79" t="n">
        <f aca="false">W8/W$18</f>
        <v>0.0451617508201956</v>
      </c>
      <c r="X28" s="176" t="n">
        <f aca="false">X8/X$18</f>
        <v>0.0467846274412361</v>
      </c>
      <c r="Y28" s="177" t="n">
        <f aca="false">Y8/Y$18</f>
        <v>0.0500308399061657</v>
      </c>
      <c r="Z28" s="117" t="n">
        <f aca="false">Z8/Z$18</f>
        <v>0.0513633673574422</v>
      </c>
      <c r="AA28" s="79" t="n">
        <f aca="false">AA8/AA$18</f>
        <v>0.0510051602359419</v>
      </c>
      <c r="AB28" s="117" t="n">
        <f aca="false">AB8/AB$18</f>
        <v>0.0565830789551784</v>
      </c>
      <c r="AC28" s="178" t="n">
        <f aca="false">AC8/AC$18</f>
        <v>0.0571520766559195</v>
      </c>
      <c r="AD28" s="177" t="n">
        <f aca="false">AD8/AD$18</f>
        <v>0.0612113212256583</v>
      </c>
      <c r="AE28" s="117" t="n">
        <f aca="false">AE8/AE$18</f>
        <v>0.059881187071758</v>
      </c>
      <c r="AF28" s="79" t="n">
        <f aca="false">AF8/AF$18</f>
        <v>0.0572220734292241</v>
      </c>
      <c r="AG28" s="117" t="n">
        <f aca="false">AG8/AG$18</f>
        <v>0.0593075896521311</v>
      </c>
      <c r="AH28" s="117" t="n">
        <f aca="false">AH8/AH$18</f>
        <v>0.0522735075262345</v>
      </c>
      <c r="AI28" s="176" t="n">
        <f aca="false">AI8/AI$18</f>
        <v>0.0620436540959516</v>
      </c>
      <c r="AJ28" s="177" t="n">
        <f aca="false">AJ8/AJ$18</f>
        <v>0.0655435072184666</v>
      </c>
      <c r="AK28" s="117" t="n">
        <f aca="false">AK8/AK$18</f>
        <v>0.0647646657445369</v>
      </c>
      <c r="AL28" s="117" t="n">
        <f aca="false">AL8/AL$18</f>
        <v>0.0607714436938579</v>
      </c>
      <c r="AM28" s="117" t="n">
        <f aca="false">AM8/AM$18</f>
        <v>0.0603756259270243</v>
      </c>
      <c r="AN28" s="178" t="n">
        <f aca="false">AN8/AN$18</f>
        <v>0.0498354294778383</v>
      </c>
      <c r="AO28" s="177" t="n">
        <f aca="false">AO8/AO$18</f>
        <v>0.0475052245423142</v>
      </c>
      <c r="AP28" s="179" t="n">
        <f aca="false">AP8/AP$18</f>
        <v>0.0476719779420628</v>
      </c>
      <c r="AQ28" s="118" t="n">
        <f aca="false">AQ8/AQ$18</f>
        <v>0.0469176590075056</v>
      </c>
    </row>
    <row r="29" customFormat="false" ht="12.8" hidden="false" customHeight="false" outlineLevel="0" collapsed="false">
      <c r="A29" s="139" t="s">
        <v>31</v>
      </c>
      <c r="B29" s="118" t="n">
        <f aca="false">B9/B$18</f>
        <v>0.0202936667046476</v>
      </c>
      <c r="C29" s="118" t="n">
        <f aca="false">C9/C$18</f>
        <v>0.0208623839703596</v>
      </c>
      <c r="D29" s="117" t="n">
        <f aca="false">D9/D$18</f>
        <v>0.0205309588751218</v>
      </c>
      <c r="E29" s="79" t="n">
        <f aca="false">E9/E$18</f>
        <v>0.0192840834206144</v>
      </c>
      <c r="F29" s="117" t="n">
        <f aca="false">F9/F$18</f>
        <v>0.0184766113981907</v>
      </c>
      <c r="G29" s="79" t="n">
        <f aca="false">G9/G$18</f>
        <v>0.0206162086113568</v>
      </c>
      <c r="H29" s="117" t="n">
        <f aca="false">H9/H$18</f>
        <v>0.0206839782224252</v>
      </c>
      <c r="I29" s="176" t="n">
        <f aca="false">I9/I$18</f>
        <v>0.0208108952531636</v>
      </c>
      <c r="J29" s="177" t="n">
        <f aca="false">J9/J$18</f>
        <v>0.0233148543088902</v>
      </c>
      <c r="K29" s="79" t="n">
        <f aca="false">K9/K$18</f>
        <v>0.0285567710961263</v>
      </c>
      <c r="L29" s="117" t="n">
        <f aca="false">L9/L$18</f>
        <v>0.0292188618420425</v>
      </c>
      <c r="M29" s="79" t="n">
        <f aca="false">M9/M$18</f>
        <v>0.0293668072939666</v>
      </c>
      <c r="N29" s="79" t="n">
        <f aca="false">N9/N$18</f>
        <v>0.0270196962744335</v>
      </c>
      <c r="O29" s="117" t="n">
        <f aca="false">O9/O$18</f>
        <v>0.0164581211977184</v>
      </c>
      <c r="P29" s="178" t="n">
        <f aca="false">P9/P$18</f>
        <v>0.0164742785165097</v>
      </c>
      <c r="Q29" s="177" t="n">
        <f aca="false">Q9/Q$18</f>
        <v>0.0179361448365643</v>
      </c>
      <c r="R29" s="117" t="n">
        <f aca="false">R9/R$18</f>
        <v>0.0174703919257642</v>
      </c>
      <c r="S29" s="79" t="n">
        <f aca="false">S9/S$18</f>
        <v>0.0184210914447841</v>
      </c>
      <c r="T29" s="117" t="n">
        <f aca="false">T9/T$18</f>
        <v>0.0162379977092752</v>
      </c>
      <c r="U29" s="117" t="n">
        <f aca="false">U9/U$18</f>
        <v>0.0169220564449716</v>
      </c>
      <c r="V29" s="79" t="n">
        <f aca="false">V9/V$18</f>
        <v>0.0174679079627625</v>
      </c>
      <c r="W29" s="79" t="n">
        <f aca="false">W9/W$18</f>
        <v>0.0181545243397706</v>
      </c>
      <c r="X29" s="176" t="n">
        <f aca="false">X9/X$18</f>
        <v>0.0169262125131403</v>
      </c>
      <c r="Y29" s="177" t="n">
        <f aca="false">Y9/Y$18</f>
        <v>0.017294283229553</v>
      </c>
      <c r="Z29" s="117" t="n">
        <f aca="false">Z9/Z$18</f>
        <v>0.0184341418889531</v>
      </c>
      <c r="AA29" s="79" t="n">
        <f aca="false">AA9/AA$18</f>
        <v>0.0186272949363121</v>
      </c>
      <c r="AB29" s="117" t="n">
        <f aca="false">AB9/AB$18</f>
        <v>0.0190145673976645</v>
      </c>
      <c r="AC29" s="178" t="n">
        <f aca="false">AC9/AC$18</f>
        <v>0.0203252814392828</v>
      </c>
      <c r="AD29" s="177" t="n">
        <f aca="false">AD9/AD$18</f>
        <v>0.0212835452877785</v>
      </c>
      <c r="AE29" s="117" t="n">
        <f aca="false">AE9/AE$18</f>
        <v>0.0231575224720565</v>
      </c>
      <c r="AF29" s="79" t="n">
        <f aca="false">AF9/AF$18</f>
        <v>0.0201949270804932</v>
      </c>
      <c r="AG29" s="117" t="n">
        <f aca="false">AG9/AG$18</f>
        <v>0.0226761452637948</v>
      </c>
      <c r="AH29" s="117" t="n">
        <f aca="false">AH9/AH$18</f>
        <v>0.0233884136650404</v>
      </c>
      <c r="AI29" s="176" t="n">
        <f aca="false">AI9/AI$18</f>
        <v>0.0273736137831575</v>
      </c>
      <c r="AJ29" s="177" t="n">
        <f aca="false">AJ9/AJ$18</f>
        <v>0.0304347410084129</v>
      </c>
      <c r="AK29" s="117" t="n">
        <f aca="false">AK9/AK$18</f>
        <v>0.0319757144965316</v>
      </c>
      <c r="AL29" s="117" t="n">
        <f aca="false">AL9/AL$18</f>
        <v>0.0311223017623082</v>
      </c>
      <c r="AM29" s="117" t="n">
        <f aca="false">AM9/AM$18</f>
        <v>0.0322785678229661</v>
      </c>
      <c r="AN29" s="178" t="n">
        <f aca="false">AN9/AN$18</f>
        <v>0.0307613011630021</v>
      </c>
      <c r="AO29" s="177" t="n">
        <f aca="false">AO9/AO$18</f>
        <v>0.0301984859483003</v>
      </c>
      <c r="AP29" s="179" t="n">
        <f aca="false">AP9/AP$18</f>
        <v>0.0367366793479566</v>
      </c>
      <c r="AQ29" s="118" t="n">
        <f aca="false">AQ9/AQ$18</f>
        <v>0.0333964043645867</v>
      </c>
    </row>
    <row r="30" customFormat="false" ht="12.8" hidden="false" customHeight="false" outlineLevel="0" collapsed="false">
      <c r="A30" s="139" t="s">
        <v>184</v>
      </c>
      <c r="B30" s="118" t="n">
        <f aca="false">B10/B$18</f>
        <v>0.0202843162855022</v>
      </c>
      <c r="C30" s="118" t="n">
        <f aca="false">C10/C$18</f>
        <v>0.0184231820785206</v>
      </c>
      <c r="D30" s="117" t="n">
        <f aca="false">D10/D$18</f>
        <v>0.0181259752661196</v>
      </c>
      <c r="E30" s="79" t="n">
        <f aca="false">E10/E$18</f>
        <v>0.0188406252622757</v>
      </c>
      <c r="F30" s="117" t="n">
        <f aca="false">F10/F$18</f>
        <v>0.0183361874870868</v>
      </c>
      <c r="G30" s="79" t="n">
        <f aca="false">G10/G$18</f>
        <v>0.0200630105938612</v>
      </c>
      <c r="H30" s="117" t="n">
        <f aca="false">H10/H$18</f>
        <v>0.0179410311090768</v>
      </c>
      <c r="I30" s="176" t="n">
        <f aca="false">I10/I$18</f>
        <v>0.018076687747448</v>
      </c>
      <c r="J30" s="177" t="n">
        <f aca="false">J10/J$18</f>
        <v>0.0199947529784972</v>
      </c>
      <c r="K30" s="79" t="n">
        <f aca="false">K10/K$18</f>
        <v>0.0191203116179144</v>
      </c>
      <c r="L30" s="117" t="n">
        <f aca="false">L10/L$18</f>
        <v>0.019486760318969</v>
      </c>
      <c r="M30" s="79" t="n">
        <f aca="false">M10/M$18</f>
        <v>0.0193991046193101</v>
      </c>
      <c r="N30" s="79" t="n">
        <f aca="false">N10/N$18</f>
        <v>0.0195674069449138</v>
      </c>
      <c r="O30" s="117" t="n">
        <f aca="false">O10/O$18</f>
        <v>0.020801955904062</v>
      </c>
      <c r="P30" s="178" t="n">
        <f aca="false">P10/P$18</f>
        <v>0.0214329821447031</v>
      </c>
      <c r="Q30" s="177" t="n">
        <f aca="false">Q10/Q$18</f>
        <v>0.0237124533500184</v>
      </c>
      <c r="R30" s="117" t="n">
        <f aca="false">R10/R$18</f>
        <v>0.028783758606513</v>
      </c>
      <c r="S30" s="79" t="n">
        <f aca="false">S10/S$18</f>
        <v>0.025567717087468</v>
      </c>
      <c r="T30" s="117" t="n">
        <f aca="false">T10/T$18</f>
        <v>0.023837863635318</v>
      </c>
      <c r="U30" s="117" t="n">
        <f aca="false">U10/U$18</f>
        <v>0.0219429539054221</v>
      </c>
      <c r="V30" s="79" t="n">
        <f aca="false">V10/V$18</f>
        <v>0.0205597318813463</v>
      </c>
      <c r="W30" s="79" t="n">
        <f aca="false">W10/W$18</f>
        <v>0.0213678795225362</v>
      </c>
      <c r="X30" s="176" t="n">
        <f aca="false">X10/X$18</f>
        <v>0.0221294482062622</v>
      </c>
      <c r="Y30" s="177" t="n">
        <f aca="false">Y10/Y$18</f>
        <v>0.0243279698879669</v>
      </c>
      <c r="Z30" s="117" t="n">
        <f aca="false">Z10/Z$18</f>
        <v>0.0242522010484694</v>
      </c>
      <c r="AA30" s="79" t="n">
        <f aca="false">AA10/AA$18</f>
        <v>0.0234807885178938</v>
      </c>
      <c r="AB30" s="117" t="n">
        <f aca="false">AB10/AB$18</f>
        <v>0.0243538022911137</v>
      </c>
      <c r="AC30" s="178" t="n">
        <f aca="false">AC10/AC$18</f>
        <v>0.0228466094103194</v>
      </c>
      <c r="AD30" s="177" t="n">
        <f aca="false">AD10/AD$18</f>
        <v>0.0254241072125639</v>
      </c>
      <c r="AE30" s="117" t="n">
        <f aca="false">AE10/AE$18</f>
        <v>0.0240943589202815</v>
      </c>
      <c r="AF30" s="79" t="n">
        <f aca="false">AF10/AF$18</f>
        <v>0.023950958512411</v>
      </c>
      <c r="AG30" s="117" t="n">
        <f aca="false">AG10/AG$18</f>
        <v>0.0232182570534352</v>
      </c>
      <c r="AH30" s="117" t="n">
        <f aca="false">AH10/AH$18</f>
        <v>0.0223746947975823</v>
      </c>
      <c r="AI30" s="176" t="n">
        <f aca="false">AI10/AI$18</f>
        <v>0.0263827610801849</v>
      </c>
      <c r="AJ30" s="177" t="n">
        <f aca="false">AJ10/AJ$18</f>
        <v>0.0259153213818908</v>
      </c>
      <c r="AK30" s="117" t="n">
        <f aca="false">AK10/AK$18</f>
        <v>0.0248225155862907</v>
      </c>
      <c r="AL30" s="117" t="n">
        <f aca="false">AL10/AL$18</f>
        <v>0.0234803024563349</v>
      </c>
      <c r="AM30" s="117" t="n">
        <f aca="false">AM10/AM$18</f>
        <v>0.0231964884745467</v>
      </c>
      <c r="AN30" s="178" t="n">
        <f aca="false">AN10/AN$18</f>
        <v>0.0216860871967629</v>
      </c>
      <c r="AO30" s="177" t="n">
        <f aca="false">AO10/AO$18</f>
        <v>0.0218815255206337</v>
      </c>
      <c r="AP30" s="179" t="n">
        <f aca="false">AP10/AP$18</f>
        <v>0.0233010324479418</v>
      </c>
      <c r="AQ30" s="118" t="n">
        <f aca="false">AQ10/AQ$18</f>
        <v>0.0224320068997955</v>
      </c>
    </row>
    <row r="31" customFormat="false" ht="12.8" hidden="false" customHeight="false" outlineLevel="0" collapsed="false">
      <c r="A31" s="139" t="s">
        <v>185</v>
      </c>
      <c r="B31" s="118" t="n">
        <f aca="false">B11/B$18</f>
        <v>0.0155011020158374</v>
      </c>
      <c r="C31" s="118" t="n">
        <f aca="false">C11/C$18</f>
        <v>0.0159162520007812</v>
      </c>
      <c r="D31" s="117" t="n">
        <f aca="false">D11/D$18</f>
        <v>0.0160885518997731</v>
      </c>
      <c r="E31" s="79" t="n">
        <f aca="false">E11/E$18</f>
        <v>0.0161646683484189</v>
      </c>
      <c r="F31" s="117" t="n">
        <f aca="false">F11/F$18</f>
        <v>0.0164193964804338</v>
      </c>
      <c r="G31" s="79" t="n">
        <f aca="false">G11/G$18</f>
        <v>0.0184386759916303</v>
      </c>
      <c r="H31" s="117" t="n">
        <f aca="false">H11/H$18</f>
        <v>0.0179742184815894</v>
      </c>
      <c r="I31" s="176" t="n">
        <f aca="false">I11/I$18</f>
        <v>0.0193979177402799</v>
      </c>
      <c r="J31" s="177" t="n">
        <f aca="false">J11/J$18</f>
        <v>0.0170753944992266</v>
      </c>
      <c r="K31" s="79" t="n">
        <f aca="false">K11/K$18</f>
        <v>0.015180113357457</v>
      </c>
      <c r="L31" s="117" t="n">
        <f aca="false">L11/L$18</f>
        <v>0.0155256687775472</v>
      </c>
      <c r="M31" s="79" t="n">
        <f aca="false">M11/M$18</f>
        <v>0.0155338062951575</v>
      </c>
      <c r="N31" s="79" t="n">
        <f aca="false">N11/N$18</f>
        <v>0.015671707865322</v>
      </c>
      <c r="O31" s="117" t="n">
        <f aca="false">O11/O$18</f>
        <v>0.0165691686196468</v>
      </c>
      <c r="P31" s="178" t="n">
        <f aca="false">P11/P$18</f>
        <v>0.0155447896387651</v>
      </c>
      <c r="Q31" s="177" t="n">
        <f aca="false">Q11/Q$18</f>
        <v>0.0132420678448974</v>
      </c>
      <c r="R31" s="117"/>
      <c r="S31" s="79"/>
      <c r="T31" s="117"/>
      <c r="U31" s="117"/>
      <c r="V31" s="79"/>
      <c r="W31" s="79"/>
      <c r="X31" s="176"/>
      <c r="Y31" s="177"/>
      <c r="Z31" s="117"/>
      <c r="AA31" s="79"/>
      <c r="AB31" s="117"/>
      <c r="AC31" s="178"/>
      <c r="AD31" s="177"/>
      <c r="AE31" s="117"/>
      <c r="AF31" s="79"/>
      <c r="AG31" s="117"/>
      <c r="AH31" s="117"/>
      <c r="AI31" s="176"/>
      <c r="AJ31" s="177"/>
      <c r="AK31" s="117"/>
      <c r="AL31" s="117"/>
      <c r="AM31" s="117"/>
      <c r="AN31" s="178"/>
      <c r="AO31" s="177"/>
      <c r="AP31" s="179"/>
      <c r="AQ31" s="118"/>
    </row>
    <row r="32" customFormat="false" ht="12.8" hidden="false" customHeight="false" outlineLevel="0" collapsed="false">
      <c r="A32" s="139" t="s">
        <v>29</v>
      </c>
      <c r="B32" s="118" t="n">
        <f aca="false">B12/B$18</f>
        <v>0.0157216236114134</v>
      </c>
      <c r="C32" s="118" t="n">
        <f aca="false">C12/C$18</f>
        <v>0.0154213114093021</v>
      </c>
      <c r="D32" s="117" t="n">
        <f aca="false">D12/D$18</f>
        <v>0.0151763245655272</v>
      </c>
      <c r="E32" s="79" t="n">
        <f aca="false">E12/E$18</f>
        <v>0.0164106240188931</v>
      </c>
      <c r="F32" s="117" t="n">
        <f aca="false">F12/F$18</f>
        <v>0.0133956595454552</v>
      </c>
      <c r="G32" s="79" t="n">
        <f aca="false">G12/G$18</f>
        <v>0.013373509282414</v>
      </c>
      <c r="H32" s="117" t="n">
        <f aca="false">H12/H$18</f>
        <v>0.0127504279036877</v>
      </c>
      <c r="I32" s="176" t="n">
        <f aca="false">I12/I$18</f>
        <v>0.0128236431971227</v>
      </c>
      <c r="J32" s="177" t="n">
        <f aca="false">J12/J$18</f>
        <v>0.0133074540789216</v>
      </c>
      <c r="K32" s="79" t="n">
        <f aca="false">K12/K$18</f>
        <v>0.0125342417118206</v>
      </c>
      <c r="L32" s="117" t="n">
        <f aca="false">L12/L$18</f>
        <v>0.0125300248726405</v>
      </c>
      <c r="M32" s="79" t="n">
        <f aca="false">M12/M$18</f>
        <v>0.0125365922739886</v>
      </c>
      <c r="N32" s="79" t="n">
        <f aca="false">N12/N$18</f>
        <v>0.0119015124383768</v>
      </c>
      <c r="O32" s="117" t="n">
        <f aca="false">O12/O$18</f>
        <v>0.012214453482713</v>
      </c>
      <c r="P32" s="178" t="n">
        <f aca="false">P12/P$18</f>
        <v>0.0123496689705204</v>
      </c>
      <c r="Q32" s="177" t="n">
        <f aca="false">Q12/Q$18</f>
        <v>0.0137403272275344</v>
      </c>
      <c r="R32" s="117" t="n">
        <f aca="false">R12/R$18</f>
        <v>0.0147406058549569</v>
      </c>
      <c r="S32" s="79" t="n">
        <f aca="false">S12/S$18</f>
        <v>0.0141426239284175</v>
      </c>
      <c r="T32" s="117" t="n">
        <f aca="false">T12/T$18</f>
        <v>0.0131082349493734</v>
      </c>
      <c r="U32" s="117" t="n">
        <f aca="false">U12/U$18</f>
        <v>0.0118242762025716</v>
      </c>
      <c r="V32" s="79" t="n">
        <f aca="false">V12/V$18</f>
        <v>0.013480359591583</v>
      </c>
      <c r="W32" s="79" t="n">
        <f aca="false">W12/W$18</f>
        <v>0.0140102361906165</v>
      </c>
      <c r="X32" s="176" t="n">
        <f aca="false">X12/X$18</f>
        <v>0.0130623215835057</v>
      </c>
      <c r="Y32" s="177" t="n">
        <f aca="false">Y12/Y$18</f>
        <v>0.0150136487305776</v>
      </c>
      <c r="Z32" s="117" t="n">
        <f aca="false">Z12/Z$18</f>
        <v>0.0166244919844651</v>
      </c>
      <c r="AA32" s="79" t="n">
        <f aca="false">AA12/AA$18</f>
        <v>0.0158913326554163</v>
      </c>
      <c r="AB32" s="117" t="n">
        <f aca="false">AB12/AB$18</f>
        <v>0.0184974198819324</v>
      </c>
      <c r="AC32" s="178" t="n">
        <f aca="false">AC12/AC$18</f>
        <v>0.0182895494203309</v>
      </c>
      <c r="AD32" s="177" t="n">
        <f aca="false">AD12/AD$18</f>
        <v>0.0199420701398469</v>
      </c>
      <c r="AE32" s="117" t="n">
        <f aca="false">AE12/AE$18</f>
        <v>0.0175699298247523</v>
      </c>
      <c r="AF32" s="79" t="n">
        <f aca="false">AF12/AF$18</f>
        <v>0.016640992493925</v>
      </c>
      <c r="AG32" s="117" t="n">
        <f aca="false">AG12/AG$18</f>
        <v>0.0172563001516865</v>
      </c>
      <c r="AH32" s="117" t="n">
        <f aca="false">AH12/AH$18</f>
        <v>0.0199363594150323</v>
      </c>
      <c r="AI32" s="176" t="n">
        <f aca="false">AI12/AI$18</f>
        <v>0.0154076413941553</v>
      </c>
      <c r="AJ32" s="177" t="n">
        <f aca="false">AJ12/AJ$18</f>
        <v>0.0148990297154354</v>
      </c>
      <c r="AK32" s="117" t="n">
        <f aca="false">AK12/AK$18</f>
        <v>0.0158603031350618</v>
      </c>
      <c r="AL32" s="117" t="n">
        <f aca="false">AL12/AL$18</f>
        <v>0.0163505233943141</v>
      </c>
      <c r="AM32" s="117" t="n">
        <f aca="false">AM12/AM$18</f>
        <v>0.016625440756425</v>
      </c>
      <c r="AN32" s="178" t="n">
        <f aca="false">AN12/AN$18</f>
        <v>0.0169622245826575</v>
      </c>
      <c r="AO32" s="177"/>
      <c r="AP32" s="179"/>
      <c r="AQ32" s="118"/>
    </row>
    <row r="33" customFormat="false" ht="12.8" hidden="false" customHeight="false" outlineLevel="0" collapsed="false">
      <c r="A33" s="139" t="s">
        <v>186</v>
      </c>
      <c r="B33" s="118"/>
      <c r="C33" s="118"/>
      <c r="D33" s="117"/>
      <c r="E33" s="79"/>
      <c r="F33" s="117"/>
      <c r="G33" s="79"/>
      <c r="H33" s="117"/>
      <c r="I33" s="176"/>
      <c r="J33" s="177"/>
      <c r="K33" s="79"/>
      <c r="L33" s="117"/>
      <c r="M33" s="79"/>
      <c r="N33" s="79"/>
      <c r="O33" s="117"/>
      <c r="P33" s="178"/>
      <c r="Q33" s="177"/>
      <c r="R33" s="117" t="n">
        <f aca="false">R13/R$18</f>
        <v>0.0124356163575081</v>
      </c>
      <c r="S33" s="79" t="n">
        <f aca="false">S13/S$18</f>
        <v>0.0119096377339061</v>
      </c>
      <c r="T33" s="117" t="n">
        <f aca="false">T13/T$18</f>
        <v>0.0121228730967391</v>
      </c>
      <c r="U33" s="117" t="n">
        <f aca="false">U13/U$18</f>
        <v>0.0114332273895297</v>
      </c>
      <c r="V33" s="79" t="n">
        <f aca="false">V13/V$18</f>
        <v>0.0120156559564573</v>
      </c>
      <c r="W33" s="79" t="n">
        <f aca="false">W13/W$18</f>
        <v>0.0124879590037247</v>
      </c>
      <c r="X33" s="176" t="n">
        <f aca="false">X13/X$18</f>
        <v>0.0116430397181697</v>
      </c>
      <c r="Y33" s="177" t="n">
        <f aca="false">Y13/Y$18</f>
        <v>0.0124740549629952</v>
      </c>
      <c r="Z33" s="117" t="n">
        <f aca="false">Z13/Z$18</f>
        <v>0.0128611875962841</v>
      </c>
      <c r="AA33" s="79" t="n">
        <f aca="false">AA13/AA$18</f>
        <v>0.0132849854815161</v>
      </c>
      <c r="AB33" s="117" t="n">
        <f aca="false">AB13/AB$18</f>
        <v>0.0134474708226342</v>
      </c>
      <c r="AC33" s="178" t="n">
        <f aca="false">AC13/AC$18</f>
        <v>0.0132915592435467</v>
      </c>
      <c r="AD33" s="177" t="n">
        <f aca="false">AD13/AD$18</f>
        <v>0.0139408621681637</v>
      </c>
      <c r="AE33" s="117" t="n">
        <f aca="false">AE13/AE$18</f>
        <v>0.0137778264208884</v>
      </c>
      <c r="AF33" s="79" t="n">
        <f aca="false">AF13/AF$18</f>
        <v>0.0136992841399636</v>
      </c>
      <c r="AG33" s="117" t="n">
        <f aca="false">AG13/AG$18</f>
        <v>0.0164495442259963</v>
      </c>
      <c r="AH33" s="117" t="n">
        <f aca="false">AH13/AH$18</f>
        <v>0.0183295900975958</v>
      </c>
      <c r="AI33" s="176" t="n">
        <f aca="false">AI13/AI$18</f>
        <v>0.0184617821778878</v>
      </c>
      <c r="AJ33" s="177" t="n">
        <f aca="false">AJ13/AJ$18</f>
        <v>0.0190754285184576</v>
      </c>
      <c r="AK33" s="117" t="n">
        <f aca="false">AK13/AK$18</f>
        <v>0.0189614150906152</v>
      </c>
      <c r="AL33" s="117" t="n">
        <f aca="false">AL13/AL$18</f>
        <v>0.0195842326571588</v>
      </c>
      <c r="AM33" s="117" t="n">
        <f aca="false">AM13/AM$18</f>
        <v>0.0209130111571405</v>
      </c>
      <c r="AN33" s="178" t="n">
        <f aca="false">AN13/AN$18</f>
        <v>0.0196702000879138</v>
      </c>
      <c r="AO33" s="177" t="n">
        <f aca="false">AO13/AO$18</f>
        <v>0.0201251757760812</v>
      </c>
      <c r="AP33" s="179" t="n">
        <f aca="false">AP13/AP$18</f>
        <v>0.019348256091697</v>
      </c>
      <c r="AQ33" s="118" t="n">
        <f aca="false">AQ13/AQ$18</f>
        <v>0.0192620175803101</v>
      </c>
    </row>
    <row r="34" customFormat="false" ht="12.8" hidden="false" customHeight="false" outlineLevel="0" collapsed="false">
      <c r="A34" s="139" t="s">
        <v>187</v>
      </c>
      <c r="B34" s="118"/>
      <c r="C34" s="118"/>
      <c r="D34" s="117"/>
      <c r="E34" s="79"/>
      <c r="F34" s="117"/>
      <c r="G34" s="79"/>
      <c r="H34" s="117"/>
      <c r="I34" s="176"/>
      <c r="J34" s="177"/>
      <c r="K34" s="79"/>
      <c r="L34" s="117"/>
      <c r="M34" s="79"/>
      <c r="N34" s="79"/>
      <c r="O34" s="117"/>
      <c r="P34" s="178"/>
      <c r="Q34" s="177"/>
      <c r="R34" s="117"/>
      <c r="S34" s="79"/>
      <c r="T34" s="117"/>
      <c r="U34" s="117"/>
      <c r="V34" s="79"/>
      <c r="W34" s="79"/>
      <c r="X34" s="176"/>
      <c r="Y34" s="177"/>
      <c r="Z34" s="117"/>
      <c r="AA34" s="79"/>
      <c r="AB34" s="117"/>
      <c r="AC34" s="178"/>
      <c r="AD34" s="177"/>
      <c r="AE34" s="117"/>
      <c r="AF34" s="79"/>
      <c r="AG34" s="117"/>
      <c r="AH34" s="117"/>
      <c r="AI34" s="176"/>
      <c r="AJ34" s="177"/>
      <c r="AK34" s="117"/>
      <c r="AL34" s="117"/>
      <c r="AM34" s="117"/>
      <c r="AN34" s="178"/>
      <c r="AO34" s="177"/>
      <c r="AP34" s="179" t="n">
        <f aca="false">AP14/AP$18</f>
        <v>0.0184461051537734</v>
      </c>
      <c r="AQ34" s="118" t="n">
        <f aca="false">AQ14/AQ$18</f>
        <v>0.0177035540036748</v>
      </c>
    </row>
    <row r="35" customFormat="false" ht="12.8" hidden="false" customHeight="false" outlineLevel="0" collapsed="false">
      <c r="A35" s="139" t="s">
        <v>190</v>
      </c>
      <c r="B35" s="118"/>
      <c r="C35" s="118"/>
      <c r="D35" s="117"/>
      <c r="E35" s="79"/>
      <c r="F35" s="117"/>
      <c r="G35" s="79"/>
      <c r="H35" s="117"/>
      <c r="I35" s="176"/>
      <c r="J35" s="177"/>
      <c r="K35" s="79"/>
      <c r="L35" s="117"/>
      <c r="M35" s="79"/>
      <c r="N35" s="79"/>
      <c r="O35" s="117"/>
      <c r="P35" s="178"/>
      <c r="Q35" s="177"/>
      <c r="R35" s="117"/>
      <c r="S35" s="79"/>
      <c r="T35" s="117"/>
      <c r="U35" s="117"/>
      <c r="V35" s="79"/>
      <c r="W35" s="79"/>
      <c r="X35" s="176"/>
      <c r="Y35" s="177"/>
      <c r="Z35" s="117"/>
      <c r="AA35" s="79"/>
      <c r="AB35" s="117"/>
      <c r="AC35" s="178"/>
      <c r="AD35" s="177"/>
      <c r="AE35" s="117"/>
      <c r="AF35" s="79"/>
      <c r="AG35" s="117"/>
      <c r="AH35" s="117"/>
      <c r="AI35" s="176"/>
      <c r="AJ35" s="177"/>
      <c r="AK35" s="117"/>
      <c r="AL35" s="117"/>
      <c r="AM35" s="117"/>
      <c r="AN35" s="178"/>
      <c r="AO35" s="177" t="n">
        <f aca="false">AO15/AO$18</f>
        <v>0.0163496843098106</v>
      </c>
      <c r="AP35" s="179"/>
      <c r="AQ35" s="118"/>
    </row>
    <row r="36" customFormat="false" ht="12.8" hidden="false" customHeight="false" outlineLevel="0" collapsed="false">
      <c r="B36" s="39"/>
      <c r="K36" s="40"/>
    </row>
    <row r="37" customFormat="false" ht="12.8" hidden="false" customHeight="false" outlineLevel="0" collapsed="false">
      <c r="A37" s="1" t="s">
        <v>213</v>
      </c>
      <c r="B37" s="65" t="n">
        <f aca="false">B20</f>
        <v>2216.23792496177</v>
      </c>
      <c r="C37" s="65" t="n">
        <f aca="false">C20</f>
        <v>2158.74343574608</v>
      </c>
      <c r="D37" s="53" t="n">
        <f aca="false">D20</f>
        <v>2211.74420443664</v>
      </c>
      <c r="E37" s="94" t="n">
        <f aca="false">E20</f>
        <v>2132.1255636794</v>
      </c>
      <c r="F37" s="53" t="n">
        <f aca="false">F20</f>
        <v>2033.66179080457</v>
      </c>
      <c r="G37" s="94" t="n">
        <f aca="false">G20</f>
        <v>1878.1380748435</v>
      </c>
      <c r="H37" s="53" t="n">
        <f aca="false">H20</f>
        <v>1891.44356916948</v>
      </c>
      <c r="I37" s="66" t="n">
        <f aca="false">I20</f>
        <v>1786.21791768807</v>
      </c>
      <c r="J37" s="67" t="n">
        <f aca="false">J20</f>
        <v>1588.47620755325</v>
      </c>
      <c r="K37" s="94" t="n">
        <f aca="false">K20</f>
        <v>1584.8539228282</v>
      </c>
      <c r="L37" s="53" t="n">
        <f aca="false">L20</f>
        <v>1544.32390293204</v>
      </c>
      <c r="M37" s="94" t="n">
        <f aca="false">M20</f>
        <v>1542.97401297869</v>
      </c>
      <c r="N37" s="94" t="n">
        <f aca="false">N20</f>
        <v>1537.04718235714</v>
      </c>
      <c r="O37" s="53" t="n">
        <f aca="false">O20</f>
        <v>1524.39204149412</v>
      </c>
      <c r="P37" s="68" t="n">
        <f aca="false">P20</f>
        <v>1526.01162900482</v>
      </c>
      <c r="Q37" s="67" t="n">
        <f aca="false">Q20</f>
        <v>1448.60245707112</v>
      </c>
      <c r="R37" s="53" t="n">
        <f aca="false">R20</f>
        <v>1386.70086748514</v>
      </c>
      <c r="S37" s="94" t="n">
        <f aca="false">S20</f>
        <v>1456.55058843393</v>
      </c>
      <c r="T37" s="53" t="n">
        <f aca="false">T20</f>
        <v>1479.81565977562</v>
      </c>
      <c r="U37" s="53" t="n">
        <f aca="false">U20</f>
        <v>1562.7260729015</v>
      </c>
      <c r="V37" s="94" t="n">
        <f aca="false">V20</f>
        <v>1523.05543404351</v>
      </c>
      <c r="W37" s="94" t="n">
        <f aca="false">W20</f>
        <v>1456.68323299085</v>
      </c>
      <c r="X37" s="66" t="n">
        <f aca="false">X20</f>
        <v>1562.65497412156</v>
      </c>
      <c r="Y37" s="67" t="n">
        <f aca="false">Y20</f>
        <v>1485.27350460215</v>
      </c>
      <c r="Z37" s="53" t="n">
        <f aca="false">Z20</f>
        <v>1387.5089758925</v>
      </c>
      <c r="AA37" s="94" t="n">
        <f aca="false">AA20</f>
        <v>1442.56590413249</v>
      </c>
      <c r="AB37" s="53" t="n">
        <f aca="false">AB20</f>
        <v>1291.75009395494</v>
      </c>
      <c r="AC37" s="68" t="n">
        <f aca="false">AC20</f>
        <v>1214.98292863787</v>
      </c>
      <c r="AD37" s="67" t="n">
        <f aca="false">AD20</f>
        <v>1147.91445477434</v>
      </c>
      <c r="AE37" s="53" t="n">
        <f aca="false">AE20</f>
        <v>1137.09762565566</v>
      </c>
      <c r="AF37" s="94" t="n">
        <f aca="false">AF20</f>
        <v>1156.02576880072</v>
      </c>
      <c r="AG37" s="53" t="n">
        <f aca="false">AG20</f>
        <v>1086.07970695682</v>
      </c>
      <c r="AH37" s="53" t="n">
        <f aca="false">AH20</f>
        <v>942.308767803262</v>
      </c>
      <c r="AI37" s="66" t="n">
        <f aca="false">AI20</f>
        <v>1174.77816910208</v>
      </c>
      <c r="AJ37" s="67" t="n">
        <f aca="false">AJ20</f>
        <v>1130.45830835129</v>
      </c>
      <c r="AK37" s="53" t="n">
        <f aca="false">AK20</f>
        <v>1086.53707918444</v>
      </c>
      <c r="AL37" s="53" t="n">
        <f aca="false">AL20</f>
        <v>1060.30138968193</v>
      </c>
      <c r="AM37" s="53" t="n">
        <f aca="false">AM20</f>
        <v>1001.13234218746</v>
      </c>
      <c r="AN37" s="68" t="n">
        <f aca="false">AN20</f>
        <v>1032.72512704403</v>
      </c>
      <c r="AO37" s="67" t="n">
        <f aca="false">AO20</f>
        <v>1023.37286583694</v>
      </c>
      <c r="AP37" s="73" t="n">
        <f aca="false">AP20</f>
        <v>1007.5505004377</v>
      </c>
      <c r="AQ37" s="72" t="n">
        <f aca="false">AQ20</f>
        <v>1000</v>
      </c>
    </row>
    <row r="38" customFormat="false" ht="12.8" hidden="false" customHeight="false" outlineLevel="0" collapsed="false">
      <c r="A38" s="1" t="s">
        <v>214</v>
      </c>
      <c r="B38" s="118" t="n">
        <f aca="false">B37/C37-1</f>
        <v>0.0266333128169143</v>
      </c>
      <c r="C38" s="118" t="n">
        <f aca="false">C37/D37-1</f>
        <v>-0.0239633356263524</v>
      </c>
      <c r="D38" s="117" t="n">
        <f aca="false">D37/E37-1</f>
        <v>0.0373423789450016</v>
      </c>
      <c r="E38" s="79" t="n">
        <f aca="false">E37/F37-1</f>
        <v>0.0484169852234231</v>
      </c>
      <c r="F38" s="117" t="n">
        <f aca="false">F37/G37-1</f>
        <v>0.0828073920891181</v>
      </c>
      <c r="G38" s="79" t="n">
        <f aca="false">G37/H37-1</f>
        <v>-0.00703457113014638</v>
      </c>
      <c r="H38" s="117" t="n">
        <f aca="false">H37/I37-1</f>
        <v>0.0589097502826561</v>
      </c>
      <c r="I38" s="176" t="n">
        <f aca="false">I37/J37-1</f>
        <v>0.124485157029459</v>
      </c>
      <c r="J38" s="177" t="n">
        <f aca="false">J37/L37-1</f>
        <v>0.0285900545457971</v>
      </c>
      <c r="K38" s="79" t="n">
        <f aca="false">K37/L37-1</f>
        <v>0.0262445072689776</v>
      </c>
      <c r="L38" s="117" t="n">
        <f aca="false">L37/M37-1</f>
        <v>0.00087486240338297</v>
      </c>
      <c r="M38" s="79" t="n">
        <f aca="false">M37/N37-1</f>
        <v>0.0038559848322024</v>
      </c>
      <c r="N38" s="79" t="n">
        <f aca="false">N37/O37-1</f>
        <v>0.00830176261653959</v>
      </c>
      <c r="O38" s="117" t="n">
        <f aca="false">O37/P37-1</f>
        <v>-0.00106132055609531</v>
      </c>
      <c r="P38" s="178" t="n">
        <f aca="false">P37/Q37-1</f>
        <v>0.0534371397451674</v>
      </c>
      <c r="Q38" s="177" t="n">
        <f aca="false">Q37/R37-1</f>
        <v>0.0446394684228071</v>
      </c>
      <c r="R38" s="117" t="n">
        <f aca="false">R37/S37-1</f>
        <v>-0.0479555749751857</v>
      </c>
      <c r="S38" s="79" t="n">
        <f aca="false">S37/T37-1</f>
        <v>-0.0157216009899596</v>
      </c>
      <c r="T38" s="117" t="n">
        <f aca="false">T37/U37-1</f>
        <v>-0.0530549880517083</v>
      </c>
      <c r="U38" s="117" t="n">
        <f aca="false">U37/V37-1</f>
        <v>0.0260467465407119</v>
      </c>
      <c r="V38" s="79" t="n">
        <f aca="false">V37/W37-1</f>
        <v>0.0455639218942514</v>
      </c>
      <c r="W38" s="79" t="n">
        <f aca="false">W37/X37-1</f>
        <v>-0.0678151881801525</v>
      </c>
      <c r="X38" s="176" t="n">
        <f aca="false">X37/Y37-1</f>
        <v>0.0520991381584881</v>
      </c>
      <c r="Y38" s="177" t="n">
        <f aca="false">Y37/Z37-1</f>
        <v>0.0704604657759118</v>
      </c>
      <c r="Z38" s="117" t="n">
        <f aca="false">Z37/AA37-1</f>
        <v>-0.0381659708456101</v>
      </c>
      <c r="AA38" s="79" t="n">
        <f aca="false">AA37/AB37-1</f>
        <v>0.116753086284517</v>
      </c>
      <c r="AB38" s="117" t="n">
        <f aca="false">AB37/AC37-1</f>
        <v>0.0631837398761912</v>
      </c>
      <c r="AC38" s="178" t="n">
        <f aca="false">AC37/AD37-1</f>
        <v>0.0584263693035569</v>
      </c>
      <c r="AD38" s="177" t="n">
        <f aca="false">AD37/AE37-1</f>
        <v>0.00951266529330597</v>
      </c>
      <c r="AE38" s="117" t="n">
        <f aca="false">AE37/AF37-1</f>
        <v>-0.0163734612634943</v>
      </c>
      <c r="AF38" s="79" t="n">
        <f aca="false">AF37/AG37-1</f>
        <v>0.0644023282967758</v>
      </c>
      <c r="AG38" s="117" t="n">
        <f aca="false">AG37/AH37-1</f>
        <v>0.152573067412629</v>
      </c>
      <c r="AH38" s="117" t="n">
        <f aca="false">AH37/AI37-1</f>
        <v>-0.197883657879426</v>
      </c>
      <c r="AI38" s="176" t="n">
        <f aca="false">AI37/AJ37-1</f>
        <v>0.0392052147552668</v>
      </c>
      <c r="AJ38" s="177" t="n">
        <f aca="false">AJ37/AK37-1</f>
        <v>0.0404231295997917</v>
      </c>
      <c r="AK38" s="117" t="n">
        <f aca="false">AK37/AM37-1</f>
        <v>0.0853081389922641</v>
      </c>
      <c r="AL38" s="117" t="n">
        <f aca="false">AL37/AM37-1</f>
        <v>0.0591021236664746</v>
      </c>
      <c r="AM38" s="117" t="n">
        <f aca="false">AM37/AN37-1</f>
        <v>-0.0305916686146708</v>
      </c>
      <c r="AN38" s="178" t="n">
        <f aca="false">AN37/AO37-1</f>
        <v>0.00913866442945865</v>
      </c>
      <c r="AO38" s="177" t="n">
        <f aca="false">AO37/AP37-1</f>
        <v>0.0157037938965456</v>
      </c>
      <c r="AP38" s="177" t="n">
        <f aca="false">AP37/AQ37-1</f>
        <v>0.00755050043770034</v>
      </c>
    </row>
    <row r="39" customFormat="false" ht="12.8" hidden="false" customHeight="false" outlineLevel="0" collapsed="false">
      <c r="B39" s="39"/>
      <c r="K39" s="40"/>
    </row>
    <row r="40" customFormat="false" ht="12.8" hidden="false" customHeight="false" outlineLevel="0" collapsed="false">
      <c r="A40" s="1" t="s">
        <v>205</v>
      </c>
      <c r="B40" s="39"/>
      <c r="K40" s="40"/>
    </row>
    <row r="41" customFormat="false" ht="12.8" hidden="false" customHeight="false" outlineLevel="0" collapsed="false">
      <c r="A41" s="139" t="s">
        <v>24</v>
      </c>
      <c r="B41" s="65" t="n">
        <f aca="false">B22*Ratio!B3</f>
        <v>1.40206051230909</v>
      </c>
      <c r="C41" s="65" t="n">
        <f aca="false">C22*Ratio!C3</f>
        <v>1.37823616305593</v>
      </c>
      <c r="D41" s="63" t="n">
        <f aca="false">D22*Ratio!D3</f>
        <v>1.45251240901167</v>
      </c>
      <c r="E41" s="65" t="n">
        <f aca="false">E22*Ratio!E3</f>
        <v>1.41081395228576</v>
      </c>
      <c r="F41" s="63" t="n">
        <f aca="false">F22*Ratio!F3</f>
        <v>1.26149738829443</v>
      </c>
      <c r="G41" s="65" t="n">
        <f aca="false">G22*Ratio!G3</f>
        <v>0.922788546481091</v>
      </c>
      <c r="H41" s="63" t="n">
        <f aca="false">H22*Ratio!H3</f>
        <v>0.919916152503539</v>
      </c>
      <c r="I41" s="66" t="n">
        <f aca="false">I22*Ratio!I3</f>
        <v>1.09298347979586</v>
      </c>
      <c r="J41" s="67" t="n">
        <f aca="false">J22*Ratio!J3</f>
        <v>0.87169461184273</v>
      </c>
      <c r="K41" s="65" t="n">
        <f aca="false">K22*Ratio!K3</f>
        <v>0.73094108093494</v>
      </c>
      <c r="L41" s="63" t="n">
        <f aca="false">L22*Ratio!L3</f>
        <v>0.692224210722016</v>
      </c>
      <c r="M41" s="65" t="n">
        <f aca="false">M22*Ratio!M3</f>
        <v>0.686977121471228</v>
      </c>
      <c r="N41" s="65" t="n">
        <f aca="false">N22*Ratio!N3</f>
        <v>0.678770670226371</v>
      </c>
      <c r="O41" s="63" t="n">
        <f aca="false">O22*Ratio!O3</f>
        <v>0.62929453013285</v>
      </c>
      <c r="P41" s="68" t="n">
        <f aca="false">P22*Ratio!P3</f>
        <v>0.696361635868814</v>
      </c>
      <c r="Q41" s="67" t="n">
        <f aca="false">Q22*Ratio!Q3</f>
        <v>0.664481523042486</v>
      </c>
      <c r="R41" s="63" t="n">
        <f aca="false">R22*Ratio!R3</f>
        <v>0.618121199626984</v>
      </c>
      <c r="S41" s="65" t="n">
        <f aca="false">S22*Ratio!S3</f>
        <v>0.62678728698058</v>
      </c>
      <c r="T41" s="63" t="n">
        <f aca="false">T22*Ratio!T3</f>
        <v>0.642384928596849</v>
      </c>
      <c r="U41" s="63" t="n">
        <f aca="false">U22*Ratio!U3</f>
        <v>0.70301781088545</v>
      </c>
      <c r="V41" s="65" t="n">
        <f aca="false">V22*Ratio!V3</f>
        <v>0.690676091390433</v>
      </c>
      <c r="W41" s="65" t="n">
        <f aca="false">W22*Ratio!W3</f>
        <v>0.608165797590995</v>
      </c>
      <c r="X41" s="66" t="n">
        <f aca="false">X22*Ratio!X3</f>
        <v>0.699888863886059</v>
      </c>
      <c r="Y41" s="67" t="n">
        <f aca="false">Y22*Ratio!Y3</f>
        <v>0.64731394819698</v>
      </c>
      <c r="Z41" s="63" t="n">
        <f aca="false">Z22*Ratio!Z3</f>
        <v>0.524955036581675</v>
      </c>
      <c r="AA41" s="65" t="n">
        <f aca="false">AA22*Ratio!AA3</f>
        <v>0.551727052146736</v>
      </c>
      <c r="AB41" s="63" t="n">
        <f aca="false">AB22*Ratio!AB3</f>
        <v>0.423471814016876</v>
      </c>
      <c r="AC41" s="68" t="n">
        <f aca="false">AC22*Ratio!AC3</f>
        <v>0.371867829837713</v>
      </c>
      <c r="AD41" s="67" t="n">
        <f aca="false">AD22*Ratio!AD3</f>
        <v>0.382040513809199</v>
      </c>
      <c r="AE41" s="63" t="n">
        <f aca="false">AE22*Ratio!AE3</f>
        <v>0.352599571452476</v>
      </c>
      <c r="AF41" s="65" t="n">
        <f aca="false">AF22*Ratio!AF3</f>
        <v>0.367192517809218</v>
      </c>
      <c r="AG41" s="63" t="n">
        <f aca="false">AG22*Ratio!AG3</f>
        <v>0.264811161220788</v>
      </c>
      <c r="AH41" s="63" t="n">
        <f aca="false">AH22*Ratio!AH3</f>
        <v>0.294085345483516</v>
      </c>
      <c r="AI41" s="66" t="n">
        <f aca="false">AI22*Ratio!AI3</f>
        <v>0.393950062523364</v>
      </c>
      <c r="AJ41" s="67" t="n">
        <f aca="false">AJ22*Ratio!AJ3</f>
        <v>0.290993406580614</v>
      </c>
      <c r="AK41" s="63" t="n">
        <f aca="false">AK22*Ratio!AK3</f>
        <v>0.221474405097533</v>
      </c>
      <c r="AL41" s="63" t="n">
        <f aca="false">AL22*Ratio!AL3</f>
        <v>0.217416332150331</v>
      </c>
      <c r="AM41" s="63" t="n">
        <f aca="false">AM22*Ratio!AM3</f>
        <v>0.215349144589605</v>
      </c>
      <c r="AN41" s="68" t="n">
        <f aca="false">AN22*Ratio!AN3</f>
        <v>0.238120615195199</v>
      </c>
      <c r="AO41" s="67" t="n">
        <f aca="false">AO22*Ratio!AO3</f>
        <v>0.196686453372546</v>
      </c>
      <c r="AP41" s="63" t="n">
        <f aca="false">AP22*Ratio!AP3</f>
        <v>0.210069979982028</v>
      </c>
      <c r="AQ41" s="65" t="n">
        <f aca="false">AQ22*Ratio!AQ3</f>
        <v>0.206480078696067</v>
      </c>
    </row>
    <row r="42" customFormat="false" ht="12.8" hidden="false" customHeight="false" outlineLevel="0" collapsed="false">
      <c r="A42" s="139" t="s">
        <v>180</v>
      </c>
      <c r="B42" s="65" t="n">
        <f aca="false">B23*Ratio!B4</f>
        <v>0.522431988365909</v>
      </c>
      <c r="C42" s="65" t="n">
        <f aca="false">C23*Ratio!C4</f>
        <v>0.544140355856683</v>
      </c>
      <c r="D42" s="63" t="n">
        <f aca="false">D23*Ratio!D4</f>
        <v>0.550360902195956</v>
      </c>
      <c r="E42" s="65" t="n">
        <f aca="false">E23*Ratio!E4</f>
        <v>0.577863733323258</v>
      </c>
      <c r="F42" s="63" t="n">
        <f aca="false">F23*Ratio!F4</f>
        <v>0.607422530897908</v>
      </c>
      <c r="G42" s="65" t="n">
        <f aca="false">G23*Ratio!G4</f>
        <v>0.651746949897857</v>
      </c>
      <c r="H42" s="63" t="n">
        <f aca="false">H23*Ratio!H4</f>
        <v>0.653889372791526</v>
      </c>
      <c r="I42" s="66" t="n">
        <f aca="false">I23*Ratio!I4</f>
        <v>0.690930990182726</v>
      </c>
      <c r="J42" s="67" t="n">
        <f aca="false">J23*Ratio!J4</f>
        <v>0.634721938489755</v>
      </c>
      <c r="K42" s="65" t="n">
        <f aca="false">K23*Ratio!K4</f>
        <v>0.732865027635202</v>
      </c>
      <c r="L42" s="63" t="n">
        <f aca="false">L23*Ratio!L4</f>
        <v>0.710255378392941</v>
      </c>
      <c r="M42" s="65" t="n">
        <f aca="false">M23*Ratio!M4</f>
        <v>0.710627646778434</v>
      </c>
      <c r="N42" s="65" t="n">
        <f aca="false">N23*Ratio!N4</f>
        <v>0.713213409984963</v>
      </c>
      <c r="O42" s="63" t="n">
        <f aca="false">O23*Ratio!O4</f>
        <v>0.743070775280939</v>
      </c>
      <c r="P42" s="68" t="n">
        <f aca="false">P23*Ratio!P4</f>
        <v>0.706618410162623</v>
      </c>
      <c r="Q42" s="67" t="n">
        <f aca="false">Q23*Ratio!Q4</f>
        <v>0.661833398105696</v>
      </c>
      <c r="R42" s="63" t="n">
        <f aca="false">R23*Ratio!R4</f>
        <v>0.628104717567372</v>
      </c>
      <c r="S42" s="65" t="n">
        <f aca="false">S23*Ratio!S4</f>
        <v>0.667651561161027</v>
      </c>
      <c r="T42" s="63" t="n">
        <f aca="false">T23*Ratio!T4</f>
        <v>0.66668279698224</v>
      </c>
      <c r="U42" s="63" t="n">
        <f aca="false">U23*Ratio!U4</f>
        <v>0.590224541933832</v>
      </c>
      <c r="V42" s="65" t="n">
        <f aca="false">V23*Ratio!V4</f>
        <v>0.603725857238056</v>
      </c>
      <c r="W42" s="65" t="n">
        <f aca="false">W23*Ratio!W4</f>
        <v>0.596970309148881</v>
      </c>
      <c r="X42" s="66" t="n">
        <f aca="false">X23*Ratio!X4</f>
        <v>0.604721629874489</v>
      </c>
      <c r="Y42" s="67" t="n">
        <f aca="false">Y23*Ratio!Y4</f>
        <v>0.560925724754058</v>
      </c>
      <c r="Z42" s="63" t="n">
        <f aca="false">Z23*Ratio!Z4</f>
        <v>0.564444563192853</v>
      </c>
      <c r="AA42" s="65" t="n">
        <f aca="false">AA23*Ratio!AA4</f>
        <v>0.611495263508799</v>
      </c>
      <c r="AB42" s="63" t="n">
        <f aca="false">AB23*Ratio!AB4</f>
        <v>0.663035247391566</v>
      </c>
      <c r="AC42" s="68" t="n">
        <f aca="false">AC23*Ratio!AC4</f>
        <v>0.637447271931075</v>
      </c>
      <c r="AD42" s="67" t="n">
        <f aca="false">AD23*Ratio!AD4</f>
        <v>0.618484084069283</v>
      </c>
      <c r="AE42" s="63" t="n">
        <f aca="false">AE23*Ratio!AE4</f>
        <v>0.653080312723145</v>
      </c>
      <c r="AF42" s="65" t="n">
        <f aca="false">AF23*Ratio!AF4</f>
        <v>0.654062445977966</v>
      </c>
      <c r="AG42" s="63" t="n">
        <f aca="false">AG23*Ratio!AG4</f>
        <v>0.695410807393944</v>
      </c>
      <c r="AH42" s="63" t="n">
        <f aca="false">AH23*Ratio!AH4</f>
        <v>0.582421977477946</v>
      </c>
      <c r="AI42" s="66" t="n">
        <f aca="false">AI23*Ratio!AI4</f>
        <v>0.641624498095336</v>
      </c>
      <c r="AJ42" s="67" t="n">
        <f aca="false">AJ23*Ratio!AJ4</f>
        <v>0.671167793449731</v>
      </c>
      <c r="AK42" s="63" t="n">
        <f aca="false">AK23*Ratio!AK4</f>
        <v>0.659467833420229</v>
      </c>
      <c r="AL42" s="63" t="n">
        <f aca="false">AL23*Ratio!AL4</f>
        <v>0.642150407006126</v>
      </c>
      <c r="AM42" s="63" t="n">
        <f aca="false">AM23*Ratio!AM4</f>
        <v>0.655479358756127</v>
      </c>
      <c r="AN42" s="68" t="n">
        <f aca="false">AN23*Ratio!AN4</f>
        <v>0.657483497222132</v>
      </c>
      <c r="AO42" s="67" t="n">
        <f aca="false">AO23*Ratio!AO4</f>
        <v>0.669553262830028</v>
      </c>
      <c r="AP42" s="63" t="n">
        <f aca="false">AP23*Ratio!AP4</f>
        <v>0.65048231281425</v>
      </c>
      <c r="AQ42" s="65" t="n">
        <f aca="false">AQ23*Ratio!AQ4</f>
        <v>0.65626476223196</v>
      </c>
    </row>
    <row r="43" customFormat="false" ht="12.8" hidden="false" customHeight="false" outlineLevel="0" collapsed="false">
      <c r="A43" s="139" t="s">
        <v>181</v>
      </c>
      <c r="B43" s="65" t="n">
        <f aca="false">B24*Ratio!B5</f>
        <v>0.65506068506207</v>
      </c>
      <c r="C43" s="65" t="n">
        <f aca="false">C24*Ratio!C5</f>
        <v>0.636651962384321</v>
      </c>
      <c r="D43" s="63" t="n">
        <f aca="false">D24*Ratio!D5</f>
        <v>0.650937650950414</v>
      </c>
      <c r="E43" s="65" t="n">
        <f aca="false">E24*Ratio!E5</f>
        <v>0.626885625727168</v>
      </c>
      <c r="F43" s="63" t="n">
        <f aca="false">F24*Ratio!F5</f>
        <v>0.574195036157122</v>
      </c>
      <c r="G43" s="65" t="n">
        <f aca="false">G24*Ratio!G5</f>
        <v>0.674332764311807</v>
      </c>
      <c r="H43" s="63" t="n">
        <f aca="false">H24*Ratio!H5</f>
        <v>0.717378282829626</v>
      </c>
      <c r="I43" s="66" t="n">
        <f aca="false">I24*Ratio!I5</f>
        <v>0.634360409342143</v>
      </c>
      <c r="J43" s="67" t="n">
        <f aca="false">J24*Ratio!J5</f>
        <v>0.551615883701065</v>
      </c>
      <c r="K43" s="65" t="n">
        <f aca="false">K24*Ratio!K5</f>
        <v>0.526832414848482</v>
      </c>
      <c r="L43" s="63" t="n">
        <f aca="false">L24*Ratio!L5</f>
        <v>0.525718484107269</v>
      </c>
      <c r="M43" s="65" t="n">
        <f aca="false">M24*Ratio!M5</f>
        <v>0.525501952334135</v>
      </c>
      <c r="N43" s="65" t="n">
        <f aca="false">N24*Ratio!N5</f>
        <v>0.52323731721623</v>
      </c>
      <c r="O43" s="63" t="n">
        <f aca="false">O24*Ratio!O5</f>
        <v>0.511869610706537</v>
      </c>
      <c r="P43" s="68" t="n">
        <f aca="false">P24*Ratio!P5</f>
        <v>0.532324872156675</v>
      </c>
      <c r="Q43" s="67" t="n">
        <f aca="false">Q24*Ratio!Q5</f>
        <v>0.473629105469579</v>
      </c>
      <c r="R43" s="63" t="n">
        <f aca="false">R24*Ratio!R5</f>
        <v>0.43872872333136</v>
      </c>
      <c r="S43" s="65" t="n">
        <f aca="false">S24*Ratio!S5</f>
        <v>0.486894750192149</v>
      </c>
      <c r="T43" s="63" t="n">
        <f aca="false">T24*Ratio!T5</f>
        <v>0.469921068136524</v>
      </c>
      <c r="U43" s="63" t="n">
        <f aca="false">U24*Ratio!U5</f>
        <v>0.615989444748424</v>
      </c>
      <c r="V43" s="65" t="n">
        <f aca="false">V24*Ratio!V5</f>
        <v>0.608430282244158</v>
      </c>
      <c r="W43" s="65" t="n">
        <f aca="false">W24*Ratio!W5</f>
        <v>0.563892826591806</v>
      </c>
      <c r="X43" s="66" t="n">
        <f aca="false">X24*Ratio!X5</f>
        <v>0.627541319227205</v>
      </c>
      <c r="Y43" s="67" t="n">
        <f aca="false">Y24*Ratio!Y5</f>
        <v>0.676049004048998</v>
      </c>
      <c r="Z43" s="63" t="n">
        <f aca="false">Z24*Ratio!Z5</f>
        <v>0.594525193783427</v>
      </c>
      <c r="AA43" s="65" t="n">
        <f aca="false">AA24*Ratio!AA5</f>
        <v>0.628365104904033</v>
      </c>
      <c r="AB43" s="63" t="n">
        <f aca="false">AB24*Ratio!AB5</f>
        <v>0.499590359154242</v>
      </c>
      <c r="AC43" s="68" t="n">
        <f aca="false">AC24*Ratio!AC5</f>
        <v>0.411799346865189</v>
      </c>
      <c r="AD43" s="67" t="n">
        <f aca="false">AD24*Ratio!AD5</f>
        <v>0.395577322492333</v>
      </c>
      <c r="AE43" s="63" t="n">
        <f aca="false">AE24*Ratio!AE5</f>
        <v>0.368137089377714</v>
      </c>
      <c r="AF43" s="65" t="n">
        <f aca="false">AF24*Ratio!AF5</f>
        <v>0.371458012302939</v>
      </c>
      <c r="AG43" s="63" t="n">
        <f aca="false">AG24*Ratio!AG5</f>
        <v>0.340113242710104</v>
      </c>
      <c r="AH43" s="63" t="n">
        <f aca="false">AH24*Ratio!AH5</f>
        <v>0.256025802859483</v>
      </c>
      <c r="AI43" s="66" t="n">
        <f aca="false">AI24*Ratio!AI5</f>
        <v>0.358818196135453</v>
      </c>
      <c r="AJ43" s="67" t="n">
        <f aca="false">AJ24*Ratio!AJ5</f>
        <v>0.316532262110595</v>
      </c>
      <c r="AK43" s="63" t="n">
        <f aca="false">AK24*Ratio!AK5</f>
        <v>0.307501723410351</v>
      </c>
      <c r="AL43" s="63" t="n">
        <f aca="false">AL24*Ratio!AL5</f>
        <v>0.285785473139168</v>
      </c>
      <c r="AM43" s="63" t="n">
        <f aca="false">AM24*Ratio!AM5</f>
        <v>0.253790063937613</v>
      </c>
      <c r="AN43" s="68" t="n">
        <f aca="false">AN24*Ratio!AN5</f>
        <v>0.247492318024711</v>
      </c>
      <c r="AO43" s="67" t="n">
        <f aca="false">AO24*Ratio!AO5</f>
        <v>0.227445836018359</v>
      </c>
      <c r="AP43" s="63" t="n">
        <f aca="false">AP24*Ratio!AP5</f>
        <v>0.231246862246069</v>
      </c>
      <c r="AQ43" s="65" t="n">
        <f aca="false">AQ24*Ratio!AQ5</f>
        <v>0.22330924707571</v>
      </c>
    </row>
    <row r="44" customFormat="false" ht="12.8" hidden="false" customHeight="false" outlineLevel="0" collapsed="false">
      <c r="A44" s="139" t="s">
        <v>30</v>
      </c>
      <c r="B44" s="65" t="n">
        <f aca="false">B25*Ratio!B6</f>
        <v>0.27064772122307</v>
      </c>
      <c r="C44" s="65" t="n">
        <f aca="false">C25*Ratio!C6</f>
        <v>0.249712819138588</v>
      </c>
      <c r="D44" s="63" t="n">
        <f aca="false">D25*Ratio!D6</f>
        <v>0.248961819589842</v>
      </c>
      <c r="E44" s="65" t="n">
        <f aca="false">E25*Ratio!E6</f>
        <v>0.223856944159107</v>
      </c>
      <c r="F44" s="63" t="n">
        <f aca="false">F25*Ratio!F6</f>
        <v>0.216571365221156</v>
      </c>
      <c r="G44" s="65" t="n">
        <f aca="false">G25*Ratio!G6</f>
        <v>0.22902251362807</v>
      </c>
      <c r="H44" s="63" t="n">
        <f aca="false">H25*Ratio!H6</f>
        <v>0.256199846174696</v>
      </c>
      <c r="I44" s="66" t="n">
        <f aca="false">I25*Ratio!I6</f>
        <v>0.250562421487546</v>
      </c>
      <c r="J44" s="67" t="n">
        <f aca="false">J25*Ratio!J6</f>
        <v>0.230992306303431</v>
      </c>
      <c r="K44" s="65" t="n">
        <f aca="false">K25*Ratio!K6</f>
        <v>0.230463408822701</v>
      </c>
      <c r="L44" s="63" t="n">
        <f aca="false">L25*Ratio!L6</f>
        <v>0.226864847011597</v>
      </c>
      <c r="M44" s="65" t="n">
        <f aca="false">M25*Ratio!M6</f>
        <v>0.226420311158745</v>
      </c>
      <c r="N44" s="65" t="n">
        <f aca="false">N25*Ratio!N6</f>
        <v>0.225819838087439</v>
      </c>
      <c r="O44" s="63" t="n">
        <f aca="false">O25*Ratio!O6</f>
        <v>0.227364668580203</v>
      </c>
      <c r="P44" s="68" t="n">
        <f aca="false">P25*Ratio!P6</f>
        <v>0.267573780175643</v>
      </c>
      <c r="Q44" s="67" t="n">
        <f aca="false">Q25*Ratio!Q6</f>
        <v>0.273138197944351</v>
      </c>
      <c r="R44" s="63" t="n">
        <f aca="false">R25*Ratio!R6</f>
        <v>0.264837310984688</v>
      </c>
      <c r="S44" s="65" t="n">
        <f aca="false">S25*Ratio!S6</f>
        <v>0.277699161985386</v>
      </c>
      <c r="T44" s="63" t="n">
        <f aca="false">T25*Ratio!T6</f>
        <v>0.263510831166017</v>
      </c>
      <c r="U44" s="63" t="n">
        <f aca="false">U25*Ratio!U6</f>
        <v>0.3056683024476</v>
      </c>
      <c r="V44" s="65" t="n">
        <f aca="false">V25*Ratio!V6</f>
        <v>0.286280438214977</v>
      </c>
      <c r="W44" s="65" t="n">
        <f aca="false">W25*Ratio!W6</f>
        <v>0.269818513393631</v>
      </c>
      <c r="X44" s="66" t="n">
        <f aca="false">X25*Ratio!X6</f>
        <v>0.308122710312986</v>
      </c>
      <c r="Y44" s="67" t="n">
        <f aca="false">Y25*Ratio!Y6</f>
        <v>0.296662327336054</v>
      </c>
      <c r="Z44" s="63" t="n">
        <f aca="false">Z25*Ratio!Z6</f>
        <v>0.279438660905166</v>
      </c>
      <c r="AA44" s="65" t="n">
        <f aca="false">AA25*Ratio!AA6</f>
        <v>0.292209334221961</v>
      </c>
      <c r="AB44" s="63" t="n">
        <f aca="false">AB25*Ratio!AB6</f>
        <v>0.253172583078408</v>
      </c>
      <c r="AC44" s="68" t="n">
        <f aca="false">AC25*Ratio!AC6</f>
        <v>0.270893659799898</v>
      </c>
      <c r="AD44" s="67" t="n">
        <f aca="false">AD25*Ratio!AD6</f>
        <v>0.251805936276834</v>
      </c>
      <c r="AE44" s="63" t="n">
        <f aca="false">AE25*Ratio!AE6</f>
        <v>0.244034718660289</v>
      </c>
      <c r="AF44" s="65" t="n">
        <f aca="false">AF25*Ratio!AF6</f>
        <v>0.258667095918875</v>
      </c>
      <c r="AG44" s="63" t="n">
        <f aca="false">AG25*Ratio!AG6</f>
        <v>0.228445876843516</v>
      </c>
      <c r="AH44" s="63" t="n">
        <f aca="false">AH25*Ratio!AH6</f>
        <v>0.20231005988085</v>
      </c>
      <c r="AI44" s="66" t="n">
        <f aca="false">AI25*Ratio!AI6</f>
        <v>0.298059198315036</v>
      </c>
      <c r="AJ44" s="67" t="n">
        <f aca="false">AJ25*Ratio!AJ6</f>
        <v>0.273650085663507</v>
      </c>
      <c r="AK44" s="63" t="n">
        <f aca="false">AK25*Ratio!AK6</f>
        <v>0.271069283350068</v>
      </c>
      <c r="AL44" s="63" t="n">
        <f aca="false">AL25*Ratio!AL6</f>
        <v>0.249919767817589</v>
      </c>
      <c r="AM44" s="63" t="n">
        <f aca="false">AM25*Ratio!AM6</f>
        <v>0.207280568540409</v>
      </c>
      <c r="AN44" s="68" t="n">
        <f aca="false">AN25*Ratio!AN6</f>
        <v>0.23700210822578</v>
      </c>
      <c r="AO44" s="67" t="n">
        <f aca="false">AO25*Ratio!AO6</f>
        <v>0.240674072417885</v>
      </c>
      <c r="AP44" s="63" t="n">
        <f aca="false">AP25*Ratio!AP6</f>
        <v>0.232748922588459</v>
      </c>
      <c r="AQ44" s="65" t="n">
        <f aca="false">AQ25*Ratio!AQ6</f>
        <v>0.224988784983386</v>
      </c>
    </row>
    <row r="45" customFormat="false" ht="12.8" hidden="false" customHeight="false" outlineLevel="0" collapsed="false">
      <c r="A45" s="139" t="s">
        <v>182</v>
      </c>
      <c r="B45" s="65" t="n">
        <f aca="false">B26*Ratio!B7</f>
        <v>0.335900830167804</v>
      </c>
      <c r="C45" s="65" t="n">
        <f aca="false">C26*Ratio!C7</f>
        <v>0.320895208739213</v>
      </c>
      <c r="D45" s="63" t="n">
        <f aca="false">D26*Ratio!D7</f>
        <v>0.31579738649278</v>
      </c>
      <c r="E45" s="65" t="n">
        <f aca="false">E26*Ratio!E7</f>
        <v>0.286524610844074</v>
      </c>
      <c r="F45" s="63" t="n">
        <f aca="false">F26*Ratio!F7</f>
        <v>0.297927161025272</v>
      </c>
      <c r="G45" s="65" t="n">
        <f aca="false">G26*Ratio!G7</f>
        <v>0.346083657955136</v>
      </c>
      <c r="H45" s="63" t="n">
        <f aca="false">H26*Ratio!H7</f>
        <v>0.329797434672902</v>
      </c>
      <c r="I45" s="66" t="n">
        <f aca="false">I26*Ratio!I7</f>
        <v>0.31710066864759</v>
      </c>
      <c r="J45" s="67" t="n">
        <f aca="false">J26*Ratio!J7</f>
        <v>0.3248013573449</v>
      </c>
      <c r="K45" s="65" t="n">
        <f aca="false">K26*Ratio!K7</f>
        <v>0.316101777578289</v>
      </c>
      <c r="L45" s="63" t="n">
        <f aca="false">L26*Ratio!L7</f>
        <v>0.313178889223308</v>
      </c>
      <c r="M45" s="65" t="n">
        <f aca="false">M26*Ratio!M7</f>
        <v>0.313874617998762</v>
      </c>
      <c r="N45" s="65" t="n">
        <f aca="false">N26*Ratio!N7</f>
        <v>0.313392751397156</v>
      </c>
      <c r="O45" s="63" t="n">
        <f aca="false">O26*Ratio!O7</f>
        <v>0.312500819798576</v>
      </c>
      <c r="P45" s="68" t="n">
        <f aca="false">P26*Ratio!P7</f>
        <v>0.366776474203004</v>
      </c>
      <c r="Q45" s="67" t="n">
        <f aca="false">Q26*Ratio!Q7</f>
        <v>0.379798867858368</v>
      </c>
      <c r="R45" s="63" t="n">
        <f aca="false">R26*Ratio!R7</f>
        <v>0.38640033210281</v>
      </c>
      <c r="S45" s="65" t="n">
        <f aca="false">S26*Ratio!S7</f>
        <v>0.382163523881041</v>
      </c>
      <c r="T45" s="63" t="n">
        <f aca="false">T26*Ratio!T7</f>
        <v>0.452908935216553</v>
      </c>
      <c r="U45" s="63" t="n">
        <f aca="false">U26*Ratio!U7</f>
        <v>0.572545341755835</v>
      </c>
      <c r="V45" s="65" t="n">
        <f aca="false">V26*Ratio!V7</f>
        <v>0.535666265198049</v>
      </c>
      <c r="W45" s="65" t="n">
        <f aca="false">W26*Ratio!W7</f>
        <v>0.537395433489937</v>
      </c>
      <c r="X45" s="66" t="n">
        <f aca="false">X26*Ratio!X7</f>
        <v>0.555336778033611</v>
      </c>
      <c r="Y45" s="67" t="n">
        <f aca="false">Y26*Ratio!Y7</f>
        <v>0.46445038490752</v>
      </c>
      <c r="Z45" s="63" t="n">
        <f aca="false">Z26*Ratio!Z7</f>
        <v>0.47130034809994</v>
      </c>
      <c r="AA45" s="65" t="n">
        <f aca="false">AA26*Ratio!AA7</f>
        <v>0.449105374005937</v>
      </c>
      <c r="AB45" s="63" t="n">
        <f aca="false">AB26*Ratio!AB7</f>
        <v>0.389534633389046</v>
      </c>
      <c r="AC45" s="68" t="n">
        <f aca="false">AC26*Ratio!AC7</f>
        <v>0.394900876071382</v>
      </c>
      <c r="AD45" s="67" t="n">
        <f aca="false">AD26*Ratio!AD7</f>
        <v>0.356205956783143</v>
      </c>
      <c r="AE45" s="63" t="n">
        <f aca="false">AE26*Ratio!AE7</f>
        <v>0.350708207681223</v>
      </c>
      <c r="AF45" s="65" t="n">
        <f aca="false">AF26*Ratio!AF7</f>
        <v>0.362033330320217</v>
      </c>
      <c r="AG45" s="63" t="n">
        <f aca="false">AG26*Ratio!AG7</f>
        <v>0.337805617266107</v>
      </c>
      <c r="AH45" s="63" t="n">
        <f aca="false">AH26*Ratio!AH7</f>
        <v>0.295784194672052</v>
      </c>
      <c r="AI45" s="66" t="n">
        <f aca="false">AI26*Ratio!AI7</f>
        <v>0.339186708277433</v>
      </c>
      <c r="AJ45" s="67" t="n">
        <f aca="false">AJ26*Ratio!AJ7</f>
        <v>0.353750659462221</v>
      </c>
      <c r="AK45" s="63" t="n">
        <f aca="false">AK26*Ratio!AK7</f>
        <v>0.341885073551674</v>
      </c>
      <c r="AL45" s="63" t="n">
        <f aca="false">AL26*Ratio!AL7</f>
        <v>0.353166005920072</v>
      </c>
      <c r="AM45" s="63" t="n">
        <f aca="false">AM26*Ratio!AM7</f>
        <v>0.323019945808433</v>
      </c>
      <c r="AN45" s="68" t="n">
        <f aca="false">AN26*Ratio!AN7</f>
        <v>0.391201986596067</v>
      </c>
      <c r="AO45" s="67" t="n">
        <f aca="false">AO26*Ratio!AO7</f>
        <v>0.403003948488372</v>
      </c>
      <c r="AP45" s="63" t="n">
        <f aca="false">AP26*Ratio!AP7</f>
        <v>0.395964614837507</v>
      </c>
      <c r="AQ45" s="65" t="n">
        <f aca="false">AQ26*Ratio!AQ7</f>
        <v>0.397253848537752</v>
      </c>
    </row>
    <row r="46" customFormat="false" ht="12.8" hidden="false" customHeight="false" outlineLevel="0" collapsed="false">
      <c r="A46" s="139" t="s">
        <v>183</v>
      </c>
      <c r="B46" s="65" t="n">
        <f aca="false">B27*Ratio!B8</f>
        <v>0.134601987044319</v>
      </c>
      <c r="C46" s="65" t="n">
        <f aca="false">C27*Ratio!C8</f>
        <v>0.13786892423026</v>
      </c>
      <c r="D46" s="63" t="n">
        <f aca="false">D27*Ratio!D8</f>
        <v>0.135878220901538</v>
      </c>
      <c r="E46" s="65" t="n">
        <f aca="false">E27*Ratio!E8</f>
        <v>0.13560150417343</v>
      </c>
      <c r="F46" s="63" t="n">
        <f aca="false">F27*Ratio!F8</f>
        <v>0.137382679907469</v>
      </c>
      <c r="G46" s="65" t="n">
        <f aca="false">G27*Ratio!G8</f>
        <v>0.11023547595507</v>
      </c>
      <c r="H46" s="63" t="n">
        <f aca="false">H27*Ratio!H8</f>
        <v>0.104028433436486</v>
      </c>
      <c r="I46" s="66" t="n">
        <f aca="false">I27*Ratio!I8</f>
        <v>0.103339157637312</v>
      </c>
      <c r="J46" s="67" t="n">
        <f aca="false">J27*Ratio!J8</f>
        <v>0.111311741664222</v>
      </c>
      <c r="K46" s="65" t="n">
        <f aca="false">K27*Ratio!K8</f>
        <v>0.115077197821678</v>
      </c>
      <c r="L46" s="63" t="n">
        <f aca="false">L27*Ratio!L8</f>
        <v>0.110546610974572</v>
      </c>
      <c r="M46" s="65" t="n">
        <f aca="false">M27*Ratio!M8</f>
        <v>0.110689306563559</v>
      </c>
      <c r="N46" s="65" t="n">
        <f aca="false">N27*Ratio!N8</f>
        <v>0.111650049866074</v>
      </c>
      <c r="O46" s="63" t="n">
        <f aca="false">O27*Ratio!O8</f>
        <v>0.116943217415935</v>
      </c>
      <c r="P46" s="68" t="n">
        <f aca="false">P27*Ratio!P8</f>
        <v>0.149688750473857</v>
      </c>
      <c r="Q46" s="67" t="n">
        <f aca="false">Q27*Ratio!Q8</f>
        <v>0.153415913509395</v>
      </c>
      <c r="R46" s="63" t="n">
        <f aca="false">R27*Ratio!R8</f>
        <v>0.152401124440181</v>
      </c>
      <c r="S46" s="65" t="n">
        <f aca="false">S27*Ratio!S8</f>
        <v>0.15318370510025</v>
      </c>
      <c r="T46" s="63" t="n">
        <f aca="false">T27*Ratio!T8</f>
        <v>0.189422484875062</v>
      </c>
      <c r="U46" s="63" t="n">
        <f aca="false">U27*Ratio!U8</f>
        <v>0.229410318555658</v>
      </c>
      <c r="V46" s="65" t="n">
        <f aca="false">V27*Ratio!V8</f>
        <v>0.215546236641491</v>
      </c>
      <c r="W46" s="65" t="n">
        <f aca="false">W27*Ratio!W8</f>
        <v>0.222092386500041</v>
      </c>
      <c r="X46" s="66" t="n">
        <f aca="false">X27*Ratio!X8</f>
        <v>0.23007322283203</v>
      </c>
      <c r="Y46" s="67" t="n">
        <f aca="false">Y27*Ratio!Y8</f>
        <v>0.216481863638704</v>
      </c>
      <c r="Z46" s="63" t="n">
        <f aca="false">Z27*Ratio!Z8</f>
        <v>0.222209684342271</v>
      </c>
      <c r="AA46" s="65" t="n">
        <f aca="false">AA27*Ratio!AA8</f>
        <v>0.210821734547363</v>
      </c>
      <c r="AB46" s="63" t="n">
        <f aca="false">AB27*Ratio!AB8</f>
        <v>0.202250476774471</v>
      </c>
      <c r="AC46" s="68" t="n">
        <f aca="false">AC27*Ratio!AC8</f>
        <v>0.206540483496709</v>
      </c>
      <c r="AD46" s="67" t="n">
        <f aca="false">AD27*Ratio!AD8</f>
        <v>0.198333913334681</v>
      </c>
      <c r="AE46" s="63" t="n">
        <f aca="false">AE27*Ratio!AE8</f>
        <v>0.186561900517028</v>
      </c>
      <c r="AF46" s="65" t="n">
        <f aca="false">AF27*Ratio!AF8</f>
        <v>0.178270209580479</v>
      </c>
      <c r="AG46" s="63" t="n">
        <f aca="false">AG27*Ratio!AG8</f>
        <v>0.181072098358583</v>
      </c>
      <c r="AH46" s="63" t="n">
        <f aca="false">AH27*Ratio!AH8</f>
        <v>0.163506526838533</v>
      </c>
      <c r="AI46" s="66" t="n">
        <f aca="false">AI27*Ratio!AI8</f>
        <v>0.202868767160522</v>
      </c>
      <c r="AJ46" s="67" t="n">
        <f aca="false">AJ27*Ratio!AJ8</f>
        <v>0.222282797686853</v>
      </c>
      <c r="AK46" s="63" t="n">
        <f aca="false">AK27*Ratio!AK8</f>
        <v>0.201711358942577</v>
      </c>
      <c r="AL46" s="63" t="n">
        <f aca="false">AL27*Ratio!AL8</f>
        <v>0.189266146308476</v>
      </c>
      <c r="AM46" s="63" t="n">
        <f aca="false">AM27*Ratio!AM8</f>
        <v>0.187633690346792</v>
      </c>
      <c r="AN46" s="68" t="n">
        <f aca="false">AN27*Ratio!AN8</f>
        <v>0.15911775900675</v>
      </c>
      <c r="AO46" s="67" t="n">
        <f aca="false">AO27*Ratio!AO8</f>
        <v>0.148450545306246</v>
      </c>
      <c r="AP46" s="63" t="n">
        <f aca="false">AP27*Ratio!AP8</f>
        <v>0.154153260359034</v>
      </c>
      <c r="AQ46" s="65" t="n">
        <f aca="false">AQ27*Ratio!AQ8</f>
        <v>0.151714076416344</v>
      </c>
    </row>
    <row r="47" customFormat="false" ht="12.8" hidden="false" customHeight="false" outlineLevel="0" collapsed="false">
      <c r="A47" s="139" t="s">
        <v>27</v>
      </c>
      <c r="B47" s="65" t="n">
        <f aca="false">B28*Ratio!B9</f>
        <v>0.00657930405542146</v>
      </c>
      <c r="C47" s="65" t="n">
        <f aca="false">C28*Ratio!C9</f>
        <v>0.00658480138413353</v>
      </c>
      <c r="D47" s="63" t="n">
        <f aca="false">D28*Ratio!D9</f>
        <v>0.00648972277154875</v>
      </c>
      <c r="E47" s="65" t="n">
        <f aca="false">E28*Ratio!E9</f>
        <v>0.00584456937699096</v>
      </c>
      <c r="F47" s="63" t="n">
        <f aca="false">F28*Ratio!F9</f>
        <v>0.0054246521559754</v>
      </c>
      <c r="G47" s="65" t="n">
        <f aca="false">G28*Ratio!G9</f>
        <v>0.00440132517775956</v>
      </c>
      <c r="H47" s="63" t="n">
        <f aca="false">H28*Ratio!H9</f>
        <v>0.00423054565512983</v>
      </c>
      <c r="I47" s="66" t="n">
        <f aca="false">I28*Ratio!I9</f>
        <v>0.00410001764066271</v>
      </c>
      <c r="J47" s="67" t="n">
        <f aca="false">J28*Ratio!J9</f>
        <v>0.00451447082336419</v>
      </c>
      <c r="K47" s="65" t="n">
        <f aca="false">K28*Ratio!K9</f>
        <v>0.00596954438279185</v>
      </c>
      <c r="L47" s="63" t="n">
        <f aca="false">L28*Ratio!L9</f>
        <v>0.00573452354655461</v>
      </c>
      <c r="M47" s="65" t="n">
        <f aca="false">M28*Ratio!M9</f>
        <v>0.00576797599210717</v>
      </c>
      <c r="N47" s="65" t="n">
        <f aca="false">N28*Ratio!N9</f>
        <v>0.00530699692786195</v>
      </c>
      <c r="O47" s="63" t="n">
        <f aca="false">O28*Ratio!O9</f>
        <v>0.00326385377999212</v>
      </c>
      <c r="P47" s="68" t="n">
        <f aca="false">P28*Ratio!P9</f>
        <v>0.0057335612735506</v>
      </c>
      <c r="Q47" s="67" t="n">
        <f aca="false">Q28*Ratio!Q9</f>
        <v>0.00631939177013834</v>
      </c>
      <c r="R47" s="63" t="n">
        <f aca="false">R28*Ratio!R9</f>
        <v>0.00602797538542602</v>
      </c>
      <c r="S47" s="65" t="n">
        <f aca="false">S28*Ratio!S9</f>
        <v>0.0067250730900435</v>
      </c>
      <c r="T47" s="63" t="n">
        <f aca="false">T28*Ratio!T9</f>
        <v>0.00602719693892992</v>
      </c>
      <c r="U47" s="63" t="n">
        <f aca="false">U28*Ratio!U9</f>
        <v>0.00836019493734577</v>
      </c>
      <c r="V47" s="65" t="n">
        <f aca="false">V28*Ratio!V9</f>
        <v>0.00810035402469943</v>
      </c>
      <c r="W47" s="65" t="n">
        <f aca="false">W28*Ratio!W9</f>
        <v>0.00834636217672849</v>
      </c>
      <c r="X47" s="66" t="n">
        <f aca="false">X28*Ratio!X9</f>
        <v>0.00864628668809825</v>
      </c>
      <c r="Y47" s="67" t="n">
        <f aca="false">Y28*Ratio!Y9</f>
        <v>0.00909933457791299</v>
      </c>
      <c r="Z47" s="63" t="n">
        <f aca="false">Z28*Ratio!Z9</f>
        <v>0.00935897714896056</v>
      </c>
      <c r="AA47" s="65" t="n">
        <f aca="false">AA28*Ratio!AA9</f>
        <v>0.00966988140577386</v>
      </c>
      <c r="AB47" s="63" t="n">
        <f aca="false">AB28*Ratio!AB9</f>
        <v>0.00973823198126806</v>
      </c>
      <c r="AC47" s="68" t="n">
        <f aca="false">AC28*Ratio!AC9</f>
        <v>0.00727069680777626</v>
      </c>
      <c r="AD47" s="67" t="n">
        <f aca="false">AD28*Ratio!AD9</f>
        <v>0.00778545134680449</v>
      </c>
      <c r="AE47" s="63" t="n">
        <f aca="false">AE28*Ratio!AE9</f>
        <v>0.0080491022539179</v>
      </c>
      <c r="AF47" s="65" t="n">
        <f aca="false">AF28*Ratio!AF9</f>
        <v>0.00674611382241895</v>
      </c>
      <c r="AG47" s="63" t="n">
        <f aca="false">AG28*Ratio!AG9</f>
        <v>0.00732300475571079</v>
      </c>
      <c r="AH47" s="63" t="n">
        <f aca="false">AH28*Ratio!AH9</f>
        <v>0.00606985776846832</v>
      </c>
      <c r="AI47" s="66" t="n">
        <f aca="false">AI28*Ratio!AI9</f>
        <v>0.0108449341426749</v>
      </c>
      <c r="AJ47" s="67" t="n">
        <f aca="false">AJ28*Ratio!AJ9</f>
        <v>0.0121771745663099</v>
      </c>
      <c r="AK47" s="63" t="n">
        <f aca="false">AK28*Ratio!AK9</f>
        <v>0.0119966537524672</v>
      </c>
      <c r="AL47" s="63" t="n">
        <f aca="false">AL28*Ratio!AL9</f>
        <v>0.0106060924109573</v>
      </c>
      <c r="AM47" s="63" t="n">
        <f aca="false">AM28*Ratio!AM9</f>
        <v>0.0102822921805506</v>
      </c>
      <c r="AN47" s="68" t="n">
        <f aca="false">AN28*Ratio!AN9</f>
        <v>0.00948160548593627</v>
      </c>
      <c r="AO47" s="67" t="n">
        <f aca="false">AO28*Ratio!AO9</f>
        <v>0.00858431716315049</v>
      </c>
      <c r="AP47" s="63" t="n">
        <f aca="false">AP28*Ratio!AP9</f>
        <v>0.0106292943521444</v>
      </c>
      <c r="AQ47" s="65" t="n">
        <f aca="false">AQ28*Ratio!AQ9</f>
        <v>0.00930502050731811</v>
      </c>
    </row>
    <row r="48" customFormat="false" ht="12.8" hidden="false" customHeight="false" outlineLevel="0" collapsed="false">
      <c r="A48" s="139" t="s">
        <v>31</v>
      </c>
      <c r="B48" s="65" t="n">
        <f aca="false">B29*Ratio!B10</f>
        <v>0.00206385802899236</v>
      </c>
      <c r="C48" s="65" t="n">
        <f aca="false">C29*Ratio!C10</f>
        <v>0.00187449415189404</v>
      </c>
      <c r="D48" s="63" t="n">
        <f aca="false">D29*Ratio!D10</f>
        <v>0.00184425440127038</v>
      </c>
      <c r="E48" s="65" t="n">
        <f aca="false">E29*Ratio!E10</f>
        <v>0.00173225010771555</v>
      </c>
      <c r="F48" s="63" t="n">
        <f aca="false">F29*Ratio!F10</f>
        <v>0.00154445844080643</v>
      </c>
      <c r="G48" s="65" t="n">
        <f aca="false">G29*Ratio!G10</f>
        <v>0.0014572268333632</v>
      </c>
      <c r="H48" s="63" t="n">
        <f aca="false">H29*Ratio!H10</f>
        <v>0.0013031021355464</v>
      </c>
      <c r="I48" s="66" t="n">
        <f aca="false">I29*Ratio!I10</f>
        <v>0.00125019054939779</v>
      </c>
      <c r="J48" s="67" t="n">
        <f aca="false">J29*Ratio!J10</f>
        <v>0.00140824385265864</v>
      </c>
      <c r="K48" s="65" t="n">
        <f aca="false">K29*Ratio!K10</f>
        <v>0.00163819801838458</v>
      </c>
      <c r="L48" s="63" t="n">
        <f aca="false">L29*Ratio!L10</f>
        <v>0.00166959476274228</v>
      </c>
      <c r="M48" s="65" t="n">
        <f aca="false">M29*Ratio!M10</f>
        <v>0.00166962517845411</v>
      </c>
      <c r="N48" s="65" t="n">
        <f aca="false">N29*Ratio!N10</f>
        <v>0.00153618215158327</v>
      </c>
      <c r="O48" s="63" t="n">
        <f aca="false">O29*Ratio!O10</f>
        <v>0.000968900961077234</v>
      </c>
      <c r="P48" s="68" t="n">
        <f aca="false">P29*Ratio!P10</f>
        <v>0.0023251105210004</v>
      </c>
      <c r="Q48" s="67" t="n">
        <f aca="false">Q29*Ratio!Q10</f>
        <v>0.0026875758253664</v>
      </c>
      <c r="R48" s="63" t="n">
        <f aca="false">R29*Ratio!R10</f>
        <v>0.00307873472161396</v>
      </c>
      <c r="S48" s="65" t="n">
        <f aca="false">S29*Ratio!S10</f>
        <v>0.0030054864148919</v>
      </c>
      <c r="T48" s="63" t="n">
        <f aca="false">T29*Ratio!T10</f>
        <v>0.00251884009018214</v>
      </c>
      <c r="U48" s="63" t="n">
        <f aca="false">U29*Ratio!U10</f>
        <v>0.00439765170216042</v>
      </c>
      <c r="V48" s="65" t="n">
        <f aca="false">V29*Ratio!V10</f>
        <v>0.00413516005576323</v>
      </c>
      <c r="W48" s="65" t="n">
        <f aca="false">W29*Ratio!W10</f>
        <v>0.00429770205116928</v>
      </c>
      <c r="X48" s="66" t="n">
        <f aca="false">X29*Ratio!X10</f>
        <v>0.00445087566349257</v>
      </c>
      <c r="Y48" s="67" t="n">
        <f aca="false">Y29*Ratio!Y10</f>
        <v>0.0048153308423395</v>
      </c>
      <c r="Z48" s="63" t="n">
        <f aca="false">Z29*Ratio!Z10</f>
        <v>0.0048092181761512</v>
      </c>
      <c r="AA48" s="65" t="n">
        <f aca="false">AA29*Ratio!AA10</f>
        <v>0.00484471383869845</v>
      </c>
      <c r="AB48" s="63" t="n">
        <f aca="false">AB29*Ratio!AB10</f>
        <v>0.0045615111147697</v>
      </c>
      <c r="AC48" s="68" t="n">
        <f aca="false">AC29*Ratio!AC10</f>
        <v>0.00237567265331904</v>
      </c>
      <c r="AD48" s="67" t="n">
        <f aca="false">AD29*Ratio!AD10</f>
        <v>0.00264313030890064</v>
      </c>
      <c r="AE48" s="63" t="n">
        <f aca="false">AE29*Ratio!AE10</f>
        <v>0.00264723954133557</v>
      </c>
      <c r="AF48" s="65" t="n">
        <f aca="false">AF29*Ratio!AF10</f>
        <v>0.002307989319874</v>
      </c>
      <c r="AG48" s="63" t="n">
        <f aca="false">AG29*Ratio!AG10</f>
        <v>0.00234330856214734</v>
      </c>
      <c r="AH48" s="63" t="n">
        <f aca="false">AH29*Ratio!AH10</f>
        <v>0.00206487083135145</v>
      </c>
      <c r="AI48" s="66" t="n">
        <f aca="false">AI29*Ratio!AI10</f>
        <v>0.00366512416890277</v>
      </c>
      <c r="AJ48" s="67" t="n">
        <f aca="false">AJ29*Ratio!AJ10</f>
        <v>0.00382659369010723</v>
      </c>
      <c r="AK48" s="63" t="n">
        <f aca="false">AK29*Ratio!AK10</f>
        <v>0.00365432092584123</v>
      </c>
      <c r="AL48" s="63" t="n">
        <f aca="false">AL29*Ratio!AL10</f>
        <v>0.00325685509966947</v>
      </c>
      <c r="AM48" s="63" t="n">
        <f aca="false">AM29*Ratio!AM10</f>
        <v>0.00313970928090018</v>
      </c>
      <c r="AN48" s="68" t="n">
        <f aca="false">AN29*Ratio!AN10</f>
        <v>0.00335383385987648</v>
      </c>
      <c r="AO48" s="67" t="n">
        <f aca="false">AO29*Ratio!AO10</f>
        <v>0.00321409453204401</v>
      </c>
      <c r="AP48" s="63" t="n">
        <f aca="false">AP29*Ratio!AP10</f>
        <v>0.00422311683583999</v>
      </c>
      <c r="AQ48" s="65" t="n">
        <f aca="false">AQ29*Ratio!AQ10</f>
        <v>0.00361631122575894</v>
      </c>
    </row>
    <row r="49" customFormat="false" ht="12.8" hidden="false" customHeight="false" outlineLevel="0" collapsed="false">
      <c r="A49" s="139" t="s">
        <v>184</v>
      </c>
      <c r="B49" s="65" t="n">
        <f aca="false">B30*Ratio!B11</f>
        <v>0.0153490450731368</v>
      </c>
      <c r="C49" s="65" t="n">
        <f aca="false">C30*Ratio!C11</f>
        <v>0.0139238858223638</v>
      </c>
      <c r="D49" s="63" t="n">
        <f aca="false">D30*Ratio!D11</f>
        <v>0.0140710997724933</v>
      </c>
      <c r="E49" s="65" t="n">
        <f aca="false">E30*Ratio!E11</f>
        <v>0.014137671465825</v>
      </c>
      <c r="F49" s="63" t="n">
        <f aca="false">F30*Ratio!F11</f>
        <v>0.0133632035235486</v>
      </c>
      <c r="G49" s="65" t="n">
        <f aca="false">G30*Ratio!G11</f>
        <v>0.0168612211921808</v>
      </c>
      <c r="H49" s="63" t="n">
        <f aca="false">H30*Ratio!H11</f>
        <v>0.0146499227354237</v>
      </c>
      <c r="I49" s="66" t="n">
        <f aca="false">I30*Ratio!I11</f>
        <v>0.0150758391374401</v>
      </c>
      <c r="J49" s="67" t="n">
        <f aca="false">J30*Ratio!J11</f>
        <v>0.013343102967873</v>
      </c>
      <c r="K49" s="65" t="n">
        <f aca="false">K30*Ratio!K11</f>
        <v>0.0112660907116438</v>
      </c>
      <c r="L49" s="63" t="n">
        <f aca="false">L30*Ratio!L11</f>
        <v>0.0114772813720806</v>
      </c>
      <c r="M49" s="65" t="n">
        <f aca="false">M30*Ratio!M11</f>
        <v>0.0114256540562834</v>
      </c>
      <c r="N49" s="65" t="n">
        <f aca="false">N30*Ratio!N11</f>
        <v>0.0115270854507903</v>
      </c>
      <c r="O49" s="63" t="n">
        <f aca="false">O30*Ratio!O11</f>
        <v>0.0126194602902346</v>
      </c>
      <c r="P49" s="68" t="n">
        <f aca="false">P30*Ratio!P11</f>
        <v>0.0124491146150278</v>
      </c>
      <c r="Q49" s="67" t="n">
        <f aca="false">Q30*Ratio!Q11</f>
        <v>0.0112591045277199</v>
      </c>
      <c r="R49" s="63" t="n">
        <f aca="false">R30*Ratio!R11</f>
        <v>0.0108159967780339</v>
      </c>
      <c r="S49" s="65" t="n">
        <f aca="false">S30*Ratio!S11</f>
        <v>0.00863766974870413</v>
      </c>
      <c r="T49" s="63" t="n">
        <f aca="false">T30*Ratio!T11</f>
        <v>0.00875969143302334</v>
      </c>
      <c r="U49" s="63" t="n">
        <f aca="false">U30*Ratio!U11</f>
        <v>0.0082250942587912</v>
      </c>
      <c r="V49" s="65" t="n">
        <f aca="false">V30*Ratio!V11</f>
        <v>0.00816118522321934</v>
      </c>
      <c r="W49" s="65" t="n">
        <f aca="false">W30*Ratio!W11</f>
        <v>0.00845334897437865</v>
      </c>
      <c r="X49" s="66" t="n">
        <f aca="false">X30*Ratio!X11</f>
        <v>0.0087546332382058</v>
      </c>
      <c r="Y49" s="67" t="n">
        <f aca="false">Y30*Ratio!Y11</f>
        <v>0.00895660770526053</v>
      </c>
      <c r="Z49" s="63" t="n">
        <f aca="false">Z30*Ratio!Z11</f>
        <v>0.00955018535472382</v>
      </c>
      <c r="AA49" s="65" t="n">
        <f aca="false">AA30*Ratio!AA11</f>
        <v>0.00926881755173995</v>
      </c>
      <c r="AB49" s="63" t="n">
        <f aca="false">AB30*Ratio!AB11</f>
        <v>0.00968978118710708</v>
      </c>
      <c r="AC49" s="68" t="n">
        <f aca="false">AC30*Ratio!AC11</f>
        <v>0.00666622188019288</v>
      </c>
      <c r="AD49" s="67" t="n">
        <f aca="false">AD30*Ratio!AD11</f>
        <v>0.00690627456636821</v>
      </c>
      <c r="AE49" s="63" t="n">
        <f aca="false">AE30*Ratio!AE11</f>
        <v>0.00654505807471798</v>
      </c>
      <c r="AF49" s="65" t="n">
        <f aca="false">AF30*Ratio!AF11</f>
        <v>0.00650610439263182</v>
      </c>
      <c r="AG49" s="63" t="n">
        <f aca="false">AG30*Ratio!AG11</f>
        <v>0.00541356957419618</v>
      </c>
      <c r="AH49" s="63" t="n">
        <f aca="false">AH30*Ratio!AH11</f>
        <v>0.00549510011954966</v>
      </c>
      <c r="AI49" s="66" t="n">
        <f aca="false">AI30*Ratio!AI11</f>
        <v>0.00773582072991815</v>
      </c>
      <c r="AJ49" s="67" t="n">
        <f aca="false">AJ30*Ratio!AJ11</f>
        <v>0.00826888970367235</v>
      </c>
      <c r="AK49" s="63" t="n">
        <f aca="false">AK30*Ratio!AK11</f>
        <v>0.00709884104435479</v>
      </c>
      <c r="AL49" s="63" t="n">
        <f aca="false">AL30*Ratio!AL11</f>
        <v>0.00673028573630044</v>
      </c>
      <c r="AM49" s="63" t="n">
        <f aca="false">AM30*Ratio!AM11</f>
        <v>0.00664893460392281</v>
      </c>
      <c r="AN49" s="68" t="n">
        <f aca="false">AN30*Ratio!AN11</f>
        <v>0.00514365407657718</v>
      </c>
      <c r="AO49" s="67" t="n">
        <f aca="false">AO30*Ratio!AO11</f>
        <v>0.0046378808041115</v>
      </c>
      <c r="AP49" s="63" t="n">
        <f aca="false">AP30*Ratio!AP11</f>
        <v>0.00556028131475228</v>
      </c>
      <c r="AQ49" s="65" t="n">
        <f aca="false">AQ30*Ratio!AQ11</f>
        <v>0.00543151607758637</v>
      </c>
    </row>
    <row r="50" customFormat="false" ht="12.8" hidden="false" customHeight="false" outlineLevel="0" collapsed="false">
      <c r="A50" s="139" t="s">
        <v>185</v>
      </c>
      <c r="B50" s="65" t="n">
        <f aca="false">B31*Ratio!B12</f>
        <v>0.0278710337528004</v>
      </c>
      <c r="C50" s="65" t="n">
        <f aca="false">C31*Ratio!C12</f>
        <v>0.0273056054759388</v>
      </c>
      <c r="D50" s="63" t="n">
        <f aca="false">D31*Ratio!D12</f>
        <v>0.027601199756878</v>
      </c>
      <c r="E50" s="65" t="n">
        <f aca="false">E31*Ratio!E12</f>
        <v>0.028849770587926</v>
      </c>
      <c r="F50" s="63" t="n">
        <f aca="false">F31*Ratio!F12</f>
        <v>0.0228717996458413</v>
      </c>
      <c r="G50" s="65" t="n">
        <f aca="false">G31*Ratio!G12</f>
        <v>0.0272797804442341</v>
      </c>
      <c r="H50" s="63" t="n">
        <f aca="false">H31*Ratio!H12</f>
        <v>0.0252705828552431</v>
      </c>
      <c r="I50" s="66" t="n">
        <f aca="false">I31*Ratio!I12</f>
        <v>0.0259583227787354</v>
      </c>
      <c r="J50" s="67" t="n">
        <f aca="false">J31*Ratio!J12</f>
        <v>0.0215545189380956</v>
      </c>
      <c r="K50" s="65" t="n">
        <f aca="false">K31*Ratio!K12</f>
        <v>0.0179258148797115</v>
      </c>
      <c r="L50" s="63" t="n">
        <f aca="false">L31*Ratio!L12</f>
        <v>0.0179124042669971</v>
      </c>
      <c r="M50" s="65" t="n">
        <f aca="false">M31*Ratio!M12</f>
        <v>0.0179217927517867</v>
      </c>
      <c r="N50" s="65" t="n">
        <f aca="false">N31*Ratio!N12</f>
        <v>0.0170173117206592</v>
      </c>
      <c r="O50" s="63" t="n">
        <f aca="false">O31*Ratio!O12</f>
        <v>0.0179851147810037</v>
      </c>
      <c r="P50" s="68" t="n">
        <f aca="false">P31*Ratio!P12</f>
        <v>0.0192653287730952</v>
      </c>
      <c r="Q50" s="67" t="n">
        <f aca="false">Q31*Ratio!Q12</f>
        <v>0.0175222423295002</v>
      </c>
      <c r="R50" s="63"/>
      <c r="S50" s="65"/>
      <c r="T50" s="63"/>
      <c r="U50" s="63"/>
      <c r="V50" s="65"/>
      <c r="W50" s="65"/>
      <c r="X50" s="66"/>
      <c r="Y50" s="67"/>
      <c r="Z50" s="63"/>
      <c r="AA50" s="65"/>
      <c r="AB50" s="63"/>
      <c r="AC50" s="68"/>
      <c r="AD50" s="67"/>
      <c r="AE50" s="63"/>
      <c r="AF50" s="65"/>
      <c r="AG50" s="63"/>
      <c r="AH50" s="63"/>
      <c r="AI50" s="66"/>
      <c r="AJ50" s="67"/>
      <c r="AK50" s="63"/>
      <c r="AL50" s="63"/>
      <c r="AM50" s="63"/>
      <c r="AN50" s="68"/>
      <c r="AO50" s="67"/>
      <c r="AP50" s="63"/>
      <c r="AQ50" s="65"/>
    </row>
    <row r="51" customFormat="false" ht="12.8" hidden="false" customHeight="false" outlineLevel="0" collapsed="false">
      <c r="A51" s="139" t="s">
        <v>29</v>
      </c>
      <c r="B51" s="65" t="n">
        <f aca="false">B32*Ratio!B13</f>
        <v>0.0384378691121595</v>
      </c>
      <c r="C51" s="65" t="n">
        <f aca="false">C32*Ratio!C13</f>
        <v>0.0359752414675037</v>
      </c>
      <c r="D51" s="63" t="n">
        <f aca="false">D32*Ratio!D13</f>
        <v>0.035403729705161</v>
      </c>
      <c r="E51" s="65" t="n">
        <f aca="false">E32*Ratio!E13</f>
        <v>0.0398264931497821</v>
      </c>
      <c r="F51" s="63" t="n">
        <f aca="false">F32*Ratio!F13</f>
        <v>0.0253733993858902</v>
      </c>
      <c r="G51" s="65" t="n">
        <f aca="false">G32*Ratio!G13</f>
        <v>0.0303273772106328</v>
      </c>
      <c r="H51" s="63" t="n">
        <f aca="false">H32*Ratio!H13</f>
        <v>0.0274769380245221</v>
      </c>
      <c r="I51" s="66" t="n">
        <f aca="false">I32*Ratio!I13</f>
        <v>0.0263033626427348</v>
      </c>
      <c r="J51" s="67" t="n">
        <f aca="false">J32*Ratio!J13</f>
        <v>0.0257478456116145</v>
      </c>
      <c r="K51" s="65" t="n">
        <f aca="false">K32*Ratio!K13</f>
        <v>0.0226871681372494</v>
      </c>
      <c r="L51" s="63" t="n">
        <f aca="false">L32*Ratio!L13</f>
        <v>0.0221581669598483</v>
      </c>
      <c r="M51" s="65" t="n">
        <f aca="false">M32*Ratio!M13</f>
        <v>0.0221697807895926</v>
      </c>
      <c r="N51" s="65" t="n">
        <f aca="false">N32*Ratio!N13</f>
        <v>0.0198086607161888</v>
      </c>
      <c r="O51" s="63" t="n">
        <f aca="false">O32*Ratio!O13</f>
        <v>0.0203219261042785</v>
      </c>
      <c r="P51" s="68" t="n">
        <f aca="false">P32*Ratio!P13</f>
        <v>0.021594427868434</v>
      </c>
      <c r="Q51" s="67" t="n">
        <f aca="false">Q32*Ratio!Q13</f>
        <v>0.0256522674498216</v>
      </c>
      <c r="R51" s="63" t="n">
        <f aca="false">R32*Ratio!R13</f>
        <v>0.0286041639989198</v>
      </c>
      <c r="S51" s="65" t="n">
        <f aca="false">S32*Ratio!S13</f>
        <v>0.027443779326578</v>
      </c>
      <c r="T51" s="63" t="n">
        <f aca="false">T32*Ratio!T13</f>
        <v>0.0240417290208211</v>
      </c>
      <c r="U51" s="63" t="n">
        <f aca="false">U32*Ratio!U13</f>
        <v>0.0203312709335339</v>
      </c>
      <c r="V51" s="65" t="n">
        <f aca="false">V32*Ratio!V13</f>
        <v>0.0256909245224581</v>
      </c>
      <c r="W51" s="65" t="n">
        <f aca="false">W32*Ratio!W13</f>
        <v>0.0267007655151632</v>
      </c>
      <c r="X51" s="66" t="n">
        <f aca="false">X32*Ratio!X13</f>
        <v>0.0248942259744654</v>
      </c>
      <c r="Y51" s="67" t="n">
        <f aca="false">Y32*Ratio!Y13</f>
        <v>0.0316761938441994</v>
      </c>
      <c r="Z51" s="63" t="n">
        <f aca="false">Z32*Ratio!Z13</f>
        <v>0.036503958010689</v>
      </c>
      <c r="AA51" s="65" t="n">
        <f aca="false">AA32*Ratio!AA13</f>
        <v>0.0343454409012352</v>
      </c>
      <c r="AB51" s="63" t="n">
        <f aca="false">AB32*Ratio!AB13</f>
        <v>0.0413828711193149</v>
      </c>
      <c r="AC51" s="68" t="n">
        <f aca="false">AC32*Ratio!AC13</f>
        <v>0.0451455323273309</v>
      </c>
      <c r="AD51" s="67" t="n">
        <f aca="false">AD32*Ratio!AD13</f>
        <v>0.0512448070726602</v>
      </c>
      <c r="AE51" s="63" t="n">
        <f aca="false">AE32*Ratio!AE13</f>
        <v>0.0386372597205555</v>
      </c>
      <c r="AF51" s="65" t="n">
        <f aca="false">AF32*Ratio!AF13</f>
        <v>0.0348584079623731</v>
      </c>
      <c r="AG51" s="63" t="n">
        <f aca="false">AG32*Ratio!AG13</f>
        <v>0.034962823533058</v>
      </c>
      <c r="AH51" s="63" t="n">
        <f aca="false">AH32*Ratio!AH13</f>
        <v>0.0442668890190618</v>
      </c>
      <c r="AI51" s="66" t="n">
        <f aca="false">AI32*Ratio!AI13</f>
        <v>0.0340064209147068</v>
      </c>
      <c r="AJ51" s="67" t="n">
        <f aca="false">AJ32*Ratio!AJ13</f>
        <v>0.0303986574909392</v>
      </c>
      <c r="AK51" s="63" t="n">
        <f aca="false">AK32*Ratio!AK13</f>
        <v>0.0326900731408076</v>
      </c>
      <c r="AL51" s="63" t="n">
        <f aca="false">AL32*Ratio!AL13</f>
        <v>0.0336309123479688</v>
      </c>
      <c r="AM51" s="63" t="n">
        <f aca="false">AM32*Ratio!AM13</f>
        <v>0.0327153491160017</v>
      </c>
      <c r="AN51" s="68" t="n">
        <f aca="false">AN32*Ratio!AN13</f>
        <v>0.034980478124403</v>
      </c>
      <c r="AO51" s="67"/>
      <c r="AP51" s="63"/>
      <c r="AQ51" s="65"/>
    </row>
    <row r="52" customFormat="false" ht="12.8" hidden="false" customHeight="false" outlineLevel="0" collapsed="false">
      <c r="A52" s="139" t="s">
        <v>186</v>
      </c>
      <c r="B52" s="65"/>
      <c r="C52" s="65"/>
      <c r="D52" s="63"/>
      <c r="E52" s="65"/>
      <c r="F52" s="63"/>
      <c r="G52" s="65"/>
      <c r="H52" s="63"/>
      <c r="I52" s="66"/>
      <c r="J52" s="67"/>
      <c r="K52" s="65"/>
      <c r="L52" s="63"/>
      <c r="M52" s="65"/>
      <c r="N52" s="65"/>
      <c r="O52" s="63"/>
      <c r="P52" s="68"/>
      <c r="Q52" s="67"/>
      <c r="R52" s="53" t="n">
        <f aca="false">R33*Ratio!R13</f>
        <v>0.0241313290117037</v>
      </c>
      <c r="S52" s="94" t="n">
        <f aca="false">S33*Ratio!S13</f>
        <v>0.0231106668382845</v>
      </c>
      <c r="T52" s="53" t="n">
        <f aca="false">T33*Ratio!T13</f>
        <v>0.0222344832138925</v>
      </c>
      <c r="U52" s="53" t="n">
        <f aca="false">U33*Ratio!U13</f>
        <v>0.0196588814164095</v>
      </c>
      <c r="V52" s="94" t="n">
        <f aca="false">V33*Ratio!V13</f>
        <v>0.0228994863355065</v>
      </c>
      <c r="W52" s="94" t="n">
        <f aca="false">W33*Ratio!W13</f>
        <v>0.0237996034174461</v>
      </c>
      <c r="X52" s="66" t="n">
        <f aca="false">X33*Ratio!X13</f>
        <v>0.0221893527824174</v>
      </c>
      <c r="Y52" s="67" t="n">
        <f aca="false">Y33*Ratio!Y13</f>
        <v>0.0263180916326015</v>
      </c>
      <c r="Z52" s="53" t="n">
        <f aca="false">Z33*Ratio!Z13</f>
        <v>0.0282405172092513</v>
      </c>
      <c r="AA52" s="94" t="n">
        <f aca="false">AA33*Ratio!AA13</f>
        <v>0.0287124241637258</v>
      </c>
      <c r="AB52" s="53" t="n">
        <f aca="false">AB33*Ratio!AB13</f>
        <v>0.030085004043044</v>
      </c>
      <c r="AC52" s="68" t="n">
        <f aca="false">AC33*Ratio!AC13</f>
        <v>0.0328086003498338</v>
      </c>
      <c r="AD52" s="67" t="n">
        <f aca="false">AD33*Ratio!AD13</f>
        <v>0.0358236024256396</v>
      </c>
      <c r="AE52" s="53" t="n">
        <f aca="false">AE33*Ratio!AE13</f>
        <v>0.0302982119517999</v>
      </c>
      <c r="AF52" s="94" t="n">
        <f aca="false">AF33*Ratio!AF13</f>
        <v>0.0286963193762421</v>
      </c>
      <c r="AG52" s="53" t="n">
        <f aca="false">AG33*Ratio!AG13</f>
        <v>0.033328263122297</v>
      </c>
      <c r="AH52" s="53" t="n">
        <f aca="false">AH33*Ratio!AH13</f>
        <v>0.0406992025837659</v>
      </c>
      <c r="AI52" s="66" t="n">
        <f aca="false">AI33*Ratio!AI13</f>
        <v>0.0407472577739925</v>
      </c>
      <c r="AJ52" s="67" t="n">
        <f aca="false">AJ33*Ratio!AJ13</f>
        <v>0.0389198108266569</v>
      </c>
      <c r="AK52" s="53" t="n">
        <f aca="false">AK33*Ratio!AK13</f>
        <v>0.0390818536623769</v>
      </c>
      <c r="AL52" s="53" t="n">
        <f aca="false">AL33*Ratio!AL13</f>
        <v>0.0402822341530776</v>
      </c>
      <c r="AM52" s="53" t="n">
        <f aca="false">AM33*Ratio!AM13</f>
        <v>0.0411523803246109</v>
      </c>
      <c r="AN52" s="68" t="n">
        <f aca="false">AN33*Ratio!AN13</f>
        <v>0.0405650214407253</v>
      </c>
      <c r="AO52" s="67" t="n">
        <f aca="false">AO33*Ratio!AO13</f>
        <v>0.0382485661932204</v>
      </c>
      <c r="AP52" s="63" t="n">
        <f aca="false">AP33*Ratio!AP13</f>
        <v>0.0351759608840542</v>
      </c>
      <c r="AQ52" s="65" t="n">
        <f aca="false">AQ33*Ratio!AQ13</f>
        <v>0.0342351641718161</v>
      </c>
    </row>
    <row r="53" customFormat="false" ht="12.8" hidden="false" customHeight="false" outlineLevel="0" collapsed="false">
      <c r="A53" s="139" t="s">
        <v>187</v>
      </c>
      <c r="B53" s="65"/>
      <c r="C53" s="65"/>
      <c r="D53" s="63"/>
      <c r="E53" s="65"/>
      <c r="F53" s="63"/>
      <c r="G53" s="65"/>
      <c r="H53" s="63"/>
      <c r="I53" s="66"/>
      <c r="J53" s="67"/>
      <c r="K53" s="65"/>
      <c r="L53" s="63"/>
      <c r="M53" s="65"/>
      <c r="N53" s="65"/>
      <c r="O53" s="63"/>
      <c r="P53" s="68"/>
      <c r="Q53" s="67"/>
      <c r="R53" s="63"/>
      <c r="S53" s="65"/>
      <c r="T53" s="63"/>
      <c r="U53" s="63"/>
      <c r="V53" s="65"/>
      <c r="W53" s="65"/>
      <c r="X53" s="66"/>
      <c r="Y53" s="67"/>
      <c r="Z53" s="63"/>
      <c r="AA53" s="65"/>
      <c r="AB53" s="63"/>
      <c r="AC53" s="68"/>
      <c r="AD53" s="67"/>
      <c r="AE53" s="63"/>
      <c r="AF53" s="65"/>
      <c r="AG53" s="63"/>
      <c r="AH53" s="63"/>
      <c r="AI53" s="66"/>
      <c r="AJ53" s="67"/>
      <c r="AK53" s="63"/>
      <c r="AL53" s="63"/>
      <c r="AM53" s="63"/>
      <c r="AN53" s="68"/>
      <c r="AO53" s="177"/>
      <c r="AP53" s="63" t="n">
        <f aca="false">AP34*Ratio!AP15</f>
        <v>0.00678602073058861</v>
      </c>
      <c r="AQ53" s="65" t="n">
        <f aca="false">AQ34*Ratio!AQ15</f>
        <v>0.00611598858955131</v>
      </c>
    </row>
    <row r="54" customFormat="false" ht="12.8" hidden="false" customHeight="false" outlineLevel="0" collapsed="false">
      <c r="A54" s="139" t="s">
        <v>190</v>
      </c>
      <c r="B54" s="65"/>
      <c r="C54" s="65"/>
      <c r="D54" s="63"/>
      <c r="E54" s="65"/>
      <c r="F54" s="63"/>
      <c r="G54" s="65"/>
      <c r="H54" s="63"/>
      <c r="I54" s="66"/>
      <c r="J54" s="67"/>
      <c r="K54" s="65"/>
      <c r="L54" s="63"/>
      <c r="M54" s="65"/>
      <c r="N54" s="65"/>
      <c r="O54" s="63"/>
      <c r="P54" s="68"/>
      <c r="Q54" s="67"/>
      <c r="R54" s="63"/>
      <c r="S54" s="65"/>
      <c r="T54" s="63"/>
      <c r="U54" s="63"/>
      <c r="V54" s="65"/>
      <c r="W54" s="65"/>
      <c r="X54" s="66"/>
      <c r="Y54" s="67"/>
      <c r="Z54" s="63"/>
      <c r="AA54" s="65"/>
      <c r="AB54" s="63"/>
      <c r="AC54" s="68"/>
      <c r="AD54" s="67"/>
      <c r="AE54" s="63"/>
      <c r="AF54" s="65"/>
      <c r="AG54" s="63"/>
      <c r="AH54" s="63"/>
      <c r="AI54" s="66"/>
      <c r="AJ54" s="67"/>
      <c r="AK54" s="63"/>
      <c r="AL54" s="63"/>
      <c r="AM54" s="63"/>
      <c r="AN54" s="68"/>
      <c r="AO54" s="67" t="n">
        <f aca="false">AO35*Ratio!AO18</f>
        <v>0.0169390899139938</v>
      </c>
      <c r="AP54" s="179"/>
      <c r="AQ54" s="118"/>
    </row>
    <row r="55" customFormat="false" ht="12.8" hidden="false" customHeight="false" outlineLevel="0" collapsed="false">
      <c r="B55" s="39"/>
      <c r="K55" s="40"/>
    </row>
    <row r="56" customFormat="false" ht="12.8" hidden="false" customHeight="false" outlineLevel="0" collapsed="false">
      <c r="A56" s="1" t="s">
        <v>206</v>
      </c>
      <c r="B56" s="39"/>
      <c r="K56" s="40"/>
    </row>
    <row r="57" customFormat="false" ht="12.8" hidden="false" customHeight="false" outlineLevel="0" collapsed="false">
      <c r="A57" s="139" t="s">
        <v>24</v>
      </c>
      <c r="B57" s="65" t="n">
        <f aca="false">B22*Ratio!B33</f>
        <v>3.37600357467022</v>
      </c>
      <c r="C57" s="65" t="n">
        <f aca="false">C22*Ratio!C33</f>
        <v>3.31863722882656</v>
      </c>
      <c r="D57" s="63" t="n">
        <f aca="false">D22*Ratio!D33</f>
        <v>3.49748605144028</v>
      </c>
      <c r="E57" s="65" t="n">
        <f aca="false">E22*Ratio!E33</f>
        <v>3.39708087083002</v>
      </c>
      <c r="F57" s="63" t="n">
        <f aca="false">F22*Ratio!F33</f>
        <v>3.03754342621429</v>
      </c>
      <c r="G57" s="65" t="n">
        <f aca="false">G22*Ratio!G33</f>
        <v>2.22197073823452</v>
      </c>
      <c r="H57" s="63" t="n">
        <f aca="false">H22*Ratio!H33</f>
        <v>2.21505433751505</v>
      </c>
      <c r="I57" s="66" t="n">
        <f aca="false">I22*Ratio!I33</f>
        <v>3.37514686380449</v>
      </c>
      <c r="J57" s="67" t="n">
        <f aca="false">J22*Ratio!J33</f>
        <v>2.6918040297423</v>
      </c>
      <c r="K57" s="65" t="n">
        <f aca="false">K22*Ratio!K33</f>
        <v>2.2571553390763</v>
      </c>
      <c r="L57" s="63" t="n">
        <f aca="false">L22*Ratio!L33</f>
        <v>2.13759715225002</v>
      </c>
      <c r="M57" s="65" t="n">
        <f aca="false">M22*Ratio!M33</f>
        <v>2.12139407401849</v>
      </c>
      <c r="N57" s="65" t="n">
        <f aca="false">N22*Ratio!N33</f>
        <v>2.09605244837268</v>
      </c>
      <c r="O57" s="63" t="n">
        <f aca="false">O22*Ratio!O33</f>
        <v>1.94326949953892</v>
      </c>
      <c r="P57" s="68" t="n">
        <f aca="false">P22*Ratio!P33</f>
        <v>2.15037357363843</v>
      </c>
      <c r="Q57" s="67" t="n">
        <f aca="false">Q22*Ratio!Q33</f>
        <v>1.8550527501992</v>
      </c>
      <c r="R57" s="63" t="n">
        <f aca="false">R22*Ratio!R33</f>
        <v>1.72562726210093</v>
      </c>
      <c r="S57" s="65" t="n">
        <f aca="false">S22*Ratio!S33</f>
        <v>1.74982063486041</v>
      </c>
      <c r="T57" s="63" t="n">
        <f aca="false">T22*Ratio!T33</f>
        <v>1.79336503297159</v>
      </c>
      <c r="U57" s="63" t="n">
        <f aca="false">U22*Ratio!U33</f>
        <v>1.96263564643721</v>
      </c>
      <c r="V57" s="65" t="n">
        <f aca="false">V22*Ratio!V33</f>
        <v>2.2531786779072</v>
      </c>
      <c r="W57" s="65" t="n">
        <f aca="false">W22*Ratio!W33</f>
        <v>1.9840070111676</v>
      </c>
      <c r="X57" s="66" t="n">
        <f aca="false">X22*Ratio!X33</f>
        <v>2.28323331974338</v>
      </c>
      <c r="Y57" s="67" t="n">
        <f aca="false">Y22*Ratio!Y33</f>
        <v>2.11171923303898</v>
      </c>
      <c r="Z57" s="63" t="n">
        <f aca="false">Z22*Ratio!Z33</f>
        <v>1.71255022438179</v>
      </c>
      <c r="AA57" s="65" t="n">
        <f aca="false">AA22*Ratio!AA33</f>
        <v>1.79988803060925</v>
      </c>
      <c r="AB57" s="63" t="n">
        <f aca="false">AB22*Ratio!AB33</f>
        <v>1.38148355492753</v>
      </c>
      <c r="AC57" s="68" t="n">
        <f aca="false">AC22*Ratio!AC33</f>
        <v>1.21313691849847</v>
      </c>
      <c r="AD57" s="67" t="n">
        <f aca="false">AD22*Ratio!AD33</f>
        <v>1.12856948068172</v>
      </c>
      <c r="AE57" s="63" t="n">
        <f aca="false">AE22*Ratio!AE33</f>
        <v>1.04159925677792</v>
      </c>
      <c r="AF57" s="65" t="n">
        <f aca="false">AF22*Ratio!AF33</f>
        <v>1.08470765312897</v>
      </c>
      <c r="AG57" s="63" t="n">
        <f aca="false">AG22*Ratio!AG33</f>
        <v>0.782267282906351</v>
      </c>
      <c r="AH57" s="63" t="n">
        <f aca="false">AH22*Ratio!AH33</f>
        <v>0.962255161683463</v>
      </c>
      <c r="AI57" s="66" t="n">
        <f aca="false">AI22*Ratio!AI33</f>
        <v>1.28901520232289</v>
      </c>
      <c r="AJ57" s="67" t="n">
        <f aca="false">AJ22*Ratio!AJ33</f>
        <v>0.95213825441617</v>
      </c>
      <c r="AK57" s="63" t="n">
        <f aca="false">AK22*Ratio!AK33</f>
        <v>0.724670211415962</v>
      </c>
      <c r="AL57" s="63" t="n">
        <f aca="false">AL22*Ratio!AL33</f>
        <v>0.711392087565509</v>
      </c>
      <c r="AM57" s="63" t="n">
        <f aca="false">AM22*Ratio!AM33</f>
        <v>0.704628194256899</v>
      </c>
      <c r="AN57" s="68" t="n">
        <f aca="false">AN22*Ratio!AN33</f>
        <v>1.68875755761577</v>
      </c>
      <c r="AO57" s="67" t="n">
        <f aca="false">AO22*Ratio!AO33</f>
        <v>1.39490541102981</v>
      </c>
      <c r="AP57" s="63" t="n">
        <f aca="false">AP22*Ratio!AP33</f>
        <v>1.48982172766533</v>
      </c>
      <c r="AQ57" s="65" t="n">
        <f aca="false">AQ22*Ratio!AQ33</f>
        <v>1.4643620549579</v>
      </c>
    </row>
    <row r="58" customFormat="false" ht="12.8" hidden="false" customHeight="false" outlineLevel="0" collapsed="false">
      <c r="A58" s="139" t="s">
        <v>180</v>
      </c>
      <c r="B58" s="65" t="n">
        <f aca="false">B23*Ratio!B34</f>
        <v>2.80895087817104</v>
      </c>
      <c r="C58" s="65" t="n">
        <f aca="false">C23*Ratio!C34</f>
        <v>2.92566987563825</v>
      </c>
      <c r="D58" s="63" t="n">
        <f aca="false">D23*Ratio!D34</f>
        <v>2.95911577767243</v>
      </c>
      <c r="E58" s="65" t="n">
        <f aca="false">E23*Ratio!E34</f>
        <v>3.1069897658041</v>
      </c>
      <c r="F58" s="63" t="n">
        <f aca="false">F23*Ratio!F34</f>
        <v>3.26591803255265</v>
      </c>
      <c r="G58" s="65" t="n">
        <f aca="false">G23*Ratio!G34</f>
        <v>4.59856813194614</v>
      </c>
      <c r="H58" s="63" t="n">
        <f aca="false">H23*Ratio!H34</f>
        <v>4.61368454736707</v>
      </c>
      <c r="I58" s="66" t="n">
        <f aca="false">I23*Ratio!I34</f>
        <v>4.87504120015633</v>
      </c>
      <c r="J58" s="67" t="n">
        <f aca="false">J23*Ratio!J34</f>
        <v>4.47844378779756</v>
      </c>
      <c r="K58" s="65" t="n">
        <f aca="false">K23*Ratio!K34</f>
        <v>5.17091758024988</v>
      </c>
      <c r="L58" s="63" t="n">
        <f aca="false">L23*Ratio!L34</f>
        <v>5.01138938837075</v>
      </c>
      <c r="M58" s="65" t="n">
        <f aca="false">M23*Ratio!M34</f>
        <v>5.01401602365355</v>
      </c>
      <c r="N58" s="65" t="n">
        <f aca="false">N23*Ratio!N34</f>
        <v>5.03226054060936</v>
      </c>
      <c r="O58" s="63" t="n">
        <f aca="false">O23*Ratio!O34</f>
        <v>5.2429268560796</v>
      </c>
      <c r="P58" s="68" t="n">
        <f aca="false">P23*Ratio!P34</f>
        <v>4.59390900615344</v>
      </c>
      <c r="Q58" s="67" t="n">
        <f aca="false">Q23*Ratio!Q34</f>
        <v>4.30275006199055</v>
      </c>
      <c r="R58" s="63" t="n">
        <f aca="false">R23*Ratio!R34</f>
        <v>4.08347118804356</v>
      </c>
      <c r="S58" s="65" t="n">
        <f aca="false">S23*Ratio!S34</f>
        <v>4.34057544450925</v>
      </c>
      <c r="T58" s="63" t="n">
        <f aca="false">T23*Ratio!T34</f>
        <v>4.33427725807402</v>
      </c>
      <c r="U58" s="63" t="n">
        <f aca="false">U23*Ratio!U34</f>
        <v>3.78736146200389</v>
      </c>
      <c r="V58" s="65" t="n">
        <f aca="false">V23*Ratio!V34</f>
        <v>3.87399689925976</v>
      </c>
      <c r="W58" s="65" t="n">
        <f aca="false">W23*Ratio!W34</f>
        <v>3.83064779960384</v>
      </c>
      <c r="X58" s="66" t="n">
        <f aca="false">X23*Ratio!X34</f>
        <v>3.88038658765832</v>
      </c>
      <c r="Y58" s="67" t="n">
        <f aca="false">Y23*Ratio!Y34</f>
        <v>3.59935638396121</v>
      </c>
      <c r="Z58" s="63" t="n">
        <f aca="false">Z23*Ratio!Z34</f>
        <v>3.62193611785442</v>
      </c>
      <c r="AA58" s="65" t="n">
        <f aca="false">AA23*Ratio!AA34</f>
        <v>3.92385173890443</v>
      </c>
      <c r="AB58" s="63" t="n">
        <f aca="false">AB23*Ratio!AB34</f>
        <v>4.32530919950379</v>
      </c>
      <c r="AC58" s="68" t="n">
        <f aca="false">AC23*Ratio!AC34</f>
        <v>4.1583860893202</v>
      </c>
      <c r="AD58" s="67" t="n">
        <f aca="false">AD23*Ratio!AD34</f>
        <v>4.03467976867857</v>
      </c>
      <c r="AE58" s="63" t="n">
        <f aca="false">AE23*Ratio!AE34</f>
        <v>4.26036820176471</v>
      </c>
      <c r="AF58" s="65" t="n">
        <f aca="false">AF23*Ratio!AF34</f>
        <v>4.26677514622042</v>
      </c>
      <c r="AG58" s="63" t="n">
        <f aca="false">AG23*Ratio!AG34</f>
        <v>4.57421246920144</v>
      </c>
      <c r="AH58" s="63" t="n">
        <f aca="false">AH23*Ratio!AH34</f>
        <v>3.8310044126297</v>
      </c>
      <c r="AI58" s="66" t="n">
        <f aca="false">AI23*Ratio!AI34</f>
        <v>4.22042158178625</v>
      </c>
      <c r="AJ58" s="67" t="n">
        <f aca="false">AJ23*Ratio!AJ34</f>
        <v>4.414748889551</v>
      </c>
      <c r="AK58" s="63" t="n">
        <f aca="false">AK23*Ratio!AK34</f>
        <v>4.33778991438542</v>
      </c>
      <c r="AL58" s="63" t="n">
        <f aca="false">AL23*Ratio!AL34</f>
        <v>4.22388085948487</v>
      </c>
      <c r="AM58" s="63" t="n">
        <f aca="false">AM23*Ratio!AM34</f>
        <v>4.31155487410757</v>
      </c>
      <c r="AN58" s="68" t="n">
        <f aca="false">AN23*Ratio!AN34</f>
        <v>4.28063090389219</v>
      </c>
      <c r="AO58" s="67" t="n">
        <f aca="false">AO23*Ratio!AO34</f>
        <v>4.35921266584087</v>
      </c>
      <c r="AP58" s="63" t="n">
        <f aca="false">AP23*Ratio!AP34</f>
        <v>4.23504879199607</v>
      </c>
      <c r="AQ58" s="65" t="n">
        <f aca="false">AQ23*Ratio!AQ34</f>
        <v>4.27269617292993</v>
      </c>
    </row>
    <row r="59" customFormat="false" ht="12.8" hidden="false" customHeight="false" outlineLevel="0" collapsed="false">
      <c r="A59" s="139" t="s">
        <v>181</v>
      </c>
      <c r="B59" s="65" t="n">
        <f aca="false">B24*Ratio!B35</f>
        <v>1.54696881637</v>
      </c>
      <c r="C59" s="65" t="n">
        <f aca="false">C24*Ratio!C35</f>
        <v>1.50349540912533</v>
      </c>
      <c r="D59" s="63" t="n">
        <f aca="false">D24*Ratio!D35</f>
        <v>1.53723200061383</v>
      </c>
      <c r="E59" s="65" t="n">
        <f aca="false">E24*Ratio!E35</f>
        <v>1.48043156389188</v>
      </c>
      <c r="F59" s="63" t="n">
        <f aca="false">F24*Ratio!F35</f>
        <v>1.35599927717437</v>
      </c>
      <c r="G59" s="65" t="n">
        <f aca="false">G24*Ratio!G35</f>
        <v>1.81773949296361</v>
      </c>
      <c r="H59" s="63" t="n">
        <f aca="false">H24*Ratio!H35</f>
        <v>1.93377350932167</v>
      </c>
      <c r="I59" s="66" t="n">
        <f aca="false">I24*Ratio!I35</f>
        <v>1.70998953315071</v>
      </c>
      <c r="J59" s="67" t="n">
        <f aca="false">J24*Ratio!J35</f>
        <v>1.48694239671529</v>
      </c>
      <c r="K59" s="65" t="n">
        <f aca="false">K24*Ratio!K35</f>
        <v>1.42013578061983</v>
      </c>
      <c r="L59" s="63" t="n">
        <f aca="false">L24*Ratio!L35</f>
        <v>1.41713305554418</v>
      </c>
      <c r="M59" s="65" t="n">
        <f aca="false">M24*Ratio!M35</f>
        <v>1.41654936989766</v>
      </c>
      <c r="N59" s="65" t="n">
        <f aca="false">N24*Ratio!N35</f>
        <v>1.4104447922932</v>
      </c>
      <c r="O59" s="63" t="n">
        <f aca="false">O24*Ratio!O35</f>
        <v>1.37980186618805</v>
      </c>
      <c r="P59" s="68" t="n">
        <f aca="false">P24*Ratio!P35</f>
        <v>1.52439844177339</v>
      </c>
      <c r="Q59" s="67" t="n">
        <f aca="false">Q24*Ratio!Q35</f>
        <v>1.35631361245855</v>
      </c>
      <c r="R59" s="63" t="n">
        <f aca="false">R24*Ratio!R35</f>
        <v>1.25637071868908</v>
      </c>
      <c r="S59" s="65" t="n">
        <f aca="false">S24*Ratio!S35</f>
        <v>1.39430193350444</v>
      </c>
      <c r="T59" s="63" t="n">
        <f aca="false">T24*Ratio!T35</f>
        <v>1.34569504731496</v>
      </c>
      <c r="U59" s="63" t="n">
        <f aca="false">U24*Ratio!U35</f>
        <v>2.00103150471471</v>
      </c>
      <c r="V59" s="65" t="n">
        <f aca="false">V24*Ratio!V35</f>
        <v>1.97647569057009</v>
      </c>
      <c r="W59" s="65" t="n">
        <f aca="false">W24*Ratio!W35</f>
        <v>1.83179650384053</v>
      </c>
      <c r="X59" s="66" t="n">
        <f aca="false">X24*Ratio!X35</f>
        <v>2.03855757755187</v>
      </c>
      <c r="Y59" s="67" t="n">
        <f aca="false">Y24*Ratio!Y35</f>
        <v>2.1961339879542</v>
      </c>
      <c r="Z59" s="63" t="n">
        <f aca="false">Z24*Ratio!Z35</f>
        <v>1.93130524110381</v>
      </c>
      <c r="AA59" s="65" t="n">
        <f aca="false">AA24*Ratio!AA35</f>
        <v>2.04123363167345</v>
      </c>
      <c r="AB59" s="63" t="n">
        <f aca="false">AB24*Ratio!AB35</f>
        <v>1.62291100382031</v>
      </c>
      <c r="AC59" s="68" t="n">
        <f aca="false">AC24*Ratio!AC35</f>
        <v>1.2373616466035</v>
      </c>
      <c r="AD59" s="67" t="n">
        <f aca="false">AD24*Ratio!AD35</f>
        <v>1.18861822109289</v>
      </c>
      <c r="AE59" s="63" t="n">
        <f aca="false">AE24*Ratio!AE35</f>
        <v>1.10616667694072</v>
      </c>
      <c r="AF59" s="65" t="n">
        <f aca="false">AF24*Ratio!AF35</f>
        <v>1.11614528106014</v>
      </c>
      <c r="AG59" s="63" t="n">
        <f aca="false">AG24*Ratio!AG35</f>
        <v>1.02196150925223</v>
      </c>
      <c r="AH59" s="63" t="n">
        <f aca="false">AH24*Ratio!AH35</f>
        <v>0.71523479735489</v>
      </c>
      <c r="AI59" s="66" t="n">
        <f aca="false">AI24*Ratio!AI35</f>
        <v>1.00239607466847</v>
      </c>
      <c r="AJ59" s="67" t="n">
        <f aca="false">AJ24*Ratio!AJ35</f>
        <v>0.884265905304907</v>
      </c>
      <c r="AK59" s="63" t="n">
        <f aca="false">AK24*Ratio!AK35</f>
        <v>0.859038153081749</v>
      </c>
      <c r="AL59" s="63" t="n">
        <f aca="false">AL24*Ratio!AL35</f>
        <v>0.798371541792797</v>
      </c>
      <c r="AM59" s="63" t="n">
        <f aca="false">AM24*Ratio!AM35</f>
        <v>0.708989027370529</v>
      </c>
      <c r="AN59" s="68" t="n">
        <f aca="false">AN24*Ratio!AN35</f>
        <v>0.644216918556038</v>
      </c>
      <c r="AO59" s="67" t="n">
        <f aca="false">AO24*Ratio!AO35</f>
        <v>0.592036378290818</v>
      </c>
      <c r="AP59" s="63" t="n">
        <f aca="false">AP24*Ratio!AP35</f>
        <v>0.601930363782204</v>
      </c>
      <c r="AQ59" s="65" t="n">
        <f aca="false">AQ24*Ratio!AQ35</f>
        <v>0.581268930625231</v>
      </c>
    </row>
    <row r="60" customFormat="false" ht="12.8" hidden="false" customHeight="false" outlineLevel="0" collapsed="false">
      <c r="A60" s="139" t="s">
        <v>30</v>
      </c>
      <c r="B60" s="65" t="n">
        <f aca="false">B25*Ratio!B36</f>
        <v>2.45184710940986</v>
      </c>
      <c r="C60" s="65" t="n">
        <f aca="false">C25*Ratio!C36</f>
        <v>2.26219401006117</v>
      </c>
      <c r="D60" s="63" t="n">
        <f aca="false">D25*Ratio!D36</f>
        <v>2.25539056806491</v>
      </c>
      <c r="E60" s="65" t="n">
        <f aca="false">E25*Ratio!E36</f>
        <v>2.02796091900384</v>
      </c>
      <c r="F60" s="63" t="n">
        <f aca="false">F25*Ratio!F36</f>
        <v>1.96195952952725</v>
      </c>
      <c r="G60" s="65" t="n">
        <f aca="false">G25*Ratio!G36</f>
        <v>2.07475675572361</v>
      </c>
      <c r="H60" s="63" t="n">
        <f aca="false">H25*Ratio!H36</f>
        <v>2.50157181099087</v>
      </c>
      <c r="I60" s="66" t="n">
        <f aca="false">I25*Ratio!I36</f>
        <v>2.44652719291432</v>
      </c>
      <c r="J60" s="67" t="n">
        <f aca="false">J25*Ratio!J36</f>
        <v>2.25544179917429</v>
      </c>
      <c r="K60" s="65" t="n">
        <f aca="false">K25*Ratio!K36</f>
        <v>2.25027756879533</v>
      </c>
      <c r="L60" s="63" t="n">
        <f aca="false">L25*Ratio!L36</f>
        <v>2.21514069841397</v>
      </c>
      <c r="M60" s="65" t="n">
        <f aca="false">M25*Ratio!M36</f>
        <v>2.21080018699262</v>
      </c>
      <c r="N60" s="65" t="n">
        <f aca="false">N25*Ratio!N36</f>
        <v>2.20493708234652</v>
      </c>
      <c r="O60" s="63" t="n">
        <f aca="false">O25*Ratio!O36</f>
        <v>2.22002102744312</v>
      </c>
      <c r="P60" s="68" t="n">
        <f aca="false">P25*Ratio!P36</f>
        <v>2.31442550118886</v>
      </c>
      <c r="Q60" s="67" t="n">
        <f aca="false">Q25*Ratio!Q36</f>
        <v>2.36255589114977</v>
      </c>
      <c r="R60" s="63" t="n">
        <f aca="false">R25*Ratio!R36</f>
        <v>2.29075593956513</v>
      </c>
      <c r="S60" s="65" t="n">
        <f aca="false">S25*Ratio!S36</f>
        <v>2.40200673524835</v>
      </c>
      <c r="T60" s="63" t="n">
        <f aca="false">T25*Ratio!T36</f>
        <v>2.2792823238875</v>
      </c>
      <c r="U60" s="63" t="n">
        <f aca="false">U25*Ratio!U36</f>
        <v>3.17645904387484</v>
      </c>
      <c r="V60" s="65" t="n">
        <f aca="false">V25*Ratio!V36</f>
        <v>2.9749832736036</v>
      </c>
      <c r="W60" s="65" t="n">
        <f aca="false">W25*Ratio!W36</f>
        <v>2.80391342579915</v>
      </c>
      <c r="X60" s="66" t="n">
        <f aca="false">X25*Ratio!X36</f>
        <v>3.20196488140832</v>
      </c>
      <c r="Y60" s="67" t="n">
        <f aca="false">Y25*Ratio!Y36</f>
        <v>3.08287030450306</v>
      </c>
      <c r="Z60" s="63" t="n">
        <f aca="false">Z25*Ratio!Z36</f>
        <v>2.90388455241496</v>
      </c>
      <c r="AA60" s="65" t="n">
        <f aca="false">AA25*Ratio!AA36</f>
        <v>3.03659546953878</v>
      </c>
      <c r="AB60" s="63" t="n">
        <f aca="false">AB25*Ratio!AB36</f>
        <v>2.63093142056633</v>
      </c>
      <c r="AC60" s="68" t="n">
        <f aca="false">AC25*Ratio!AC36</f>
        <v>2.96247307161877</v>
      </c>
      <c r="AD60" s="67" t="n">
        <f aca="false">AD25*Ratio!AD36</f>
        <v>2.75373113584459</v>
      </c>
      <c r="AE60" s="63" t="n">
        <f aca="false">AE25*Ratio!AE36</f>
        <v>2.66874567350594</v>
      </c>
      <c r="AF60" s="65" t="n">
        <f aca="false">AF25*Ratio!AF36</f>
        <v>2.82876427133635</v>
      </c>
      <c r="AG60" s="63" t="n">
        <f aca="false">AG25*Ratio!AG36</f>
        <v>2.49826724985428</v>
      </c>
      <c r="AH60" s="63" t="n">
        <f aca="false">AH25*Ratio!AH36</f>
        <v>2.2950277621627</v>
      </c>
      <c r="AI60" s="66" t="n">
        <f aca="false">AI25*Ratio!AI36</f>
        <v>3.38121661030519</v>
      </c>
      <c r="AJ60" s="67" t="n">
        <f aca="false">AJ25*Ratio!AJ36</f>
        <v>3.10431692860864</v>
      </c>
      <c r="AK60" s="63" t="n">
        <f aca="false">AK25*Ratio!AK36</f>
        <v>3.07504002086869</v>
      </c>
      <c r="AL60" s="63" t="n">
        <f aca="false">AL25*Ratio!AL36</f>
        <v>2.83511757048774</v>
      </c>
      <c r="AM60" s="63" t="n">
        <f aca="false">AM25*Ratio!AM36</f>
        <v>2.35141376379048</v>
      </c>
      <c r="AN60" s="68" t="n">
        <f aca="false">AN25*Ratio!AN36</f>
        <v>2.66344768401164</v>
      </c>
      <c r="AO60" s="67" t="n">
        <f aca="false">AO25*Ratio!AO36</f>
        <v>2.7047134963559</v>
      </c>
      <c r="AP60" s="63" t="n">
        <f aca="false">AP25*Ratio!AP36</f>
        <v>2.61565006094324</v>
      </c>
      <c r="AQ60" s="65" t="n">
        <f aca="false">AQ25*Ratio!AQ36</f>
        <v>2.52844104543459</v>
      </c>
    </row>
    <row r="61" customFormat="false" ht="12.8" hidden="false" customHeight="false" outlineLevel="0" collapsed="false">
      <c r="A61" s="139" t="s">
        <v>182</v>
      </c>
      <c r="B61" s="65" t="n">
        <f aca="false">B26*Ratio!B37</f>
        <v>0.826745105299351</v>
      </c>
      <c r="C61" s="65" t="n">
        <f aca="false">C26*Ratio!C37</f>
        <v>0.789812109147288</v>
      </c>
      <c r="D61" s="63" t="n">
        <f aca="false">D26*Ratio!D37</f>
        <v>0.777264954715369</v>
      </c>
      <c r="E61" s="65" t="n">
        <f aca="false">E26*Ratio!E37</f>
        <v>0.705216535025536</v>
      </c>
      <c r="F61" s="63" t="n">
        <f aca="false">F26*Ratio!F37</f>
        <v>0.733281373524226</v>
      </c>
      <c r="G61" s="65" t="n">
        <f aca="false">G26*Ratio!G37</f>
        <v>0.977570727487653</v>
      </c>
      <c r="H61" s="63" t="n">
        <f aca="false">H26*Ratio!H37</f>
        <v>0.931567586986568</v>
      </c>
      <c r="I61" s="66" t="n">
        <f aca="false">I26*Ratio!I37</f>
        <v>0.895703464209311</v>
      </c>
      <c r="J61" s="67" t="n">
        <f aca="false">J26*Ratio!J37</f>
        <v>0.917455337431137</v>
      </c>
      <c r="K61" s="65" t="n">
        <f aca="false">K26*Ratio!K37</f>
        <v>0.89288193060941</v>
      </c>
      <c r="L61" s="63" t="n">
        <f aca="false">L26*Ratio!L37</f>
        <v>0.884625747372018</v>
      </c>
      <c r="M61" s="65" t="n">
        <f aca="false">M26*Ratio!M37</f>
        <v>0.88659094876053</v>
      </c>
      <c r="N61" s="65" t="n">
        <f aca="false">N26*Ratio!N37</f>
        <v>0.88522983657434</v>
      </c>
      <c r="O61" s="63" t="n">
        <f aca="false">O26*Ratio!O37</f>
        <v>0.882710427750344</v>
      </c>
      <c r="P61" s="68" t="n">
        <f aca="false">P26*Ratio!P37</f>
        <v>0.911114455337909</v>
      </c>
      <c r="Q61" s="67" t="n">
        <f aca="false">Q26*Ratio!Q37</f>
        <v>0.943463561502051</v>
      </c>
      <c r="R61" s="63" t="n">
        <f aca="false">R26*Ratio!R37</f>
        <v>0.959862349108529</v>
      </c>
      <c r="S61" s="65" t="n">
        <f aca="false">S26*Ratio!S37</f>
        <v>0.949337635865304</v>
      </c>
      <c r="T61" s="63" t="n">
        <f aca="false">T26*Ratio!T37</f>
        <v>1.12507727962701</v>
      </c>
      <c r="U61" s="63" t="n">
        <f aca="false">U26*Ratio!U37</f>
        <v>1.68050253948141</v>
      </c>
      <c r="V61" s="65" t="n">
        <f aca="false">V26*Ratio!V37</f>
        <v>1.57225717044387</v>
      </c>
      <c r="W61" s="65" t="n">
        <f aca="false">W26*Ratio!W37</f>
        <v>1.57733252691572</v>
      </c>
      <c r="X61" s="66" t="n">
        <f aca="false">X26*Ratio!X37</f>
        <v>1.62999294150383</v>
      </c>
      <c r="Y61" s="67" t="n">
        <f aca="false">Y26*Ratio!Y37</f>
        <v>1.36322836704357</v>
      </c>
      <c r="Z61" s="63" t="n">
        <f aca="false">Z26*Ratio!Z37</f>
        <v>1.38333398960424</v>
      </c>
      <c r="AA61" s="65" t="n">
        <f aca="false">AA26*Ratio!AA37</f>
        <v>1.31818856336724</v>
      </c>
      <c r="AB61" s="63" t="n">
        <f aca="false">AB26*Ratio!AB37</f>
        <v>1.14333991194258</v>
      </c>
      <c r="AC61" s="68" t="n">
        <f aca="false">AC26*Ratio!AC37</f>
        <v>1.01363840363052</v>
      </c>
      <c r="AD61" s="67" t="n">
        <f aca="false">AD26*Ratio!AD37</f>
        <v>0.914315615071166</v>
      </c>
      <c r="AE61" s="63" t="n">
        <f aca="false">AE26*Ratio!AE37</f>
        <v>0.90020389752151</v>
      </c>
      <c r="AF61" s="65" t="n">
        <f aca="false">AF26*Ratio!AF37</f>
        <v>0.929273418326106</v>
      </c>
      <c r="AG61" s="63" t="n">
        <f aca="false">AG26*Ratio!AG37</f>
        <v>0.748620578632833</v>
      </c>
      <c r="AH61" s="63" t="n">
        <f aca="false">AH26*Ratio!AH37</f>
        <v>0.677159236687106</v>
      </c>
      <c r="AI61" s="66" t="n">
        <f aca="false">AI26*Ratio!AI37</f>
        <v>0.77652361623385</v>
      </c>
      <c r="AJ61" s="67" t="n">
        <f aca="false">AJ26*Ratio!AJ37</f>
        <v>0.809865878075709</v>
      </c>
      <c r="AK61" s="63" t="n">
        <f aca="false">AK26*Ratio!AK37</f>
        <v>0.782701170688488</v>
      </c>
      <c r="AL61" s="63" t="n">
        <f aca="false">AL26*Ratio!AL37</f>
        <v>0.808527390240796</v>
      </c>
      <c r="AM61" s="63" t="n">
        <f aca="false">AM26*Ratio!AM37</f>
        <v>0.73951192754187</v>
      </c>
      <c r="AN61" s="68" t="n">
        <f aca="false">AN26*Ratio!AN37</f>
        <v>1.1482855479849</v>
      </c>
      <c r="AO61" s="67" t="n">
        <f aca="false">AO26*Ratio!AO37</f>
        <v>1.18292755580475</v>
      </c>
      <c r="AP61" s="63" t="n">
        <f aca="false">AP26*Ratio!AP37</f>
        <v>1.16226517326149</v>
      </c>
      <c r="AQ61" s="65" t="n">
        <f aca="false">AQ26*Ratio!AQ37</f>
        <v>1.16604942916174</v>
      </c>
    </row>
    <row r="62" customFormat="false" ht="12.8" hidden="false" customHeight="false" outlineLevel="0" collapsed="false">
      <c r="A62" s="139" t="s">
        <v>183</v>
      </c>
      <c r="B62" s="65" t="n">
        <f aca="false">B27*Ratio!B38</f>
        <v>0.532786550714909</v>
      </c>
      <c r="C62" s="65" t="n">
        <f aca="false">C27*Ratio!C38</f>
        <v>0.545717862004739</v>
      </c>
      <c r="D62" s="63" t="n">
        <f aca="false">D27*Ratio!D38</f>
        <v>0.53783818665004</v>
      </c>
      <c r="E62" s="65" t="n">
        <f aca="false">E27*Ratio!E38</f>
        <v>0.536742876288497</v>
      </c>
      <c r="F62" s="63" t="n">
        <f aca="false">F27*Ratio!F38</f>
        <v>0.543793191788249</v>
      </c>
      <c r="G62" s="65" t="n">
        <f aca="false">G27*Ratio!G38</f>
        <v>0.639159082387691</v>
      </c>
      <c r="H62" s="63" t="n">
        <f aca="false">H27*Ratio!H38</f>
        <v>0.614358532879054</v>
      </c>
      <c r="I62" s="66" t="n">
        <f aca="false">I27*Ratio!I38</f>
        <v>0.61028789127905</v>
      </c>
      <c r="J62" s="67" t="n">
        <f aca="false">J27*Ratio!J38</f>
        <v>0.657371413199217</v>
      </c>
      <c r="K62" s="65" t="n">
        <f aca="false">K27*Ratio!K38</f>
        <v>0.679608988486047</v>
      </c>
      <c r="L62" s="63" t="n">
        <f aca="false">L27*Ratio!L38</f>
        <v>0.652852796966848</v>
      </c>
      <c r="M62" s="65" t="n">
        <f aca="false">M27*Ratio!M38</f>
        <v>0.653695511307557</v>
      </c>
      <c r="N62" s="65" t="n">
        <f aca="false">N27*Ratio!N38</f>
        <v>0.659369352836344</v>
      </c>
      <c r="O62" s="63" t="n">
        <f aca="false">O27*Ratio!O38</f>
        <v>0.690629101183902</v>
      </c>
      <c r="P62" s="68" t="n">
        <f aca="false">P27*Ratio!P38</f>
        <v>0.624001703704198</v>
      </c>
      <c r="Q62" s="67" t="n">
        <f aca="false">Q27*Ratio!Q38</f>
        <v>0.63953898407294</v>
      </c>
      <c r="R62" s="63" t="n">
        <f aca="false">R27*Ratio!R38</f>
        <v>0.635308672135098</v>
      </c>
      <c r="S62" s="65" t="n">
        <f aca="false">S27*Ratio!S38</f>
        <v>0.638570985860233</v>
      </c>
      <c r="T62" s="63" t="n">
        <f aca="false">T27*Ratio!T38</f>
        <v>0.789638185286104</v>
      </c>
      <c r="U62" s="63" t="n">
        <f aca="false">U27*Ratio!U38</f>
        <v>0.689408330329898</v>
      </c>
      <c r="V62" s="65" t="n">
        <f aca="false">V27*Ratio!V38</f>
        <v>0.647744931646793</v>
      </c>
      <c r="W62" s="65" t="n">
        <f aca="false">W27*Ratio!W38</f>
        <v>0.667416977230817</v>
      </c>
      <c r="X62" s="66" t="n">
        <f aca="false">X27*Ratio!X38</f>
        <v>0.691400445301968</v>
      </c>
      <c r="Y62" s="67" t="n">
        <f aca="false">Y27*Ratio!Y38</f>
        <v>0.65055661444302</v>
      </c>
      <c r="Z62" s="63" t="n">
        <f aca="false">Z27*Ratio!Z38</f>
        <v>0.66776947275095</v>
      </c>
      <c r="AA62" s="65" t="n">
        <f aca="false">AA27*Ratio!AA38</f>
        <v>0.633547178377194</v>
      </c>
      <c r="AB62" s="63" t="n">
        <f aca="false">AB27*Ratio!AB38</f>
        <v>0.607789415835216</v>
      </c>
      <c r="AC62" s="68" t="n">
        <f aca="false">AC27*Ratio!AC38</f>
        <v>0.733815909905174</v>
      </c>
      <c r="AD62" s="67" t="n">
        <f aca="false">AD27*Ratio!AD38</f>
        <v>0.704658857260119</v>
      </c>
      <c r="AE62" s="63" t="n">
        <f aca="false">AE27*Ratio!AE38</f>
        <v>0.662834174026337</v>
      </c>
      <c r="AF62" s="65" t="n">
        <f aca="false">AF27*Ratio!AF38</f>
        <v>0.633374696512562</v>
      </c>
      <c r="AG62" s="63" t="n">
        <f aca="false">AG27*Ratio!AG38</f>
        <v>0.643329503087758</v>
      </c>
      <c r="AH62" s="63" t="n">
        <f aca="false">AH27*Ratio!AH38</f>
        <v>0.651526915444334</v>
      </c>
      <c r="AI62" s="66" t="n">
        <f aca="false">AI27*Ratio!AI38</f>
        <v>0.80837422617762</v>
      </c>
      <c r="AJ62" s="67" t="n">
        <f aca="false">AJ27*Ratio!AJ38</f>
        <v>0.885733605461932</v>
      </c>
      <c r="AK62" s="63" t="n">
        <f aca="false">AK27*Ratio!AK38</f>
        <v>0.803762284252561</v>
      </c>
      <c r="AL62" s="63" t="n">
        <f aca="false">AL27*Ratio!AL38</f>
        <v>0.754171658383832</v>
      </c>
      <c r="AM62" s="63" t="n">
        <f aca="false">AM27*Ratio!AM38</f>
        <v>0.747666786573028</v>
      </c>
      <c r="AN62" s="68" t="n">
        <f aca="false">AN27*Ratio!AN38</f>
        <v>0.603854373147608</v>
      </c>
      <c r="AO62" s="67" t="n">
        <f aca="false">AO27*Ratio!AO38</f>
        <v>0.563372131048683</v>
      </c>
      <c r="AP62" s="63" t="n">
        <f aca="false">AP27*Ratio!AP38</f>
        <v>0.585014023474372</v>
      </c>
      <c r="AQ62" s="65" t="n">
        <f aca="false">AQ27*Ratio!AQ38</f>
        <v>0.575757282429884</v>
      </c>
    </row>
    <row r="63" customFormat="false" ht="12.8" hidden="false" customHeight="false" outlineLevel="0" collapsed="false">
      <c r="A63" s="139" t="s">
        <v>27</v>
      </c>
      <c r="B63" s="65" t="n">
        <f aca="false">B28*Ratio!B39</f>
        <v>0.209240123496125</v>
      </c>
      <c r="C63" s="65" t="n">
        <f aca="false">C28*Ratio!C39</f>
        <v>0.209414953801721</v>
      </c>
      <c r="D63" s="63" t="n">
        <f aca="false">D28*Ratio!D39</f>
        <v>0.206391190122234</v>
      </c>
      <c r="E63" s="65" t="n">
        <f aca="false">E28*Ratio!E39</f>
        <v>0.185873522172236</v>
      </c>
      <c r="F63" s="63" t="n">
        <f aca="false">F28*Ratio!F39</f>
        <v>0.17251898946736</v>
      </c>
      <c r="G63" s="65" t="n">
        <f aca="false">G28*Ratio!G39</f>
        <v>0.122761060905215</v>
      </c>
      <c r="H63" s="63" t="n">
        <f aca="false">H28*Ratio!H39</f>
        <v>0.117997705658288</v>
      </c>
      <c r="I63" s="66" t="n">
        <f aca="false">I28*Ratio!I39</f>
        <v>0.114357039066598</v>
      </c>
      <c r="J63" s="67" t="n">
        <f aca="false">J28*Ratio!J39</f>
        <v>0.1259169012329</v>
      </c>
      <c r="K63" s="65" t="n">
        <f aca="false">K28*Ratio!K39</f>
        <v>0.166501581218166</v>
      </c>
      <c r="L63" s="63" t="n">
        <f aca="false">L28*Ratio!L39</f>
        <v>0.159946417483139</v>
      </c>
      <c r="M63" s="65" t="n">
        <f aca="false">M28*Ratio!M39</f>
        <v>0.160879467766871</v>
      </c>
      <c r="N63" s="65" t="n">
        <f aca="false">N28*Ratio!N39</f>
        <v>0.148021913122239</v>
      </c>
      <c r="O63" s="63" t="n">
        <f aca="false">O28*Ratio!O39</f>
        <v>0.0910348898318134</v>
      </c>
      <c r="P63" s="68" t="n">
        <f aca="false">P28*Ratio!P39</f>
        <v>0.0728132662124542</v>
      </c>
      <c r="Q63" s="67" t="n">
        <f aca="false">Q28*Ratio!Q39</f>
        <v>0.080253010878687</v>
      </c>
      <c r="R63" s="63" t="n">
        <f aca="false">R28*Ratio!R39</f>
        <v>0.0765521733387423</v>
      </c>
      <c r="S63" s="65" t="n">
        <f aca="false">S28*Ratio!S39</f>
        <v>0.0854049540662378</v>
      </c>
      <c r="T63" s="63" t="n">
        <f aca="false">T28*Ratio!T39</f>
        <v>0.0765422874703878</v>
      </c>
      <c r="U63" s="63" t="n">
        <f aca="false">U28*Ratio!U39</f>
        <v>0.356896416218263</v>
      </c>
      <c r="V63" s="65" t="n">
        <f aca="false">V28*Ratio!V39</f>
        <v>0.345803817157432</v>
      </c>
      <c r="W63" s="65" t="n">
        <f aca="false">W28*Ratio!W39</f>
        <v>0.356305896173251</v>
      </c>
      <c r="X63" s="66" t="n">
        <f aca="false">X28*Ratio!X39</f>
        <v>0.369109662598087</v>
      </c>
      <c r="Y63" s="67" t="n">
        <f aca="false">Y28*Ratio!Y39</f>
        <v>0.388450260450398</v>
      </c>
      <c r="Z63" s="63" t="n">
        <f aca="false">Z28*Ratio!Z39</f>
        <v>0.399534392315628</v>
      </c>
      <c r="AA63" s="65" t="n">
        <f aca="false">AA28*Ratio!AA39</f>
        <v>0.41280688367202</v>
      </c>
      <c r="AB63" s="63" t="n">
        <f aca="false">AB28*Ratio!AB39</f>
        <v>0.415724767240902</v>
      </c>
      <c r="AC63" s="68" t="n">
        <f aca="false">AC28*Ratio!AC39</f>
        <v>0.167634673889729</v>
      </c>
      <c r="AD63" s="67" t="n">
        <f aca="false">AD28*Ratio!AD39</f>
        <v>0.179502959910261</v>
      </c>
      <c r="AE63" s="63" t="n">
        <f aca="false">AE28*Ratio!AE39</f>
        <v>0.18558174919321</v>
      </c>
      <c r="AF63" s="65" t="n">
        <f aca="false">AF28*Ratio!AF39</f>
        <v>0.155539781198781</v>
      </c>
      <c r="AG63" s="63" t="n">
        <f aca="false">AG28*Ratio!AG39</f>
        <v>0.168840696644586</v>
      </c>
      <c r="AH63" s="63" t="n">
        <f aca="false">AH28*Ratio!AH39</f>
        <v>0.15453076224233</v>
      </c>
      <c r="AI63" s="66" t="n">
        <f aca="false">AI28*Ratio!AI39</f>
        <v>0.276098057559316</v>
      </c>
      <c r="AJ63" s="67" t="n">
        <f aca="false">AJ28*Ratio!AJ39</f>
        <v>0.310015183134122</v>
      </c>
      <c r="AK63" s="63" t="n">
        <f aca="false">AK28*Ratio!AK39</f>
        <v>0.305419355681851</v>
      </c>
      <c r="AL63" s="63" t="n">
        <f aca="false">AL28*Ratio!AL39</f>
        <v>0.270017454641513</v>
      </c>
      <c r="AM63" s="63" t="n">
        <f aca="false">AM28*Ratio!AM39</f>
        <v>0.26177391775356</v>
      </c>
      <c r="AN63" s="68" t="n">
        <f aca="false">AN28*Ratio!AN39</f>
        <v>0.567761494192809</v>
      </c>
      <c r="AO63" s="67" t="n">
        <f aca="false">AO28*Ratio!AO39</f>
        <v>0.514031589524</v>
      </c>
      <c r="AP63" s="63" t="n">
        <f aca="false">AP28*Ratio!AP39</f>
        <v>0.636485461511769</v>
      </c>
      <c r="AQ63" s="65" t="n">
        <f aca="false">AQ28*Ratio!AQ39</f>
        <v>0.557187530589181</v>
      </c>
    </row>
    <row r="64" customFormat="false" ht="12.8" hidden="false" customHeight="false" outlineLevel="0" collapsed="false">
      <c r="A64" s="139" t="s">
        <v>31</v>
      </c>
      <c r="B64" s="65" t="n">
        <f aca="false">B29*Ratio!B40</f>
        <v>0.530119185902027</v>
      </c>
      <c r="C64" s="65" t="n">
        <f aca="false">C29*Ratio!C40</f>
        <v>0.481479491234839</v>
      </c>
      <c r="D64" s="63" t="n">
        <f aca="false">D29*Ratio!D40</f>
        <v>0.473712158522365</v>
      </c>
      <c r="E64" s="65" t="n">
        <f aca="false">E29*Ratio!E40</f>
        <v>0.444942919513319</v>
      </c>
      <c r="F64" s="63" t="n">
        <f aca="false">F29*Ratio!F40</f>
        <v>0.396707060174849</v>
      </c>
      <c r="G64" s="65" t="n">
        <f aca="false">G29*Ratio!G40</f>
        <v>0.160040816267214</v>
      </c>
      <c r="H64" s="63" t="n">
        <f aca="false">H29*Ratio!H40</f>
        <v>0.143113978330385</v>
      </c>
      <c r="I64" s="66" t="n">
        <f aca="false">I29*Ratio!I40</f>
        <v>0.137302931454674</v>
      </c>
      <c r="J64" s="67" t="n">
        <f aca="false">J29*Ratio!J40</f>
        <v>0.154661230854924</v>
      </c>
      <c r="K64" s="65" t="n">
        <f aca="false">K29*Ratio!K40</f>
        <v>0.179916085860501</v>
      </c>
      <c r="L64" s="63" t="n">
        <f aca="false">L29*Ratio!L40</f>
        <v>0.183364252254433</v>
      </c>
      <c r="M64" s="65" t="n">
        <f aca="false">M29*Ratio!M40</f>
        <v>0.183367592678338</v>
      </c>
      <c r="N64" s="65" t="n">
        <f aca="false">N29*Ratio!N40</f>
        <v>0.168712131732503</v>
      </c>
      <c r="O64" s="63" t="n">
        <f aca="false">O29*Ratio!O40</f>
        <v>0.106410132686762</v>
      </c>
      <c r="P64" s="68" t="n">
        <f aca="false">P29*Ratio!P40</f>
        <v>0.160682692543494</v>
      </c>
      <c r="Q64" s="67" t="n">
        <f aca="false">Q29*Ratio!Q40</f>
        <v>0.185731781837565</v>
      </c>
      <c r="R64" s="63" t="n">
        <f aca="false">R29*Ratio!R40</f>
        <v>0.212763814979094</v>
      </c>
      <c r="S64" s="65" t="n">
        <f aca="false">S29*Ratio!S40</f>
        <v>0.207701803929706</v>
      </c>
      <c r="T64" s="63" t="n">
        <f aca="false">T29*Ratio!T40</f>
        <v>0.174070868512014</v>
      </c>
      <c r="U64" s="63" t="n">
        <f aca="false">U29*Ratio!U40</f>
        <v>-0.129784795606785</v>
      </c>
      <c r="V64" s="65" t="n">
        <f aca="false">V29*Ratio!V40</f>
        <v>-0.122038064627746</v>
      </c>
      <c r="W64" s="65" t="n">
        <f aca="false">W29*Ratio!W40</f>
        <v>-0.126835051992828</v>
      </c>
      <c r="X64" s="66" t="n">
        <f aca="false">X29*Ratio!X40</f>
        <v>-0.131355556870002</v>
      </c>
      <c r="Y64" s="67" t="n">
        <f aca="false">Y29*Ratio!Y40</f>
        <v>-0.142111465727279</v>
      </c>
      <c r="Z64" s="63" t="n">
        <f aca="false">Z29*Ratio!Z40</f>
        <v>-0.141931066917734</v>
      </c>
      <c r="AA64" s="65" t="n">
        <f aca="false">AA29*Ratio!AA40</f>
        <v>-0.142978625392263</v>
      </c>
      <c r="AB64" s="63" t="n">
        <f aca="false">AB29*Ratio!AB40</f>
        <v>-0.134620662977385</v>
      </c>
      <c r="AC64" s="68" t="n">
        <f aca="false">AC29*Ratio!AC40</f>
        <v>0.250174897123036</v>
      </c>
      <c r="AD64" s="67" t="n">
        <f aca="false">AD29*Ratio!AD40</f>
        <v>0.278340053368958</v>
      </c>
      <c r="AE64" s="63" t="n">
        <f aca="false">AE29*Ratio!AE40</f>
        <v>0.278772784200046</v>
      </c>
      <c r="AF64" s="65" t="n">
        <f aca="false">AF29*Ratio!AF40</f>
        <v>0.243047370122251</v>
      </c>
      <c r="AG64" s="63" t="n">
        <f aca="false">AG29*Ratio!AG40</f>
        <v>0.246766732632002</v>
      </c>
      <c r="AH64" s="63" t="n">
        <f aca="false">AH29*Ratio!AH40</f>
        <v>-0.567390919166432</v>
      </c>
      <c r="AI64" s="66" t="n">
        <f aca="false">AI29*Ratio!AI40</f>
        <v>-1.0071129580981</v>
      </c>
      <c r="AJ64" s="67" t="n">
        <f aca="false">AJ29*Ratio!AJ40</f>
        <v>-1.05148199981371</v>
      </c>
      <c r="AK64" s="63" t="n">
        <f aca="false">AK29*Ratio!AK40</f>
        <v>-1.00414441308425</v>
      </c>
      <c r="AL64" s="63" t="n">
        <f aca="false">AL29*Ratio!AL40</f>
        <v>-0.894927653844523</v>
      </c>
      <c r="AM64" s="63" t="n">
        <f aca="false">AM29*Ratio!AM40</f>
        <v>-0.862738001698337</v>
      </c>
      <c r="AN64" s="68" t="n">
        <f aca="false">AN29*Ratio!AN40</f>
        <v>0.381190926225581</v>
      </c>
      <c r="AO64" s="67" t="n">
        <f aca="false">AO29*Ratio!AO40</f>
        <v>0.365308397146289</v>
      </c>
      <c r="AP64" s="63" t="n">
        <f aca="false">AP29*Ratio!AP40</f>
        <v>0.479992118116423</v>
      </c>
      <c r="AQ64" s="65" t="n">
        <f aca="false">AQ29*Ratio!AQ40</f>
        <v>0.411023647342444</v>
      </c>
    </row>
    <row r="65" customFormat="false" ht="12.8" hidden="false" customHeight="false" outlineLevel="0" collapsed="false">
      <c r="A65" s="139" t="s">
        <v>184</v>
      </c>
      <c r="B65" s="65" t="n">
        <f aca="false">B30*Ratio!B41</f>
        <v>0.610602976129624</v>
      </c>
      <c r="C65" s="65" t="n">
        <f aca="false">C30*Ratio!C41</f>
        <v>0.553908473257671</v>
      </c>
      <c r="D65" s="63" t="n">
        <f aca="false">D30*Ratio!D41</f>
        <v>0.559764816479583</v>
      </c>
      <c r="E65" s="65" t="n">
        <f aca="false">E30*Ratio!E41</f>
        <v>0.562413116349747</v>
      </c>
      <c r="F65" s="63" t="n">
        <f aca="false">F30*Ratio!F41</f>
        <v>0.531603875239459</v>
      </c>
      <c r="G65" s="65" t="n">
        <f aca="false">G30*Ratio!G41</f>
        <v>1.69948289714152</v>
      </c>
      <c r="H65" s="63" t="n">
        <f aca="false">H30*Ratio!H41</f>
        <v>1.47660082561773</v>
      </c>
      <c r="I65" s="66" t="n">
        <f aca="false">I30*Ratio!I41</f>
        <v>1.51952996061861</v>
      </c>
      <c r="J65" s="67" t="n">
        <f aca="false">J30*Ratio!J41</f>
        <v>1.34488332904466</v>
      </c>
      <c r="K65" s="65" t="n">
        <f aca="false">K30*Ratio!K41</f>
        <v>1.13553628553088</v>
      </c>
      <c r="L65" s="63" t="n">
        <f aca="false">L30*Ratio!L41</f>
        <v>1.15682269838067</v>
      </c>
      <c r="M65" s="65" t="n">
        <f aca="false">M30*Ratio!M41</f>
        <v>1.15161905748049</v>
      </c>
      <c r="N65" s="65" t="n">
        <f aca="false">N30*Ratio!N41</f>
        <v>1.16184257084485</v>
      </c>
      <c r="O65" s="63" t="n">
        <f aca="false">O30*Ratio!O41</f>
        <v>1.27194564912984</v>
      </c>
      <c r="P65" s="68" t="n">
        <f aca="false">P30*Ratio!P41</f>
        <v>0.422220199122263</v>
      </c>
      <c r="Q65" s="67" t="n">
        <f aca="false">Q30*Ratio!Q41</f>
        <v>0.381860196699752</v>
      </c>
      <c r="R65" s="63" t="n">
        <f aca="false">R30*Ratio!R41</f>
        <v>0.366831895644575</v>
      </c>
      <c r="S65" s="65" t="n">
        <f aca="false">S30*Ratio!S41</f>
        <v>0.292952451160484</v>
      </c>
      <c r="T65" s="63" t="n">
        <f aca="false">T30*Ratio!T41</f>
        <v>0.29709089967218</v>
      </c>
      <c r="U65" s="63" t="n">
        <f aca="false">U30*Ratio!U41</f>
        <v>0.578751219406606</v>
      </c>
      <c r="V65" s="65" t="n">
        <f aca="false">V30*Ratio!V41</f>
        <v>0.574254318689781</v>
      </c>
      <c r="W65" s="65" t="n">
        <f aca="false">W30*Ratio!W41</f>
        <v>0.594812153278622</v>
      </c>
      <c r="X65" s="66" t="n">
        <f aca="false">X30*Ratio!X41</f>
        <v>0.616011744382592</v>
      </c>
      <c r="Y65" s="67" t="n">
        <f aca="false">Y30*Ratio!Y41</f>
        <v>0.630223492651858</v>
      </c>
      <c r="Z65" s="63" t="n">
        <f aca="false">Z30*Ratio!Z41</f>
        <v>0.671990039955825</v>
      </c>
      <c r="AA65" s="65" t="n">
        <f aca="false">AA30*Ratio!AA41</f>
        <v>0.652191852366105</v>
      </c>
      <c r="AB65" s="63" t="n">
        <f aca="false">AB30*Ratio!AB41</f>
        <v>0.681812572765043</v>
      </c>
      <c r="AC65" s="68" t="n">
        <f aca="false">AC30*Ratio!AC41</f>
        <v>0.105767355334374</v>
      </c>
      <c r="AD65" s="67" t="n">
        <f aca="false">AD30*Ratio!AD41</f>
        <v>0.109576070107747</v>
      </c>
      <c r="AE65" s="63" t="n">
        <f aca="false">AE30*Ratio!AE41</f>
        <v>0.103844950785343</v>
      </c>
      <c r="AF65" s="65" t="n">
        <f aca="false">AF30*Ratio!AF41</f>
        <v>0.103226905360388</v>
      </c>
      <c r="AG65" s="63" t="n">
        <f aca="false">AG30*Ratio!AG41</f>
        <v>0.0858925710952775</v>
      </c>
      <c r="AH65" s="63" t="n">
        <f aca="false">AH30*Ratio!AH41</f>
        <v>0.306081196242245</v>
      </c>
      <c r="AI65" s="66" t="n">
        <f aca="false">AI30*Ratio!AI41</f>
        <v>0.430891014069996</v>
      </c>
      <c r="AJ65" s="67" t="n">
        <f aca="false">AJ30*Ratio!AJ41</f>
        <v>0.46058335554087</v>
      </c>
      <c r="AK65" s="63" t="n">
        <f aca="false">AK30*Ratio!AK41</f>
        <v>0.395410768051253</v>
      </c>
      <c r="AL65" s="63" t="n">
        <f aca="false">AL30*Ratio!AL41</f>
        <v>0.374881961092965</v>
      </c>
      <c r="AM65" s="63" t="n">
        <f aca="false">AM30*Ratio!AM41</f>
        <v>0.370350642031967</v>
      </c>
      <c r="AN65" s="68" t="n">
        <f aca="false">AN30*Ratio!AN41</f>
        <v>0.201063392036827</v>
      </c>
      <c r="AO65" s="67" t="n">
        <f aca="false">AO30*Ratio!AO41</f>
        <v>0.181292915980399</v>
      </c>
      <c r="AP65" s="63" t="n">
        <f aca="false">AP30*Ratio!AP41</f>
        <v>0.217349185069426</v>
      </c>
      <c r="AQ65" s="65" t="n">
        <f aca="false">AQ30*Ratio!AQ41</f>
        <v>0.212315803163185</v>
      </c>
    </row>
    <row r="66" customFormat="false" ht="12.8" hidden="false" customHeight="false" outlineLevel="0" collapsed="false">
      <c r="A66" s="139" t="s">
        <v>185</v>
      </c>
      <c r="B66" s="65" t="n">
        <f aca="false">B31*Ratio!B42</f>
        <v>0.126249858786175</v>
      </c>
      <c r="C66" s="65" t="n">
        <f aca="false">C31*Ratio!C42</f>
        <v>0.123688588876324</v>
      </c>
      <c r="D66" s="63" t="n">
        <f aca="false">D31*Ratio!D42</f>
        <v>0.125027568139081</v>
      </c>
      <c r="E66" s="65" t="n">
        <f aca="false">E31*Ratio!E42</f>
        <v>0.130683328614363</v>
      </c>
      <c r="F66" s="63" t="n">
        <f aca="false">F31*Ratio!F42</f>
        <v>0.103604390891423</v>
      </c>
      <c r="G66" s="65" t="n">
        <f aca="false">G31*Ratio!G42</f>
        <v>0.139139985899693</v>
      </c>
      <c r="H66" s="63" t="n">
        <f aca="false">H31*Ratio!H42</f>
        <v>0.128892112945825</v>
      </c>
      <c r="I66" s="66" t="n">
        <f aca="false">I31*Ratio!I42</f>
        <v>0.132399916956675</v>
      </c>
      <c r="J66" s="67" t="n">
        <f aca="false">J31*Ratio!J42</f>
        <v>0.109938401713023</v>
      </c>
      <c r="K66" s="65" t="n">
        <f aca="false">K31*Ratio!K42</f>
        <v>0.0914302677289597</v>
      </c>
      <c r="L66" s="63" t="n">
        <f aca="false">L31*Ratio!L42</f>
        <v>0.0913618671614477</v>
      </c>
      <c r="M66" s="65" t="n">
        <f aca="false">M31*Ratio!M42</f>
        <v>0.0914097529442499</v>
      </c>
      <c r="N66" s="65" t="n">
        <f aca="false">N31*Ratio!N42</f>
        <v>0.0867964651586356</v>
      </c>
      <c r="O66" s="63" t="n">
        <f aca="false">O31*Ratio!O42</f>
        <v>0.0917327257141516</v>
      </c>
      <c r="P66" s="68" t="n">
        <f aca="false">P31*Ratio!P42</f>
        <v>0.151423390404203</v>
      </c>
      <c r="Q66" s="67" t="n">
        <f aca="false">Q31*Ratio!Q42</f>
        <v>0.137722920395854</v>
      </c>
      <c r="R66" s="63"/>
      <c r="S66" s="65"/>
      <c r="T66" s="63"/>
      <c r="U66" s="63"/>
      <c r="V66" s="65"/>
      <c r="W66" s="65"/>
      <c r="X66" s="66"/>
      <c r="Y66" s="67"/>
      <c r="Z66" s="63"/>
      <c r="AA66" s="65"/>
      <c r="AB66" s="63"/>
      <c r="AC66" s="68"/>
      <c r="AD66" s="67"/>
      <c r="AE66" s="63"/>
      <c r="AF66" s="65"/>
      <c r="AG66" s="63"/>
      <c r="AH66" s="63"/>
      <c r="AI66" s="66"/>
      <c r="AJ66" s="67"/>
      <c r="AK66" s="63"/>
      <c r="AL66" s="63"/>
      <c r="AM66" s="63"/>
      <c r="AN66" s="68"/>
      <c r="AO66" s="67"/>
      <c r="AP66" s="63"/>
      <c r="AQ66" s="65"/>
    </row>
    <row r="67" customFormat="false" ht="12.8" hidden="false" customHeight="false" outlineLevel="0" collapsed="false">
      <c r="A67" s="139" t="s">
        <v>29</v>
      </c>
      <c r="B67" s="65" t="n">
        <f aca="false">B32*Ratio!B43</f>
        <v>0.20717094489476</v>
      </c>
      <c r="C67" s="65" t="n">
        <f aca="false">C32*Ratio!C43</f>
        <v>0.193897969366938</v>
      </c>
      <c r="D67" s="63" t="n">
        <f aca="false">D32*Ratio!D43</f>
        <v>0.190817657305999</v>
      </c>
      <c r="E67" s="65" t="n">
        <f aca="false">E32*Ratio!E43</f>
        <v>0.214655297191668</v>
      </c>
      <c r="F67" s="63" t="n">
        <f aca="false">F32*Ratio!F43</f>
        <v>0.136756569689866</v>
      </c>
      <c r="G67" s="65" t="n">
        <f aca="false">G32*Ratio!G43</f>
        <v>0.461133981610135</v>
      </c>
      <c r="H67" s="63" t="n">
        <f aca="false">H32*Ratio!H43</f>
        <v>0.41779247000827</v>
      </c>
      <c r="I67" s="66" t="n">
        <f aca="false">I32*Ratio!I43</f>
        <v>0.399948015977029</v>
      </c>
      <c r="J67" s="67" t="n">
        <f aca="false">J32*Ratio!J43</f>
        <v>0.391501265747572</v>
      </c>
      <c r="K67" s="65" t="n">
        <f aca="false">K32*Ratio!K43</f>
        <v>0.344963037915473</v>
      </c>
      <c r="L67" s="63" t="n">
        <f aca="false">L32*Ratio!L43</f>
        <v>0.336919466672329</v>
      </c>
      <c r="M67" s="65" t="n">
        <f aca="false">M32*Ratio!M43</f>
        <v>0.337096057332132</v>
      </c>
      <c r="N67" s="65" t="n">
        <f aca="false">N32*Ratio!N43</f>
        <v>0.30119474305275</v>
      </c>
      <c r="O67" s="63" t="n">
        <f aca="false">O32*Ratio!O43</f>
        <v>0.308999048396685</v>
      </c>
      <c r="P67" s="68" t="n">
        <f aca="false">P32*Ratio!P43</f>
        <v>0.195986615203672</v>
      </c>
      <c r="Q67" s="67" t="n">
        <f aca="false">Q32*Ratio!Q43</f>
        <v>0.232814738154694</v>
      </c>
      <c r="R67" s="63" t="n">
        <f aca="false">R32*Ratio!R43</f>
        <v>0.25960554810872</v>
      </c>
      <c r="S67" s="65" t="n">
        <f aca="false">S32*Ratio!S43</f>
        <v>0.249074133910017</v>
      </c>
      <c r="T67" s="63" t="n">
        <f aca="false">T32*Ratio!T43</f>
        <v>0.218197820435069</v>
      </c>
      <c r="U67" s="63" t="n">
        <f aca="false">U32*Ratio!U43</f>
        <v>0.155391779344642</v>
      </c>
      <c r="V67" s="65" t="n">
        <f aca="false">V32*Ratio!V43</f>
        <v>0.196355578930833</v>
      </c>
      <c r="W67" s="65" t="n">
        <f aca="false">W32*Ratio!W43</f>
        <v>0.204073787459194</v>
      </c>
      <c r="X67" s="66" t="n">
        <f aca="false">X32*Ratio!X43</f>
        <v>0.190266416803261</v>
      </c>
      <c r="Y67" s="67" t="n">
        <f aca="false">Y32*Ratio!Y43</f>
        <v>0.242100955735009</v>
      </c>
      <c r="Z67" s="63" t="n">
        <f aca="false">Z32*Ratio!Z43</f>
        <v>0.278999527719988</v>
      </c>
      <c r="AA67" s="65" t="n">
        <f aca="false">AA32*Ratio!AA43</f>
        <v>0.262501994659689</v>
      </c>
      <c r="AB67" s="63" t="n">
        <f aca="false">AB32*Ratio!AB43</f>
        <v>0.316289030756752</v>
      </c>
      <c r="AC67" s="68" t="n">
        <f aca="false">AC32*Ratio!AC43</f>
        <v>0.353610976917718</v>
      </c>
      <c r="AD67" s="67" t="n">
        <f aca="false">AD32*Ratio!AD43</f>
        <v>0.401384707561708</v>
      </c>
      <c r="AE67" s="63" t="n">
        <f aca="false">AE32*Ratio!AE43</f>
        <v>0.302633692657512</v>
      </c>
      <c r="AF67" s="65" t="n">
        <f aca="false">AF32*Ratio!AF43</f>
        <v>0.273035116830571</v>
      </c>
      <c r="AG67" s="63" t="n">
        <f aca="false">AG32*Ratio!AG43</f>
        <v>0.273852971666961</v>
      </c>
      <c r="AH67" s="63" t="n">
        <f aca="false">AH32*Ratio!AH43</f>
        <v>0.431694032281587</v>
      </c>
      <c r="AI67" s="66" t="n">
        <f aca="false">AI32*Ratio!AI43</f>
        <v>0.331633175347225</v>
      </c>
      <c r="AJ67" s="67" t="n">
        <f aca="false">AJ32*Ratio!AJ43</f>
        <v>0.296449994996476</v>
      </c>
      <c r="AK67" s="63" t="n">
        <f aca="false">AK32*Ratio!AK43</f>
        <v>0.318796052816325</v>
      </c>
      <c r="AL67" s="63" t="n">
        <f aca="false">AL32*Ratio!AL43</f>
        <v>0.32797118755175</v>
      </c>
      <c r="AM67" s="63" t="n">
        <f aca="false">AM32*Ratio!AM43</f>
        <v>0.31904254602814</v>
      </c>
      <c r="AN67" s="68" t="n">
        <f aca="false">AN32*Ratio!AN43</f>
        <v>0.258716153558225</v>
      </c>
      <c r="AO67" s="67"/>
      <c r="AP67" s="63"/>
      <c r="AQ67" s="65"/>
    </row>
    <row r="68" customFormat="false" ht="12.8" hidden="false" customHeight="false" outlineLevel="0" collapsed="false">
      <c r="A68" s="139" t="s">
        <v>186</v>
      </c>
      <c r="B68" s="65"/>
      <c r="C68" s="65"/>
      <c r="D68" s="63"/>
      <c r="E68" s="65"/>
      <c r="F68" s="63"/>
      <c r="G68" s="65"/>
      <c r="H68" s="63"/>
      <c r="I68" s="66"/>
      <c r="J68" s="67"/>
      <c r="K68" s="65"/>
      <c r="L68" s="63"/>
      <c r="M68" s="65"/>
      <c r="N68" s="65"/>
      <c r="O68" s="63"/>
      <c r="P68" s="68"/>
      <c r="Q68" s="67"/>
      <c r="R68" s="63" t="n">
        <f aca="false">R33*Ratio!R44</f>
        <v>1.12515442001318</v>
      </c>
      <c r="S68" s="65" t="n">
        <f aca="false">S33*Ratio!S44</f>
        <v>1.07562266081485</v>
      </c>
      <c r="T68" s="63" t="n">
        <f aca="false">T33*Ratio!T44</f>
        <v>1.13649437300851</v>
      </c>
      <c r="U68" s="63" t="n">
        <f aca="false">U33*Ratio!U44</f>
        <v>-0.671968199453917</v>
      </c>
      <c r="V68" s="65" t="n">
        <f aca="false">V33*Ratio!V44</f>
        <v>-0.721551594450445</v>
      </c>
      <c r="W68" s="65" t="n">
        <f aca="false">W33*Ratio!W44</f>
        <v>-0.749913842675139</v>
      </c>
      <c r="X68" s="66" t="n">
        <f aca="false">X33*Ratio!X44</f>
        <v>-0.699175634134266</v>
      </c>
      <c r="Y68" s="67" t="n">
        <f aca="false">Y33*Ratio!Y44</f>
        <v>-0.772985664916665</v>
      </c>
      <c r="Z68" s="63" t="n">
        <f aca="false">Z33*Ratio!Z44</f>
        <v>-0.772326575449084</v>
      </c>
      <c r="AA68" s="65" t="n">
        <f aca="false">AA33*Ratio!AA44</f>
        <v>-0.848528177921429</v>
      </c>
      <c r="AB68" s="63" t="n">
        <f aca="false">AB33*Ratio!AB44</f>
        <v>-0.773170316887538</v>
      </c>
      <c r="AC68" s="68" t="n">
        <f aca="false">AC33*Ratio!AC44</f>
        <v>0.235722640327657</v>
      </c>
      <c r="AD68" s="67" t="n">
        <f aca="false">AD33*Ratio!AD44</f>
        <v>0.247587844606419</v>
      </c>
      <c r="AE68" s="63" t="n">
        <f aca="false">AE33*Ratio!AE44</f>
        <v>0.234892067297069</v>
      </c>
      <c r="AF68" s="65" t="n">
        <f aca="false">AF33*Ratio!AF44</f>
        <v>0.233553034696929</v>
      </c>
      <c r="AG68" s="63" t="n">
        <f aca="false">AG33*Ratio!AG44</f>
        <v>0.314093922441829</v>
      </c>
      <c r="AH68" s="63" t="n">
        <f aca="false">AH33*Ratio!AH44</f>
        <v>0.325473181705946</v>
      </c>
      <c r="AI68" s="66" t="n">
        <f aca="false">AI33*Ratio!AI44</f>
        <v>0.424676528181167</v>
      </c>
      <c r="AJ68" s="67" t="n">
        <f aca="false">AJ33*Ratio!AJ44</f>
        <v>0.433420499239178</v>
      </c>
      <c r="AK68" s="63" t="n">
        <f aca="false">AK33*Ratio!AK44</f>
        <v>0.406402926835767</v>
      </c>
      <c r="AL68" s="63" t="n">
        <f aca="false">AL33*Ratio!AL44</f>
        <v>0.419672837126879</v>
      </c>
      <c r="AM68" s="63" t="n">
        <f aca="false">AM33*Ratio!AM44</f>
        <v>0.450257310501825</v>
      </c>
      <c r="AN68" s="68" t="n">
        <f aca="false">AN33*Ratio!AN44</f>
        <v>0.408691955035096</v>
      </c>
      <c r="AO68" s="67" t="n">
        <f aca="false">AO33*Ratio!AO44</f>
        <v>0.413902580782585</v>
      </c>
      <c r="AP68" s="63" t="n">
        <f aca="false">AP33*Ratio!AP44</f>
        <v>0.388029351888021</v>
      </c>
      <c r="AQ68" s="65" t="n">
        <f aca="false">AQ33*Ratio!AQ44</f>
        <v>0.376291491543117</v>
      </c>
    </row>
    <row r="69" customFormat="false" ht="12.8" hidden="false" customHeight="false" outlineLevel="0" collapsed="false">
      <c r="A69" s="139" t="s">
        <v>187</v>
      </c>
      <c r="B69" s="65"/>
      <c r="C69" s="65"/>
      <c r="D69" s="63"/>
      <c r="E69" s="65"/>
      <c r="F69" s="63"/>
      <c r="G69" s="65"/>
      <c r="H69" s="63"/>
      <c r="I69" s="66"/>
      <c r="J69" s="67"/>
      <c r="K69" s="65"/>
      <c r="L69" s="63"/>
      <c r="M69" s="65"/>
      <c r="N69" s="65"/>
      <c r="O69" s="63"/>
      <c r="P69" s="68"/>
      <c r="Q69" s="67"/>
      <c r="R69" s="63"/>
      <c r="S69" s="65"/>
      <c r="T69" s="63"/>
      <c r="U69" s="63"/>
      <c r="V69" s="65"/>
      <c r="W69" s="65"/>
      <c r="X69" s="66"/>
      <c r="Y69" s="67"/>
      <c r="Z69" s="63"/>
      <c r="AA69" s="65"/>
      <c r="AB69" s="63"/>
      <c r="AC69" s="68"/>
      <c r="AD69" s="67"/>
      <c r="AE69" s="63"/>
      <c r="AF69" s="65"/>
      <c r="AG69" s="63"/>
      <c r="AH69" s="63"/>
      <c r="AI69" s="66"/>
      <c r="AJ69" s="67"/>
      <c r="AK69" s="63"/>
      <c r="AL69" s="63"/>
      <c r="AM69" s="63"/>
      <c r="AN69" s="68"/>
      <c r="AO69" s="177"/>
      <c r="AP69" s="63" t="n">
        <f aca="false">AP34*Ratio!AP45</f>
        <v>2.63147524504029</v>
      </c>
      <c r="AQ69" s="65" t="n">
        <f aca="false">AQ34*Ratio!AQ45</f>
        <v>2.37165095883184</v>
      </c>
    </row>
    <row r="70" customFormat="false" ht="12.8" hidden="false" customHeight="false" outlineLevel="0" collapsed="false">
      <c r="A70" s="139" t="s">
        <v>190</v>
      </c>
      <c r="B70" s="65"/>
      <c r="C70" s="65"/>
      <c r="D70" s="63"/>
      <c r="E70" s="65"/>
      <c r="F70" s="63"/>
      <c r="G70" s="65"/>
      <c r="H70" s="63"/>
      <c r="I70" s="66"/>
      <c r="J70" s="67"/>
      <c r="K70" s="65"/>
      <c r="L70" s="63"/>
      <c r="M70" s="65"/>
      <c r="N70" s="65"/>
      <c r="O70" s="63"/>
      <c r="P70" s="68"/>
      <c r="Q70" s="67"/>
      <c r="R70" s="63"/>
      <c r="S70" s="65"/>
      <c r="T70" s="63"/>
      <c r="U70" s="63"/>
      <c r="V70" s="65"/>
      <c r="W70" s="65"/>
      <c r="X70" s="66"/>
      <c r="Y70" s="67"/>
      <c r="Z70" s="63"/>
      <c r="AA70" s="65"/>
      <c r="AB70" s="63"/>
      <c r="AC70" s="68"/>
      <c r="AD70" s="67"/>
      <c r="AE70" s="63"/>
      <c r="AF70" s="65"/>
      <c r="AG70" s="63"/>
      <c r="AH70" s="63"/>
      <c r="AI70" s="66"/>
      <c r="AJ70" s="67"/>
      <c r="AK70" s="63"/>
      <c r="AL70" s="63"/>
      <c r="AM70" s="63"/>
      <c r="AN70" s="68"/>
      <c r="AO70" s="67" t="n">
        <f aca="false">AO35*Ratio!AO48</f>
        <v>0.168173656538984</v>
      </c>
      <c r="AP70" s="179"/>
      <c r="AQ70" s="118"/>
    </row>
    <row r="71" customFormat="false" ht="12.8" hidden="false" customHeight="false" outlineLevel="0" collapsed="false">
      <c r="B71" s="39"/>
      <c r="K71" s="40"/>
      <c r="AQ71" s="39"/>
    </row>
    <row r="72" customFormat="false" ht="12.8" hidden="false" customHeight="false" outlineLevel="0" collapsed="false">
      <c r="A72" s="1" t="s">
        <v>207</v>
      </c>
      <c r="B72" s="39"/>
      <c r="K72" s="40"/>
      <c r="AQ72" s="39"/>
    </row>
    <row r="73" customFormat="false" ht="12.8" hidden="false" customHeight="false" outlineLevel="0" collapsed="false">
      <c r="A73" s="139" t="s">
        <v>24</v>
      </c>
      <c r="B73" s="65" t="n">
        <f aca="false">B22*Ratio!B63</f>
        <v>0.775097167380931</v>
      </c>
      <c r="C73" s="65" t="n">
        <f aca="false">C22*Ratio!C63</f>
        <v>0.761926419429113</v>
      </c>
      <c r="D73" s="63" t="n">
        <f aca="false">D22*Ratio!D63</f>
        <v>0.802988347454723</v>
      </c>
      <c r="E73" s="65" t="n">
        <f aca="false">E22*Ratio!E63</f>
        <v>0.779936306969552</v>
      </c>
      <c r="F73" s="63" t="n">
        <f aca="false">F22*Ratio!F63</f>
        <v>0.697390051100657</v>
      </c>
      <c r="G73" s="65" t="n">
        <f aca="false">G22*Ratio!G63</f>
        <v>0.510142595265802</v>
      </c>
      <c r="H73" s="63" t="n">
        <f aca="false">H22*Ratio!H63</f>
        <v>0.508554657786601</v>
      </c>
      <c r="I73" s="66" t="n">
        <f aca="false">I22*Ratio!I63</f>
        <v>0.488400199405688</v>
      </c>
      <c r="J73" s="67" t="n">
        <f aca="false">J22*Ratio!J63</f>
        <v>0.389517161159992</v>
      </c>
      <c r="K73" s="65" t="n">
        <f aca="false">K22*Ratio!K63</f>
        <v>0.326621377432996</v>
      </c>
      <c r="L73" s="63" t="n">
        <f aca="false">L22*Ratio!L63</f>
        <v>0.309320725152425</v>
      </c>
      <c r="M73" s="65" t="n">
        <f aca="false">M22*Ratio!M63</f>
        <v>0.306976060769335</v>
      </c>
      <c r="N73" s="65" t="n">
        <f aca="false">N22*Ratio!N63</f>
        <v>0.303309004040216</v>
      </c>
      <c r="O73" s="63" t="n">
        <f aca="false">O22*Ratio!O63</f>
        <v>0.281200566781848</v>
      </c>
      <c r="P73" s="68" t="n">
        <f aca="false">P22*Ratio!P63</f>
        <v>0.311169535591079</v>
      </c>
      <c r="Q73" s="67" t="n">
        <f aca="false">Q22*Ratio!Q63</f>
        <v>0.307303681298922</v>
      </c>
      <c r="R73" s="63" t="n">
        <f aca="false">R22*Ratio!R63</f>
        <v>0.285863358945697</v>
      </c>
      <c r="S73" s="65" t="n">
        <f aca="false">S22*Ratio!S63</f>
        <v>0.289871176249667</v>
      </c>
      <c r="T73" s="63" t="n">
        <f aca="false">T22*Ratio!T63</f>
        <v>0.297084638960133</v>
      </c>
      <c r="U73" s="63" t="n">
        <f aca="false">U22*Ratio!U63</f>
        <v>0.325125611190237</v>
      </c>
      <c r="V73" s="65" t="n">
        <f aca="false">V22*Ratio!V63</f>
        <v>0.326093717575592</v>
      </c>
      <c r="W73" s="65" t="n">
        <f aca="false">W22*Ratio!W63</f>
        <v>0.287137557403394</v>
      </c>
      <c r="X73" s="66" t="n">
        <f aca="false">X22*Ratio!X63</f>
        <v>0.330443408074113</v>
      </c>
      <c r="Y73" s="67" t="n">
        <f aca="false">Y22*Ratio!Y63</f>
        <v>0.305620846641936</v>
      </c>
      <c r="Z73" s="63" t="n">
        <f aca="false">Z22*Ratio!Z63</f>
        <v>0.247850680764596</v>
      </c>
      <c r="AA73" s="65" t="n">
        <f aca="false">AA22*Ratio!AA63</f>
        <v>0.260490739095017</v>
      </c>
      <c r="AB73" s="63" t="n">
        <f aca="false">AB22*Ratio!AB63</f>
        <v>0.199936699478396</v>
      </c>
      <c r="AC73" s="68" t="n">
        <f aca="false">AC22*Ratio!AC63</f>
        <v>0.175572550708141</v>
      </c>
      <c r="AD73" s="67" t="n">
        <f aca="false">AD22*Ratio!AD63</f>
        <v>0.164525791039748</v>
      </c>
      <c r="AE73" s="63" t="n">
        <f aca="false">AE22*Ratio!AE63</f>
        <v>0.151847045840974</v>
      </c>
      <c r="AF73" s="65" t="n">
        <f aca="false">AF22*Ratio!AF63</f>
        <v>0.158131499861321</v>
      </c>
      <c r="AG73" s="63" t="n">
        <f aca="false">AG22*Ratio!AG63</f>
        <v>0.114040956917369</v>
      </c>
      <c r="AH73" s="63" t="n">
        <f aca="false">AH22*Ratio!AH63</f>
        <v>0.157258971388967</v>
      </c>
      <c r="AI73" s="66" t="n">
        <f aca="false">AI22*Ratio!AI63</f>
        <v>0.210660553347824</v>
      </c>
      <c r="AJ73" s="67" t="n">
        <f aca="false">AJ22*Ratio!AJ63</f>
        <v>0.155605590358816</v>
      </c>
      <c r="AK73" s="63" t="n">
        <f aca="false">AK22*Ratio!AK63</f>
        <v>0.118431052990275</v>
      </c>
      <c r="AL73" s="63" t="n">
        <f aca="false">AL22*Ratio!AL63</f>
        <v>0.116261042184571</v>
      </c>
      <c r="AM73" s="63" t="n">
        <f aca="false">AM22*Ratio!AM63</f>
        <v>0.115155635898741</v>
      </c>
      <c r="AN73" s="68" t="n">
        <f aca="false">AN22*Ratio!AN63</f>
        <v>0.135260382725846</v>
      </c>
      <c r="AO73" s="67" t="n">
        <f aca="false">AO22*Ratio!AO63</f>
        <v>0.111724408818411</v>
      </c>
      <c r="AP73" s="63" t="n">
        <f aca="false">AP22*Ratio!AP63</f>
        <v>0.119326694449733</v>
      </c>
      <c r="AQ73" s="65" t="n">
        <f aca="false">AQ22*Ratio!AQ63</f>
        <v>0.117287511821681</v>
      </c>
    </row>
    <row r="74" customFormat="false" ht="12.8" hidden="false" customHeight="false" outlineLevel="0" collapsed="false">
      <c r="A74" s="139" t="s">
        <v>180</v>
      </c>
      <c r="B74" s="65" t="n">
        <f aca="false">B23*Ratio!B64</f>
        <v>0.401700980530441</v>
      </c>
      <c r="C74" s="65" t="n">
        <f aca="false">C23*Ratio!C64</f>
        <v>0.418392669977014</v>
      </c>
      <c r="D74" s="63" t="n">
        <f aca="false">D23*Ratio!D64</f>
        <v>0.423175684071799</v>
      </c>
      <c r="E74" s="65" t="n">
        <f aca="false">E23*Ratio!E64</f>
        <v>0.444322770156165</v>
      </c>
      <c r="F74" s="63" t="n">
        <f aca="false">F23*Ratio!F64</f>
        <v>0.467050700745135</v>
      </c>
      <c r="G74" s="65" t="n">
        <f aca="false">G23*Ratio!G64</f>
        <v>0.513903996714995</v>
      </c>
      <c r="H74" s="63" t="n">
        <f aca="false">H23*Ratio!H64</f>
        <v>0.515593302185289</v>
      </c>
      <c r="I74" s="66" t="n">
        <f aca="false">I23*Ratio!I64</f>
        <v>0.544800704268427</v>
      </c>
      <c r="J74" s="67" t="n">
        <f aca="false">J23*Ratio!J64</f>
        <v>0.500479735338531</v>
      </c>
      <c r="K74" s="65" t="n">
        <f aca="false">K23*Ratio!K64</f>
        <v>0.577865791030399</v>
      </c>
      <c r="L74" s="63" t="n">
        <f aca="false">L23*Ratio!L64</f>
        <v>0.560038029639659</v>
      </c>
      <c r="M74" s="65" t="n">
        <f aca="false">M23*Ratio!M64</f>
        <v>0.56033156413366</v>
      </c>
      <c r="N74" s="65" t="n">
        <f aca="false">N23*Ratio!N64</f>
        <v>0.562370444479172</v>
      </c>
      <c r="O74" s="63" t="n">
        <f aca="false">O23*Ratio!O64</f>
        <v>0.585913046956079</v>
      </c>
      <c r="P74" s="68" t="n">
        <f aca="false">P23*Ratio!P64</f>
        <v>0.528145353948338</v>
      </c>
      <c r="Q74" s="67" t="n">
        <f aca="false">Q23*Ratio!Q64</f>
        <v>0.494671847308534</v>
      </c>
      <c r="R74" s="63" t="n">
        <f aca="false">R23*Ratio!R64</f>
        <v>0.469462136289225</v>
      </c>
      <c r="S74" s="65" t="n">
        <f aca="false">S23*Ratio!S64</f>
        <v>0.499020496794584</v>
      </c>
      <c r="T74" s="63" t="n">
        <f aca="false">T23*Ratio!T64</f>
        <v>0.498296416735616</v>
      </c>
      <c r="U74" s="63" t="n">
        <f aca="false">U23*Ratio!U64</f>
        <v>0.446930812276091</v>
      </c>
      <c r="V74" s="65" t="n">
        <f aca="false">V23*Ratio!V64</f>
        <v>0.457154300774116</v>
      </c>
      <c r="W74" s="65" t="n">
        <f aca="false">W23*Ratio!W64</f>
        <v>0.452038853380192</v>
      </c>
      <c r="X74" s="66" t="n">
        <f aca="false">X23*Ratio!X64</f>
        <v>0.457908321391058</v>
      </c>
      <c r="Y74" s="67" t="n">
        <f aca="false">Y23*Ratio!Y64</f>
        <v>0.424745113053924</v>
      </c>
      <c r="Z74" s="63" t="n">
        <f aca="false">Z23*Ratio!Z64</f>
        <v>0.427409653766796</v>
      </c>
      <c r="AA74" s="65" t="n">
        <f aca="false">AA23*Ratio!AA64</f>
        <v>0.463037463551639</v>
      </c>
      <c r="AB74" s="63" t="n">
        <f aca="false">AB23*Ratio!AB64</f>
        <v>0.504395345180705</v>
      </c>
      <c r="AC74" s="68" t="n">
        <f aca="false">AC23*Ratio!AC64</f>
        <v>0.484929629344865</v>
      </c>
      <c r="AD74" s="67" t="n">
        <f aca="false">AD23*Ratio!AD64</f>
        <v>0.470503633555193</v>
      </c>
      <c r="AE74" s="63" t="n">
        <f aca="false">AE23*Ratio!AE64</f>
        <v>0.496822259544484</v>
      </c>
      <c r="AF74" s="65" t="n">
        <f aca="false">AF23*Ratio!AF64</f>
        <v>0.497569404502505</v>
      </c>
      <c r="AG74" s="63" t="n">
        <f aca="false">AG23*Ratio!AG64</f>
        <v>0.515056242908258</v>
      </c>
      <c r="AH74" s="63" t="n">
        <f aca="false">AH23*Ratio!AH64</f>
        <v>0.431371028919102</v>
      </c>
      <c r="AI74" s="66" t="n">
        <f aca="false">AI23*Ratio!AI64</f>
        <v>0.475219395259802</v>
      </c>
      <c r="AJ74" s="67" t="n">
        <f aca="false">AJ23*Ratio!AJ64</f>
        <v>0.497100646667711</v>
      </c>
      <c r="AK74" s="63" t="n">
        <f aca="false">AK23*Ratio!AK64</f>
        <v>0.488435067428937</v>
      </c>
      <c r="AL74" s="63" t="n">
        <f aca="false">AL23*Ratio!AL64</f>
        <v>0.475608909867316</v>
      </c>
      <c r="AM74" s="63" t="n">
        <f aca="false">AM23*Ratio!AM64</f>
        <v>0.485481002358931</v>
      </c>
      <c r="AN74" s="68" t="n">
        <f aca="false">AN23*Ratio!AN64</f>
        <v>0.478992163957601</v>
      </c>
      <c r="AO74" s="67" t="n">
        <f aca="false">AO23*Ratio!AO64</f>
        <v>0.487785271573857</v>
      </c>
      <c r="AP74" s="63" t="n">
        <f aca="false">AP23*Ratio!AP64</f>
        <v>0.473891636744421</v>
      </c>
      <c r="AQ74" s="65" t="n">
        <f aca="false">AQ23*Ratio!AQ64</f>
        <v>0.478104286904109</v>
      </c>
    </row>
    <row r="75" customFormat="false" ht="12.8" hidden="false" customHeight="false" outlineLevel="0" collapsed="false">
      <c r="A75" s="139" t="s">
        <v>181</v>
      </c>
      <c r="B75" s="65" t="n">
        <f aca="false">B24*Ratio!B65</f>
        <v>0.296877233178893</v>
      </c>
      <c r="C75" s="65" t="n">
        <f aca="false">C24*Ratio!C65</f>
        <v>0.288534295219778</v>
      </c>
      <c r="D75" s="63" t="n">
        <f aca="false">D24*Ratio!D65</f>
        <v>0.295008650637941</v>
      </c>
      <c r="E75" s="65" t="n">
        <f aca="false">E24*Ratio!E65</f>
        <v>0.284108135825409</v>
      </c>
      <c r="F75" s="63" t="n">
        <f aca="false">F24*Ratio!F65</f>
        <v>0.260228460548244</v>
      </c>
      <c r="G75" s="65" t="n">
        <f aca="false">G24*Ratio!G65</f>
        <v>0.284131363702393</v>
      </c>
      <c r="H75" s="63" t="n">
        <f aca="false">H24*Ratio!H65</f>
        <v>0.302268672943516</v>
      </c>
      <c r="I75" s="66" t="n">
        <f aca="false">I24*Ratio!I65</f>
        <v>0.267288937634727</v>
      </c>
      <c r="J75" s="67" t="n">
        <f aca="false">J24*Ratio!J65</f>
        <v>0.232424377949123</v>
      </c>
      <c r="K75" s="65" t="n">
        <f aca="false">K24*Ratio!K65</f>
        <v>0.221981817280213</v>
      </c>
      <c r="L75" s="63" t="n">
        <f aca="false">L24*Ratio!L65</f>
        <v>0.221512460491812</v>
      </c>
      <c r="M75" s="65" t="n">
        <f aca="false">M24*Ratio!M65</f>
        <v>0.221421224426709</v>
      </c>
      <c r="N75" s="65" t="n">
        <f aca="false">N24*Ratio!N65</f>
        <v>0.220467016210243</v>
      </c>
      <c r="O75" s="63" t="n">
        <f aca="false">O24*Ratio!O65</f>
        <v>0.215677211941925</v>
      </c>
      <c r="P75" s="68" t="n">
        <f aca="false">P24*Ratio!P65</f>
        <v>0.240431348815627</v>
      </c>
      <c r="Q75" s="67" t="n">
        <f aca="false">Q24*Ratio!Q65</f>
        <v>0.213920653763617</v>
      </c>
      <c r="R75" s="63" t="n">
        <f aca="false">R24*Ratio!R65</f>
        <v>0.198157449016717</v>
      </c>
      <c r="S75" s="65" t="n">
        <f aca="false">S24*Ratio!S65</f>
        <v>0.219912252165988</v>
      </c>
      <c r="T75" s="63" t="n">
        <f aca="false">T24*Ratio!T65</f>
        <v>0.212245871193655</v>
      </c>
      <c r="U75" s="63" t="n">
        <f aca="false">U24*Ratio!U65</f>
        <v>0.254256267235272</v>
      </c>
      <c r="V75" s="65" t="n">
        <f aca="false">V24*Ratio!V65</f>
        <v>0.251136141625743</v>
      </c>
      <c r="W75" s="65" t="n">
        <f aca="false">W24*Ratio!W65</f>
        <v>0.232752827880897</v>
      </c>
      <c r="X75" s="66" t="n">
        <f aca="false">X24*Ratio!X65</f>
        <v>0.259024427647087</v>
      </c>
      <c r="Y75" s="67" t="n">
        <f aca="false">Y24*Ratio!Y65</f>
        <v>0.279046496174659</v>
      </c>
      <c r="Z75" s="63" t="n">
        <f aca="false">Z24*Ratio!Z65</f>
        <v>0.245396666838077</v>
      </c>
      <c r="AA75" s="65" t="n">
        <f aca="false">AA24*Ratio!AA65</f>
        <v>0.259364454043607</v>
      </c>
      <c r="AB75" s="63" t="n">
        <f aca="false">AB24*Ratio!AB65</f>
        <v>0.20621129298273</v>
      </c>
      <c r="AC75" s="68" t="n">
        <f aca="false">AC24*Ratio!AC65</f>
        <v>0.196597147365676</v>
      </c>
      <c r="AD75" s="67" t="n">
        <f aca="false">AD24*Ratio!AD65</f>
        <v>0.188852589875535</v>
      </c>
      <c r="AE75" s="63" t="n">
        <f aca="false">AE24*Ratio!AE65</f>
        <v>0.175752346773038</v>
      </c>
      <c r="AF75" s="65" t="n">
        <f aca="false">AF24*Ratio!AF65</f>
        <v>0.177337788757564</v>
      </c>
      <c r="AG75" s="63" t="n">
        <f aca="false">AG24*Ratio!AG65</f>
        <v>0.162373480694193</v>
      </c>
      <c r="AH75" s="63" t="n">
        <f aca="false">AH24*Ratio!AH65</f>
        <v>0.136670800561593</v>
      </c>
      <c r="AI75" s="66" t="n">
        <f aca="false">AI24*Ratio!AI65</f>
        <v>0.191543077198411</v>
      </c>
      <c r="AJ75" s="67" t="n">
        <f aca="false">AJ24*Ratio!AJ65</f>
        <v>0.168970147473652</v>
      </c>
      <c r="AK75" s="63" t="n">
        <f aca="false">AK24*Ratio!AK65</f>
        <v>0.164149496820944</v>
      </c>
      <c r="AL75" s="63" t="n">
        <f aca="false">AL24*Ratio!AL65</f>
        <v>0.152557003890114</v>
      </c>
      <c r="AM75" s="63" t="n">
        <f aca="false">AM24*Ratio!AM65</f>
        <v>0.135477326212969</v>
      </c>
      <c r="AN75" s="68" t="n">
        <f aca="false">AN24*Ratio!AN65</f>
        <v>0.143802050619307</v>
      </c>
      <c r="AO75" s="67" t="n">
        <f aca="false">AO24*Ratio!AO65</f>
        <v>0.132154314466427</v>
      </c>
      <c r="AP75" s="63" t="n">
        <f aca="false">AP24*Ratio!AP65</f>
        <v>0.134362849140816</v>
      </c>
      <c r="AQ75" s="65" t="n">
        <f aca="false">AQ24*Ratio!AQ65</f>
        <v>0.129750805633225</v>
      </c>
    </row>
    <row r="76" customFormat="false" ht="12.8" hidden="false" customHeight="false" outlineLevel="0" collapsed="false">
      <c r="A76" s="139" t="s">
        <v>30</v>
      </c>
      <c r="B76" s="65" t="n">
        <f aca="false">B25*Ratio!B66</f>
        <v>0.324065634642101</v>
      </c>
      <c r="C76" s="65" t="n">
        <f aca="false">C25*Ratio!C66</f>
        <v>0.298998797576119</v>
      </c>
      <c r="D76" s="63" t="n">
        <f aca="false">D25*Ratio!D66</f>
        <v>0.298099572767277</v>
      </c>
      <c r="E76" s="65" t="n">
        <f aca="false">E25*Ratio!E66</f>
        <v>0.268039732055127</v>
      </c>
      <c r="F76" s="63" t="n">
        <f aca="false">F25*Ratio!F66</f>
        <v>0.259316193753778</v>
      </c>
      <c r="G76" s="65" t="n">
        <f aca="false">G25*Ratio!G66</f>
        <v>0.274224833265965</v>
      </c>
      <c r="H76" s="63" t="n">
        <f aca="false">H25*Ratio!H66</f>
        <v>0.292682886808369</v>
      </c>
      <c r="I76" s="66" t="n">
        <f aca="false">I25*Ratio!I66</f>
        <v>0.286242688829192</v>
      </c>
      <c r="J76" s="67" t="n">
        <f aca="false">J25*Ratio!J66</f>
        <v>0.263885775299457</v>
      </c>
      <c r="K76" s="65" t="n">
        <f aca="false">K25*Ratio!K66</f>
        <v>0.263281562440639</v>
      </c>
      <c r="L76" s="63" t="n">
        <f aca="false">L25*Ratio!L66</f>
        <v>0.259170562863714</v>
      </c>
      <c r="M76" s="65" t="n">
        <f aca="false">M25*Ratio!M66</f>
        <v>0.258662724788692</v>
      </c>
      <c r="N76" s="65" t="n">
        <f aca="false">N25*Ratio!N66</f>
        <v>0.257976743924205</v>
      </c>
      <c r="O76" s="63" t="n">
        <f aca="false">O25*Ratio!O66</f>
        <v>0.259741559379805</v>
      </c>
      <c r="P76" s="68" t="n">
        <f aca="false">P25*Ratio!P66</f>
        <v>0.29353587669669</v>
      </c>
      <c r="Q76" s="67" t="n">
        <f aca="false">Q25*Ratio!Q66</f>
        <v>0.299640197706664</v>
      </c>
      <c r="R76" s="63" t="n">
        <f aca="false">R25*Ratio!R66</f>
        <v>0.290533893907146</v>
      </c>
      <c r="S76" s="65" t="n">
        <f aca="false">S25*Ratio!S66</f>
        <v>0.304643702076518</v>
      </c>
      <c r="T76" s="63" t="n">
        <f aca="false">T25*Ratio!T66</f>
        <v>0.289078708663516</v>
      </c>
      <c r="U76" s="63" t="n">
        <f aca="false">U25*Ratio!U66</f>
        <v>0.33997266856975</v>
      </c>
      <c r="V76" s="65" t="n">
        <f aca="false">V25*Ratio!V66</f>
        <v>0.318408954281243</v>
      </c>
      <c r="W76" s="65" t="n">
        <f aca="false">W25*Ratio!W66</f>
        <v>0.300099550046346</v>
      </c>
      <c r="X76" s="66" t="n">
        <f aca="false">X25*Ratio!X66</f>
        <v>0.342702528306832</v>
      </c>
      <c r="Y76" s="67" t="n">
        <f aca="false">Y25*Ratio!Y66</f>
        <v>0.329955976072594</v>
      </c>
      <c r="Z76" s="63" t="n">
        <f aca="false">Z25*Ratio!Z66</f>
        <v>0.310799341929713</v>
      </c>
      <c r="AA76" s="65" t="n">
        <f aca="false">AA25*Ratio!AA66</f>
        <v>0.325003235013091</v>
      </c>
      <c r="AB76" s="63" t="n">
        <f aca="false">AB25*Ratio!AB66</f>
        <v>0.28158548985503</v>
      </c>
      <c r="AC76" s="68" t="n">
        <f aca="false">AC25*Ratio!AC66</f>
        <v>0.292139712824743</v>
      </c>
      <c r="AD76" s="67" t="n">
        <f aca="false">AD25*Ratio!AD66</f>
        <v>0.271554948778862</v>
      </c>
      <c r="AE76" s="63" t="n">
        <f aca="false">AE25*Ratio!AE66</f>
        <v>0.263174238486591</v>
      </c>
      <c r="AF76" s="65" t="n">
        <f aca="false">AF25*Ratio!AF66</f>
        <v>0.278954225708973</v>
      </c>
      <c r="AG76" s="63" t="n">
        <f aca="false">AG25*Ratio!AG66</f>
        <v>0.246362771673427</v>
      </c>
      <c r="AH76" s="63" t="n">
        <f aca="false">AH25*Ratio!AH66</f>
        <v>0.211791925755018</v>
      </c>
      <c r="AI76" s="66" t="n">
        <f aca="false">AI25*Ratio!AI66</f>
        <v>0.312028633856945</v>
      </c>
      <c r="AJ76" s="67" t="n">
        <f aca="false">AJ25*Ratio!AJ66</f>
        <v>0.286475515156455</v>
      </c>
      <c r="AK76" s="63" t="n">
        <f aca="false">AK25*Ratio!AK66</f>
        <v>0.283773755825861</v>
      </c>
      <c r="AL76" s="63" t="n">
        <f aca="false">AL25*Ratio!AL66</f>
        <v>0.261633005009774</v>
      </c>
      <c r="AM76" s="63" t="n">
        <f aca="false">AM25*Ratio!AM66</f>
        <v>0.216995392164993</v>
      </c>
      <c r="AN76" s="68" t="n">
        <f aca="false">AN25*Ratio!AN66</f>
        <v>0.242840227534883</v>
      </c>
      <c r="AO76" s="67" t="n">
        <f aca="false">AO25*Ratio!AO66</f>
        <v>0.246602643939472</v>
      </c>
      <c r="AP76" s="63" t="n">
        <f aca="false">AP25*Ratio!AP66</f>
        <v>0.238482272343484</v>
      </c>
      <c r="AQ76" s="65" t="n">
        <f aca="false">AQ25*Ratio!AQ66</f>
        <v>0.230530977750262</v>
      </c>
    </row>
    <row r="77" customFormat="false" ht="12.8" hidden="false" customHeight="false" outlineLevel="0" collapsed="false">
      <c r="A77" s="139" t="s">
        <v>182</v>
      </c>
      <c r="B77" s="65" t="n">
        <f aca="false">B26*Ratio!B67</f>
        <v>0.11154038491612</v>
      </c>
      <c r="C77" s="65" t="n">
        <f aca="false">C26*Ratio!C67</f>
        <v>0.106557566656295</v>
      </c>
      <c r="D77" s="63" t="n">
        <f aca="false">D26*Ratio!D67</f>
        <v>0.104864766268403</v>
      </c>
      <c r="E77" s="65" t="n">
        <f aca="false">E26*Ratio!E67</f>
        <v>0.0951443477097805</v>
      </c>
      <c r="F77" s="63" t="n">
        <f aca="false">F26*Ratio!F67</f>
        <v>0.0989307177392942</v>
      </c>
      <c r="G77" s="65" t="n">
        <f aca="false">G26*Ratio!G67</f>
        <v>0.104443982795956</v>
      </c>
      <c r="H77" s="63" t="n">
        <f aca="false">H26*Ratio!H67</f>
        <v>0.0995289919109456</v>
      </c>
      <c r="I77" s="66" t="n">
        <f aca="false">I26*Ratio!I67</f>
        <v>0.0956972570635176</v>
      </c>
      <c r="J77" s="67" t="n">
        <f aca="false">J26*Ratio!J67</f>
        <v>0.0980212344583797</v>
      </c>
      <c r="K77" s="65" t="n">
        <f aca="false">K26*Ratio!K67</f>
        <v>0.0953958034719973</v>
      </c>
      <c r="L77" s="63" t="n">
        <f aca="false">L26*Ratio!L67</f>
        <v>0.0945137100993546</v>
      </c>
      <c r="M77" s="65" t="n">
        <f aca="false">M26*Ratio!M67</f>
        <v>0.0947236728716031</v>
      </c>
      <c r="N77" s="65" t="n">
        <f aca="false">N26*Ratio!N67</f>
        <v>0.0945782511913497</v>
      </c>
      <c r="O77" s="63" t="n">
        <f aca="false">O26*Ratio!O67</f>
        <v>0.0943090767117233</v>
      </c>
      <c r="P77" s="68" t="n">
        <f aca="false">P26*Ratio!P67</f>
        <v>0.113517059861088</v>
      </c>
      <c r="Q77" s="67" t="n">
        <f aca="false">Q26*Ratio!Q67</f>
        <v>0.117547481505014</v>
      </c>
      <c r="R77" s="63" t="n">
        <f aca="false">R26*Ratio!R67</f>
        <v>0.119590630028745</v>
      </c>
      <c r="S77" s="65" t="n">
        <f aca="false">S26*Ratio!S67</f>
        <v>0.118279340874839</v>
      </c>
      <c r="T77" s="63" t="n">
        <f aca="false">T26*Ratio!T67</f>
        <v>0.140174995744529</v>
      </c>
      <c r="U77" s="63" t="n">
        <f aca="false">U26*Ratio!U67</f>
        <v>0.191441897473935</v>
      </c>
      <c r="V77" s="65" t="n">
        <f aca="false">V26*Ratio!V67</f>
        <v>0.179110646342527</v>
      </c>
      <c r="W77" s="65" t="n">
        <f aca="false">W26*Ratio!W67</f>
        <v>0.179688828077158</v>
      </c>
      <c r="X77" s="66" t="n">
        <f aca="false">X26*Ratio!X67</f>
        <v>0.185687872680579</v>
      </c>
      <c r="Y77" s="67" t="n">
        <f aca="false">Y26*Ratio!Y67</f>
        <v>0.155298203451481</v>
      </c>
      <c r="Z77" s="63" t="n">
        <f aca="false">Z26*Ratio!Z67</f>
        <v>0.157588624585922</v>
      </c>
      <c r="AA77" s="65" t="n">
        <f aca="false">AA26*Ratio!AA67</f>
        <v>0.150167294526874</v>
      </c>
      <c r="AB77" s="63" t="n">
        <f aca="false">AB26*Ratio!AB67</f>
        <v>0.130248635189517</v>
      </c>
      <c r="AC77" s="68" t="n">
        <f aca="false">AC26*Ratio!AC67</f>
        <v>0.157519194792697</v>
      </c>
      <c r="AD77" s="67" t="n">
        <f aca="false">AD26*Ratio!AD67</f>
        <v>0.142084454334562</v>
      </c>
      <c r="AE77" s="63" t="n">
        <f aca="false">AE26*Ratio!AE67</f>
        <v>0.139891496394529</v>
      </c>
      <c r="AF77" s="65" t="n">
        <f aca="false">AF26*Ratio!AF67</f>
        <v>0.144408893815294</v>
      </c>
      <c r="AG77" s="63" t="n">
        <f aca="false">AG26*Ratio!AG67</f>
        <v>0.159012124181775</v>
      </c>
      <c r="AH77" s="63" t="n">
        <f aca="false">AH26*Ratio!AH67</f>
        <v>0.143833247052293</v>
      </c>
      <c r="AI77" s="66" t="n">
        <f aca="false">AI26*Ratio!AI67</f>
        <v>0.164938919953493</v>
      </c>
      <c r="AJ77" s="67" t="n">
        <f aca="false">AJ26*Ratio!AJ67</f>
        <v>0.172021044105331</v>
      </c>
      <c r="AK77" s="63" t="n">
        <f aca="false">AK26*Ratio!AK67</f>
        <v>0.166251074714019</v>
      </c>
      <c r="AL77" s="63" t="n">
        <f aca="false">AL26*Ratio!AL67</f>
        <v>0.171736740146964</v>
      </c>
      <c r="AM77" s="63" t="n">
        <f aca="false">AM26*Ratio!AM67</f>
        <v>0.157077384475515</v>
      </c>
      <c r="AN77" s="68" t="n">
        <f aca="false">AN26*Ratio!AN67</f>
        <v>0.172163082441993</v>
      </c>
      <c r="AO77" s="67" t="n">
        <f aca="false">AO26*Ratio!AO67</f>
        <v>0.177356977687571</v>
      </c>
      <c r="AP77" s="63" t="n">
        <f aca="false">AP26*Ratio!AP67</f>
        <v>0.174259055332382</v>
      </c>
      <c r="AQ77" s="65" t="n">
        <f aca="false">AQ26*Ratio!AQ67</f>
        <v>0.174826430896482</v>
      </c>
    </row>
    <row r="78" customFormat="false" ht="12.8" hidden="false" customHeight="false" outlineLevel="0" collapsed="false">
      <c r="A78" s="139" t="s">
        <v>183</v>
      </c>
      <c r="B78" s="65" t="n">
        <f aca="false">B27*Ratio!B68</f>
        <v>0.154722018846202</v>
      </c>
      <c r="C78" s="65" t="n">
        <f aca="false">C27*Ratio!C68</f>
        <v>0.158477291171313</v>
      </c>
      <c r="D78" s="63" t="n">
        <f aca="false">D27*Ratio!D68</f>
        <v>0.156189021549837</v>
      </c>
      <c r="E78" s="65" t="n">
        <f aca="false">E27*Ratio!E68</f>
        <v>0.155870941766904</v>
      </c>
      <c r="F78" s="63" t="n">
        <f aca="false">F27*Ratio!F68</f>
        <v>0.157918364034153</v>
      </c>
      <c r="G78" s="65" t="n">
        <f aca="false">G27*Ratio!G68</f>
        <v>0.149752491996786</v>
      </c>
      <c r="H78" s="63" t="n">
        <f aca="false">H27*Ratio!H68</f>
        <v>0.14394181951454</v>
      </c>
      <c r="I78" s="66" t="n">
        <f aca="false">I27*Ratio!I68</f>
        <v>0.142988083988559</v>
      </c>
      <c r="J78" s="67" t="n">
        <f aca="false">J27*Ratio!J68</f>
        <v>0.154019570411611</v>
      </c>
      <c r="K78" s="65" t="n">
        <f aca="false">K27*Ratio!K68</f>
        <v>0.159229747982317</v>
      </c>
      <c r="L78" s="63" t="n">
        <f aca="false">L27*Ratio!L68</f>
        <v>0.152960876168158</v>
      </c>
      <c r="M78" s="65" t="n">
        <f aca="false">M27*Ratio!M68</f>
        <v>0.153158320867045</v>
      </c>
      <c r="N78" s="65" t="n">
        <f aca="false">N27*Ratio!N68</f>
        <v>0.154487679913242</v>
      </c>
      <c r="O78" s="63" t="n">
        <f aca="false">O27*Ratio!O68</f>
        <v>0.161811717610948</v>
      </c>
      <c r="P78" s="68" t="n">
        <f aca="false">P27*Ratio!P68</f>
        <v>0.199968319296211</v>
      </c>
      <c r="Q78" s="67" t="n">
        <f aca="false">Q27*Ratio!Q68</f>
        <v>0.204947414422599</v>
      </c>
      <c r="R78" s="63" t="n">
        <f aca="false">R27*Ratio!R68</f>
        <v>0.203591763687533</v>
      </c>
      <c r="S78" s="65" t="n">
        <f aca="false">S27*Ratio!S68</f>
        <v>0.204637208577763</v>
      </c>
      <c r="T78" s="63" t="n">
        <f aca="false">T27*Ratio!T68</f>
        <v>0.253048380840038</v>
      </c>
      <c r="U78" s="63" t="n">
        <f aca="false">U27*Ratio!U68</f>
        <v>0.287720467623959</v>
      </c>
      <c r="V78" s="65" t="n">
        <f aca="false">V27*Ratio!V68</f>
        <v>0.270332495903092</v>
      </c>
      <c r="W78" s="65" t="n">
        <f aca="false">W27*Ratio!W68</f>
        <v>0.278542507162814</v>
      </c>
      <c r="X78" s="66" t="n">
        <f aca="false">X27*Ratio!X68</f>
        <v>0.288551864962964</v>
      </c>
      <c r="Y78" s="67" t="n">
        <f aca="false">Y27*Ratio!Y68</f>
        <v>0.271505935000576</v>
      </c>
      <c r="Z78" s="63" t="n">
        <f aca="false">Z27*Ratio!Z68</f>
        <v>0.278689619072297</v>
      </c>
      <c r="AA78" s="65" t="n">
        <f aca="false">AA27*Ratio!AA68</f>
        <v>0.264407147992103</v>
      </c>
      <c r="AB78" s="63" t="n">
        <f aca="false">AB27*Ratio!AB68</f>
        <v>0.253657298944038</v>
      </c>
      <c r="AC78" s="68" t="n">
        <f aca="false">AC27*Ratio!AC68</f>
        <v>0.204245510476965</v>
      </c>
      <c r="AD78" s="67" t="n">
        <f aca="false">AD27*Ratio!AD68</f>
        <v>0.196130127557204</v>
      </c>
      <c r="AE78" s="63" t="n">
        <f aca="false">AE27*Ratio!AE68</f>
        <v>0.18448891937091</v>
      </c>
      <c r="AF78" s="65" t="n">
        <f aca="false">AF27*Ratio!AF68</f>
        <v>0.176289361495471</v>
      </c>
      <c r="AG78" s="63" t="n">
        <f aca="false">AG27*Ratio!AG68</f>
        <v>0.179060117107615</v>
      </c>
      <c r="AH78" s="63" t="n">
        <f aca="false">AH27*Ratio!AH68</f>
        <v>0.164596319877751</v>
      </c>
      <c r="AI78" s="66" t="n">
        <f aca="false">AI27*Ratio!AI68</f>
        <v>0.204220914836832</v>
      </c>
      <c r="AJ78" s="67" t="n">
        <f aca="false">AJ27*Ratio!AJ68</f>
        <v>0.223764342493295</v>
      </c>
      <c r="AK78" s="63" t="n">
        <f aca="false">AK27*Ratio!AK68</f>
        <v>0.203055792337116</v>
      </c>
      <c r="AL78" s="63" t="n">
        <f aca="false">AL27*Ratio!AL68</f>
        <v>0.19052763068341</v>
      </c>
      <c r="AM78" s="63" t="n">
        <f aca="false">AM27*Ratio!AM68</f>
        <v>0.188884294182715</v>
      </c>
      <c r="AN78" s="68" t="n">
        <f aca="false">AN27*Ratio!AN68</f>
        <v>0.167199164358985</v>
      </c>
      <c r="AO78" s="67" t="n">
        <f aca="false">AO27*Ratio!AO68</f>
        <v>0.155990175319067</v>
      </c>
      <c r="AP78" s="63" t="n">
        <f aca="false">AP27*Ratio!AP68</f>
        <v>0.161982524616565</v>
      </c>
      <c r="AQ78" s="65" t="n">
        <f aca="false">AQ27*Ratio!AQ68</f>
        <v>0.159419457366992</v>
      </c>
    </row>
    <row r="79" customFormat="false" ht="12.8" hidden="false" customHeight="false" outlineLevel="0" collapsed="false">
      <c r="A79" s="139" t="s">
        <v>27</v>
      </c>
      <c r="B79" s="65" t="n">
        <f aca="false">B28*Ratio!B69</f>
        <v>0.0253740434784615</v>
      </c>
      <c r="C79" s="65" t="n">
        <f aca="false">C28*Ratio!C69</f>
        <v>0.0253952447265845</v>
      </c>
      <c r="D79" s="63" t="n">
        <f aca="false">D28*Ratio!D69</f>
        <v>0.0250285602217682</v>
      </c>
      <c r="E79" s="65" t="n">
        <f aca="false">E28*Ratio!E69</f>
        <v>0.0225404322760325</v>
      </c>
      <c r="F79" s="63" t="n">
        <f aca="false">F28*Ratio!F69</f>
        <v>0.0209209604088486</v>
      </c>
      <c r="G79" s="65" t="n">
        <f aca="false">G28*Ratio!G69</f>
        <v>0.022313950341395</v>
      </c>
      <c r="H79" s="63" t="n">
        <f aca="false">H28*Ratio!H69</f>
        <v>0.0214481279734992</v>
      </c>
      <c r="I79" s="66" t="n">
        <f aca="false">I28*Ratio!I69</f>
        <v>0.0207863737255519</v>
      </c>
      <c r="J79" s="67" t="n">
        <f aca="false">J28*Ratio!J69</f>
        <v>0.0228875790135332</v>
      </c>
      <c r="K79" s="65" t="n">
        <f aca="false">K28*Ratio!K69</f>
        <v>0.0302645479573896</v>
      </c>
      <c r="L79" s="63" t="n">
        <f aca="false">L28*Ratio!L69</f>
        <v>0.0290730333436795</v>
      </c>
      <c r="M79" s="65" t="n">
        <f aca="false">M28*Ratio!M69</f>
        <v>0.0292426314030617</v>
      </c>
      <c r="N79" s="65" t="n">
        <f aca="false">N28*Ratio!N69</f>
        <v>0.026905548017365</v>
      </c>
      <c r="O79" s="63" t="n">
        <f aca="false">O28*Ratio!O69</f>
        <v>0.0165471689154745</v>
      </c>
      <c r="P79" s="68" t="n">
        <f aca="false">P28*Ratio!P69</f>
        <v>0.0191417127811346</v>
      </c>
      <c r="Q79" s="67" t="n">
        <f aca="false">Q28*Ratio!Q69</f>
        <v>0.0210975302162499</v>
      </c>
      <c r="R79" s="63" t="n">
        <f aca="false">R28*Ratio!R69</f>
        <v>0.0201246255118714</v>
      </c>
      <c r="S79" s="65" t="n">
        <f aca="false">S28*Ratio!S69</f>
        <v>0.0224519127606763</v>
      </c>
      <c r="T79" s="63" t="n">
        <f aca="false">T28*Ratio!T69</f>
        <v>0.0201220266385825</v>
      </c>
      <c r="U79" s="63" t="n">
        <f aca="false">U28*Ratio!U69</f>
        <v>0.027769183566976</v>
      </c>
      <c r="V79" s="65" t="n">
        <f aca="false">V28*Ratio!V69</f>
        <v>0.0269060972327981</v>
      </c>
      <c r="W79" s="65" t="n">
        <f aca="false">W28*Ratio!W69</f>
        <v>0.0277232367353892</v>
      </c>
      <c r="X79" s="66" t="n">
        <f aca="false">X28*Ratio!X69</f>
        <v>0.0287194645596063</v>
      </c>
      <c r="Y79" s="67" t="n">
        <f aca="false">Y28*Ratio!Y69</f>
        <v>0.030224306266191</v>
      </c>
      <c r="Z79" s="63" t="n">
        <f aca="false">Z28*Ratio!Z69</f>
        <v>0.0243026164063446</v>
      </c>
      <c r="AA79" s="65" t="n">
        <f aca="false">AA28*Ratio!AA69</f>
        <v>0.0321194318840937</v>
      </c>
      <c r="AB79" s="63" t="n">
        <f aca="false">AB28*Ratio!AB69</f>
        <v>0.0323464648291424</v>
      </c>
      <c r="AC79" s="68" t="n">
        <f aca="false">AC28*Ratio!AC69</f>
        <v>0.0328906089039792</v>
      </c>
      <c r="AD79" s="67" t="n">
        <f aca="false">AD28*Ratio!AD69</f>
        <v>0.0352192151809756</v>
      </c>
      <c r="AE79" s="63" t="n">
        <f aca="false">AE28*Ratio!AE69</f>
        <v>0.0364118985100029</v>
      </c>
      <c r="AF79" s="65" t="n">
        <f aca="false">AF28*Ratio!AF69</f>
        <v>0.030517541471073</v>
      </c>
      <c r="AG79" s="63" t="n">
        <f aca="false">AG28*Ratio!AG69</f>
        <v>0.033127235502993</v>
      </c>
      <c r="AH79" s="63" t="n">
        <f aca="false">AH28*Ratio!AH69</f>
        <v>0.0304535146876625</v>
      </c>
      <c r="AI79" s="66" t="n">
        <f aca="false">AI28*Ratio!AI69</f>
        <v>0.0544108896449518</v>
      </c>
      <c r="AJ79" s="67" t="n">
        <f aca="false">AJ28*Ratio!AJ69</f>
        <v>0.0610949677331444</v>
      </c>
      <c r="AK79" s="63" t="n">
        <f aca="false">AK28*Ratio!AK69</f>
        <v>0.0601892639315917</v>
      </c>
      <c r="AL79" s="63" t="n">
        <f aca="false">AL28*Ratio!AL69</f>
        <v>0.0532125798224921</v>
      </c>
      <c r="AM79" s="63" t="n">
        <f aca="false">AM28*Ratio!AM69</f>
        <v>0.0515880186797606</v>
      </c>
      <c r="AN79" s="68" t="n">
        <f aca="false">AN28*Ratio!AN69</f>
        <v>0.046351285507941</v>
      </c>
      <c r="AO79" s="67" t="n">
        <f aca="false">AO28*Ratio!AO69</f>
        <v>0.0419648482854606</v>
      </c>
      <c r="AP79" s="63" t="n">
        <f aca="false">AP28*Ratio!AP69</f>
        <v>0.0519618178582693</v>
      </c>
      <c r="AQ79" s="65" t="n">
        <f aca="false">AQ28*Ratio!AQ69</f>
        <v>0.0454880413271444</v>
      </c>
    </row>
    <row r="80" customFormat="false" ht="12.8" hidden="false" customHeight="false" outlineLevel="0" collapsed="false">
      <c r="A80" s="139" t="s">
        <v>31</v>
      </c>
      <c r="B80" s="82" t="n">
        <f aca="false">B29*Ratio!B70</f>
        <v>0.0209437272127904</v>
      </c>
      <c r="C80" s="82" t="n">
        <f aca="false">C29*Ratio!C70</f>
        <v>0.0190220904867216</v>
      </c>
      <c r="D80" s="63" t="n">
        <f aca="false">D29*Ratio!D70</f>
        <v>0.0187152219525745</v>
      </c>
      <c r="E80" s="65" t="n">
        <f aca="false">E29*Ratio!E70</f>
        <v>0.0175786188830218</v>
      </c>
      <c r="F80" s="63" t="n">
        <f aca="false">F29*Ratio!F70</f>
        <v>0.0156729367143214</v>
      </c>
      <c r="G80" s="65" t="n">
        <f aca="false">G29*Ratio!G70</f>
        <v>0.0180358960093067</v>
      </c>
      <c r="H80" s="63" t="n">
        <f aca="false">H29*Ratio!H70</f>
        <v>0.0161283158312269</v>
      </c>
      <c r="I80" s="66" t="n">
        <f aca="false">I29*Ratio!I70</f>
        <v>0.0154734364098389</v>
      </c>
      <c r="J80" s="67" t="n">
        <f aca="false">J29*Ratio!J70</f>
        <v>0.0174296403969431</v>
      </c>
      <c r="K80" s="65" t="n">
        <f aca="false">K29*Ratio!K70</f>
        <v>0.0202757514655732</v>
      </c>
      <c r="L80" s="63" t="n">
        <f aca="false">L29*Ratio!L70</f>
        <v>0.0206643446504511</v>
      </c>
      <c r="M80" s="65" t="n">
        <f aca="false">M29*Ratio!M70</f>
        <v>0.0206647211015314</v>
      </c>
      <c r="N80" s="65" t="n">
        <f aca="false">N29*Ratio!N70</f>
        <v>0.0190131151190538</v>
      </c>
      <c r="O80" s="63" t="n">
        <f aca="false">O29*Ratio!O70</f>
        <v>0.0119919538792563</v>
      </c>
      <c r="P80" s="68" t="n">
        <f aca="false">P29*Ratio!P70</f>
        <v>0.0139272375345333</v>
      </c>
      <c r="Q80" s="67" t="n">
        <f aca="false">Q29*Ratio!Q70</f>
        <v>0.0160983775067356</v>
      </c>
      <c r="R80" s="63" t="n">
        <f aca="false">R29*Ratio!R70</f>
        <v>0.0184413899410184</v>
      </c>
      <c r="S80" s="65" t="n">
        <f aca="false">S29*Ratio!S70</f>
        <v>0.0180026380806202</v>
      </c>
      <c r="T80" s="63" t="n">
        <f aca="false">T29*Ratio!T70</f>
        <v>0.0150876631156347</v>
      </c>
      <c r="U80" s="63" t="n">
        <f aca="false">U29*Ratio!U70</f>
        <v>0.0166939334754508</v>
      </c>
      <c r="V80" s="65" t="n">
        <f aca="false">V29*Ratio!V70</f>
        <v>0.0156974884680703</v>
      </c>
      <c r="W80" s="65" t="n">
        <f aca="false">W29*Ratio!W70</f>
        <v>0.0163145144269344</v>
      </c>
      <c r="X80" s="66" t="n">
        <f aca="false">X29*Ratio!X70</f>
        <v>0.0168959770500574</v>
      </c>
      <c r="Y80" s="67" t="n">
        <f aca="false">Y29*Ratio!Y70</f>
        <v>0.0182794860049537</v>
      </c>
      <c r="Z80" s="63" t="n">
        <f aca="false">Z29*Ratio!Z70</f>
        <v>0.0182562817019265</v>
      </c>
      <c r="AA80" s="65" t="n">
        <f aca="false">AA29*Ratio!AA70</f>
        <v>0.0183910268498744</v>
      </c>
      <c r="AB80" s="63" t="n">
        <f aca="false">AB29*Ratio!AB70</f>
        <v>0.0173159604841114</v>
      </c>
      <c r="AC80" s="68" t="n">
        <f aca="false">AC29*Ratio!AC70</f>
        <v>0.0140090765140313</v>
      </c>
      <c r="AD80" s="67" t="n">
        <f aca="false">AD29*Ratio!AD70</f>
        <v>0.0155862444610004</v>
      </c>
      <c r="AE80" s="63" t="n">
        <f aca="false">AE29*Ratio!AE70</f>
        <v>0.0156104761460832</v>
      </c>
      <c r="AF80" s="65" t="n">
        <f aca="false">AF29*Ratio!AF70</f>
        <v>0.0136099554500953</v>
      </c>
      <c r="AG80" s="63" t="n">
        <f aca="false">AG29*Ratio!AG70</f>
        <v>0.0138182290801905</v>
      </c>
      <c r="AH80" s="63" t="n">
        <f aca="false">AH29*Ratio!AH70</f>
        <v>0.0126666836477634</v>
      </c>
      <c r="AI80" s="66" t="n">
        <f aca="false">AI29*Ratio!AI70</f>
        <v>0.0224832312377033</v>
      </c>
      <c r="AJ80" s="67" t="n">
        <f aca="false">AJ29*Ratio!AJ70</f>
        <v>0.0234737451782359</v>
      </c>
      <c r="AK80" s="63" t="n">
        <f aca="false">AK29*Ratio!AK70</f>
        <v>0.0224169601372777</v>
      </c>
      <c r="AL80" s="63" t="n">
        <f aca="false">AL29*Ratio!AL70</f>
        <v>0.0199787573187413</v>
      </c>
      <c r="AM80" s="63" t="n">
        <f aca="false">AM29*Ratio!AM70</f>
        <v>0.0192601414109184</v>
      </c>
      <c r="AN80" s="68" t="n">
        <f aca="false">AN29*Ratio!AN70</f>
        <v>0.0169122077167822</v>
      </c>
      <c r="AO80" s="67" t="n">
        <f aca="false">AO29*Ratio!AO70</f>
        <v>0.0162075513034817</v>
      </c>
      <c r="AP80" s="63" t="n">
        <f aca="false">AP29*Ratio!AP70</f>
        <v>0.0212956968424776</v>
      </c>
      <c r="AQ80" s="65" t="n">
        <f aca="false">AQ29*Ratio!AQ70</f>
        <v>0.0182357890026249</v>
      </c>
    </row>
    <row r="81" customFormat="false" ht="12.8" hidden="false" customHeight="false" outlineLevel="0" collapsed="false">
      <c r="A81" s="139" t="s">
        <v>184</v>
      </c>
      <c r="B81" s="65" t="n">
        <f aca="false">B30*Ratio!B71</f>
        <v>0.0121939294386999</v>
      </c>
      <c r="C81" s="65" t="n">
        <f aca="false">C30*Ratio!C71</f>
        <v>0.0110617227600414</v>
      </c>
      <c r="D81" s="63" t="n">
        <f aca="false">D30*Ratio!D71</f>
        <v>0.0111786757373581</v>
      </c>
      <c r="E81" s="65" t="n">
        <f aca="false">E30*Ratio!E71</f>
        <v>0.01123156310118</v>
      </c>
      <c r="F81" s="63" t="n">
        <f aca="false">F30*Ratio!F71</f>
        <v>0.0106162930700051</v>
      </c>
      <c r="G81" s="65" t="n">
        <f aca="false">G30*Ratio!G71</f>
        <v>0.0129098457564279</v>
      </c>
      <c r="H81" s="63" t="n">
        <f aca="false">H30*Ratio!H71</f>
        <v>0.0112167583060717</v>
      </c>
      <c r="I81" s="66" t="n">
        <f aca="false">I30*Ratio!I71</f>
        <v>0.0115428625065026</v>
      </c>
      <c r="J81" s="67" t="n">
        <f aca="false">J30*Ratio!J71</f>
        <v>0.0102161877401417</v>
      </c>
      <c r="K81" s="65" t="n">
        <f aca="false">K30*Ratio!K71</f>
        <v>0.00862591693137235</v>
      </c>
      <c r="L81" s="63" t="n">
        <f aca="false">L30*Ratio!L71</f>
        <v>0.00878761570872433</v>
      </c>
      <c r="M81" s="65" t="n">
        <f aca="false">M30*Ratio!M71</f>
        <v>0.00874808709592911</v>
      </c>
      <c r="N81" s="65" t="n">
        <f aca="false">N30*Ratio!N71</f>
        <v>0.00882574835444762</v>
      </c>
      <c r="O81" s="63" t="n">
        <f aca="false">O30*Ratio!O71</f>
        <v>0.00966212850299631</v>
      </c>
      <c r="P81" s="68" t="n">
        <f aca="false">P30*Ratio!P71</f>
        <v>0.00940509308821762</v>
      </c>
      <c r="Q81" s="67" t="n">
        <f aca="false">Q30*Ratio!Q71</f>
        <v>0.00850606082824161</v>
      </c>
      <c r="R81" s="63" t="n">
        <f aca="false">R30*Ratio!R71</f>
        <v>0.00817130050489486</v>
      </c>
      <c r="S81" s="65" t="n">
        <f aca="false">S30*Ratio!S71</f>
        <v>0.00652561170525154</v>
      </c>
      <c r="T81" s="63" t="n">
        <f aca="false">T30*Ratio!T71</f>
        <v>0.00661779699997265</v>
      </c>
      <c r="U81" s="63" t="n">
        <f aca="false">U30*Ratio!U71</f>
        <v>0.00594018002255968</v>
      </c>
      <c r="V81" s="65" t="n">
        <f aca="false">V30*Ratio!V71</f>
        <v>0.00589402478537692</v>
      </c>
      <c r="W81" s="65" t="n">
        <f aca="false">W30*Ratio!W71</f>
        <v>0.00610502604850503</v>
      </c>
      <c r="X81" s="66" t="n">
        <f aca="false">X30*Ratio!X71</f>
        <v>0.00632261416467583</v>
      </c>
      <c r="Y81" s="67" t="n">
        <f aca="false">Y30*Ratio!Y71</f>
        <v>0.00646848054097702</v>
      </c>
      <c r="Z81" s="63" t="n">
        <f aca="false">Z30*Ratio!Z71</f>
        <v>0.00689716354256222</v>
      </c>
      <c r="AA81" s="65" t="n">
        <f aca="false">AA30*Ratio!AA71</f>
        <v>0.00669395913545285</v>
      </c>
      <c r="AB81" s="63" t="n">
        <f aca="false">AB30*Ratio!AB71</f>
        <v>0.00699797994036451</v>
      </c>
      <c r="AC81" s="68" t="n">
        <f aca="false">AC30*Ratio!AC71</f>
        <v>0.0058180133726301</v>
      </c>
      <c r="AD81" s="67" t="n">
        <f aca="false">AD30*Ratio!AD71</f>
        <v>0.00602752181135363</v>
      </c>
      <c r="AE81" s="63" t="n">
        <f aca="false">AE30*Ratio!AE71</f>
        <v>0.0057122664213283</v>
      </c>
      <c r="AF81" s="65" t="n">
        <f aca="false">AF30*Ratio!AF71</f>
        <v>0.00567826919660888</v>
      </c>
      <c r="AG81" s="63" t="n">
        <f aca="false">AG30*Ratio!AG71</f>
        <v>0.0047247482520677</v>
      </c>
      <c r="AH81" s="63" t="n">
        <f aca="false">AH30*Ratio!AH71</f>
        <v>0.00449403800906007</v>
      </c>
      <c r="AI81" s="66" t="n">
        <f aca="false">AI30*Ratio!AI71</f>
        <v>0.00632655850397428</v>
      </c>
      <c r="AJ81" s="67" t="n">
        <f aca="false">AJ30*Ratio!AJ71</f>
        <v>0.00676251638961483</v>
      </c>
      <c r="AK81" s="63" t="n">
        <f aca="false">AK30*Ratio!AK71</f>
        <v>0.00580561969382654</v>
      </c>
      <c r="AL81" s="63" t="n">
        <f aca="false">AL30*Ratio!AL71</f>
        <v>0.00550420542897183</v>
      </c>
      <c r="AM81" s="63" t="n">
        <f aca="false">AM30*Ratio!AM71</f>
        <v>0.00543767432434564</v>
      </c>
      <c r="AN81" s="68" t="n">
        <f aca="false">AN30*Ratio!AN71</f>
        <v>0.00555659519825025</v>
      </c>
      <c r="AO81" s="67" t="n">
        <f aca="false">AO30*Ratio!AO71</f>
        <v>0.00501021760455011</v>
      </c>
      <c r="AP81" s="63" t="n">
        <f aca="false">AP30*Ratio!AP71</f>
        <v>0.00600666996545632</v>
      </c>
      <c r="AQ81" s="65" t="n">
        <f aca="false">AQ30*Ratio!AQ71</f>
        <v>0.0058675672404508</v>
      </c>
    </row>
    <row r="82" customFormat="false" ht="12.8" hidden="false" customHeight="false" outlineLevel="0" collapsed="false">
      <c r="A82" s="139" t="s">
        <v>185</v>
      </c>
      <c r="B82" s="65" t="n">
        <f aca="false">B31*Ratio!B72</f>
        <v>0.0156650168764307</v>
      </c>
      <c r="C82" s="65" t="n">
        <f aca="false">C31*Ratio!C72</f>
        <v>0.0153472158368996</v>
      </c>
      <c r="D82" s="63" t="n">
        <f aca="false">D31*Ratio!D72</f>
        <v>0.015513355688064</v>
      </c>
      <c r="E82" s="65" t="n">
        <f aca="false">E31*Ratio!E72</f>
        <v>0.0162151195089994</v>
      </c>
      <c r="F82" s="63" t="n">
        <f aca="false">F31*Ratio!F72</f>
        <v>0.0128551789870531</v>
      </c>
      <c r="G82" s="65" t="n">
        <f aca="false">G31*Ratio!G72</f>
        <v>0.0152870482246667</v>
      </c>
      <c r="H82" s="63" t="n">
        <f aca="false">H31*Ratio!H72</f>
        <v>0.0141611337218511</v>
      </c>
      <c r="I82" s="66" t="n">
        <f aca="false">I31*Ratio!I72</f>
        <v>0.0145465295426843</v>
      </c>
      <c r="J82" s="67" t="n">
        <f aca="false">J31*Ratio!J72</f>
        <v>0.0120787251620203</v>
      </c>
      <c r="K82" s="65" t="n">
        <f aca="false">K31*Ratio!K72</f>
        <v>0.0100452713354047</v>
      </c>
      <c r="L82" s="63" t="n">
        <f aca="false">L31*Ratio!L72</f>
        <v>0.010037756293863</v>
      </c>
      <c r="M82" s="65" t="n">
        <f aca="false">M31*Ratio!M72</f>
        <v>0.0100430174146417</v>
      </c>
      <c r="N82" s="65" t="n">
        <f aca="false">N31*Ratio!N72</f>
        <v>0.00953616417330394</v>
      </c>
      <c r="O82" s="63" t="n">
        <f aca="false">O31*Ratio!O72</f>
        <v>0.0100785018246538</v>
      </c>
      <c r="P82" s="68" t="n">
        <f aca="false">P31*Ratio!P72</f>
        <v>0.0108187594930479</v>
      </c>
      <c r="Q82" s="67" t="n">
        <f aca="false">Q31*Ratio!Q72</f>
        <v>0.00983990087968321</v>
      </c>
      <c r="R82" s="63"/>
      <c r="S82" s="65"/>
      <c r="T82" s="63"/>
      <c r="U82" s="63"/>
      <c r="V82" s="65"/>
      <c r="W82" s="65"/>
      <c r="X82" s="66"/>
      <c r="Y82" s="67"/>
      <c r="Z82" s="63"/>
      <c r="AA82" s="65"/>
      <c r="AB82" s="63"/>
      <c r="AC82" s="68"/>
      <c r="AD82" s="67"/>
      <c r="AE82" s="63"/>
      <c r="AF82" s="65"/>
      <c r="AG82" s="63"/>
      <c r="AH82" s="63"/>
      <c r="AI82" s="66"/>
      <c r="AJ82" s="67"/>
      <c r="AK82" s="63"/>
      <c r="AL82" s="63"/>
      <c r="AM82" s="63"/>
      <c r="AN82" s="68"/>
      <c r="AO82" s="67"/>
      <c r="AP82" s="63"/>
      <c r="AQ82" s="65"/>
    </row>
    <row r="83" customFormat="false" ht="12.8" hidden="false" customHeight="false" outlineLevel="0" collapsed="false">
      <c r="A83" s="139" t="s">
        <v>29</v>
      </c>
      <c r="B83" s="65" t="n">
        <f aca="false">B32*Ratio!B73</f>
        <v>0.0275444193347395</v>
      </c>
      <c r="C83" s="65" t="n">
        <f aca="false">C32*Ratio!C73</f>
        <v>0.0257797104662069</v>
      </c>
      <c r="D83" s="63" t="n">
        <f aca="false">D32*Ratio!D73</f>
        <v>0.025370167481637</v>
      </c>
      <c r="E83" s="65" t="n">
        <f aca="false">E32*Ratio!E73</f>
        <v>0.028539501624004</v>
      </c>
      <c r="F83" s="63" t="n">
        <f aca="false">F32*Ratio!F73</f>
        <v>0.0181824739189741</v>
      </c>
      <c r="G83" s="65" t="n">
        <f aca="false">G32*Ratio!G73</f>
        <v>0.0246336203496862</v>
      </c>
      <c r="H83" s="63" t="n">
        <f aca="false">H32*Ratio!H73</f>
        <v>0.0223183315512898</v>
      </c>
      <c r="I83" s="66" t="n">
        <f aca="false">I32*Ratio!I73</f>
        <v>0.0213650868903387</v>
      </c>
      <c r="J83" s="67" t="n">
        <f aca="false">J32*Ratio!J73</f>
        <v>0.0209138643679504</v>
      </c>
      <c r="K83" s="65" t="n">
        <f aca="false">K32*Ratio!K73</f>
        <v>0.0184278080765441</v>
      </c>
      <c r="L83" s="63" t="n">
        <f aca="false">L32*Ratio!L73</f>
        <v>0.0179981232383818</v>
      </c>
      <c r="M83" s="65" t="n">
        <f aca="false">M32*Ratio!M73</f>
        <v>0.0180075566513255</v>
      </c>
      <c r="N83" s="65" t="n">
        <f aca="false">N32*Ratio!N73</f>
        <v>0.0160897206616092</v>
      </c>
      <c r="O83" s="63" t="n">
        <f aca="false">O32*Ratio!O73</f>
        <v>0.0165066239968704</v>
      </c>
      <c r="P83" s="68" t="n">
        <f aca="false">P32*Ratio!P73</f>
        <v>0.0168203746482138</v>
      </c>
      <c r="Q83" s="67" t="n">
        <f aca="false">Q32*Ratio!Q73</f>
        <v>0.0199811151150203</v>
      </c>
      <c r="R83" s="63" t="n">
        <f aca="false">R32*Ratio!R73</f>
        <v>0.0222804122383851</v>
      </c>
      <c r="S83" s="65" t="n">
        <f aca="false">S32*Ratio!S73</f>
        <v>0.0213765631045368</v>
      </c>
      <c r="T83" s="63" t="n">
        <f aca="false">T32*Ratio!T73</f>
        <v>0.0187266313228965</v>
      </c>
      <c r="U83" s="63" t="n">
        <f aca="false">U32*Ratio!U73</f>
        <v>0.0166505270048944</v>
      </c>
      <c r="V83" s="65" t="n">
        <f aca="false">V32*Ratio!V73</f>
        <v>0.0210398766481609</v>
      </c>
      <c r="W83" s="65" t="n">
        <f aca="false">W32*Ratio!W73</f>
        <v>0.0218668974858968</v>
      </c>
      <c r="X83" s="66" t="n">
        <f aca="false">X32*Ratio!X73</f>
        <v>0.0203874112547539</v>
      </c>
      <c r="Y83" s="67" t="n">
        <f aca="false">Y32*Ratio!Y73</f>
        <v>0.025941581455451</v>
      </c>
      <c r="Z83" s="63" t="n">
        <f aca="false">Z32*Ratio!Z73</f>
        <v>0.0298953341691985</v>
      </c>
      <c r="AA83" s="65" t="n">
        <f aca="false">AA32*Ratio!AA73</f>
        <v>0.028127591880043</v>
      </c>
      <c r="AB83" s="63" t="n">
        <f aca="false">AB32*Ratio!AB73</f>
        <v>0.0338909758944642</v>
      </c>
      <c r="AC83" s="68" t="n">
        <f aca="false">AC32*Ratio!AC73</f>
        <v>0.0321693074049826</v>
      </c>
      <c r="AD83" s="67" t="n">
        <f aca="false">AD32*Ratio!AD73</f>
        <v>0.0365154615893505</v>
      </c>
      <c r="AE83" s="63" t="n">
        <f aca="false">AE32*Ratio!AE73</f>
        <v>0.0275317140182271</v>
      </c>
      <c r="AF83" s="65" t="n">
        <f aca="false">AF32*Ratio!AF73</f>
        <v>0.0248390213512002</v>
      </c>
      <c r="AG83" s="63" t="n">
        <f aca="false">AG32*Ratio!AG73</f>
        <v>0.0249134246513291</v>
      </c>
      <c r="AH83" s="63" t="n">
        <f aca="false">AH32*Ratio!AH73</f>
        <v>0.0295508620727414</v>
      </c>
      <c r="AI83" s="66" t="n">
        <f aca="false">AI32*Ratio!AI73</f>
        <v>0.0227013706250141</v>
      </c>
      <c r="AJ83" s="67" t="n">
        <f aca="false">AJ32*Ratio!AJ73</f>
        <v>0.0202929673762353</v>
      </c>
      <c r="AK83" s="63" t="n">
        <f aca="false">AK32*Ratio!AK73</f>
        <v>0.0218226277910755</v>
      </c>
      <c r="AL83" s="63" t="n">
        <f aca="false">AL32*Ratio!AL73</f>
        <v>0.022450695637259</v>
      </c>
      <c r="AM83" s="63" t="n">
        <f aca="false">AM32*Ratio!AM73</f>
        <v>0.0218395010539875</v>
      </c>
      <c r="AN83" s="68" t="n">
        <f aca="false">AN32*Ratio!AN73</f>
        <v>0.0225981591759833</v>
      </c>
      <c r="AO83" s="67"/>
      <c r="AP83" s="63"/>
      <c r="AQ83" s="65"/>
    </row>
    <row r="84" customFormat="false" ht="12.8" hidden="false" customHeight="false" outlineLevel="0" collapsed="false">
      <c r="A84" s="139" t="s">
        <v>186</v>
      </c>
      <c r="B84" s="46"/>
      <c r="C84" s="65"/>
      <c r="D84" s="63"/>
      <c r="E84" s="65"/>
      <c r="F84" s="63"/>
      <c r="G84" s="65"/>
      <c r="H84" s="63"/>
      <c r="I84" s="66"/>
      <c r="J84" s="67"/>
      <c r="K84" s="65"/>
      <c r="L84" s="63"/>
      <c r="M84" s="65"/>
      <c r="N84" s="65"/>
      <c r="O84" s="63"/>
      <c r="P84" s="68"/>
      <c r="Q84" s="67"/>
      <c r="R84" s="63" t="n">
        <f aca="false">R33*Ratio!R74</f>
        <v>0.00904507758915995</v>
      </c>
      <c r="S84" s="65" t="n">
        <f aca="false">S33*Ratio!S74</f>
        <v>0.00864689348473164</v>
      </c>
      <c r="T84" s="63" t="n">
        <f aca="false">T33*Ratio!T74</f>
        <v>0.00913623908030793</v>
      </c>
      <c r="U84" s="63" t="n">
        <f aca="false">U33*Ratio!U74</f>
        <v>0.00956579126636725</v>
      </c>
      <c r="V84" s="65" t="n">
        <f aca="false">V33*Ratio!V74</f>
        <v>0.0102716347976535</v>
      </c>
      <c r="W84" s="65" t="n">
        <f aca="false">W33*Ratio!W74</f>
        <v>0.0106753850742035</v>
      </c>
      <c r="X84" s="66" t="n">
        <f aca="false">X33*Ratio!X74</f>
        <v>0.00995310221539286</v>
      </c>
      <c r="Y84" s="67" t="n">
        <f aca="false">Y33*Ratio!Y74</f>
        <v>0.0110038235864374</v>
      </c>
      <c r="Z84" s="63" t="n">
        <f aca="false">Z33*Ratio!Z74</f>
        <v>0.0109944411301279</v>
      </c>
      <c r="AA84" s="65" t="n">
        <f aca="false">AA33*Ratio!AA74</f>
        <v>0.0120792076771246</v>
      </c>
      <c r="AB84" s="63" t="n">
        <f aca="false">AB33*Ratio!AB74</f>
        <v>0.0110064521962611</v>
      </c>
      <c r="AC84" s="68" t="n">
        <f aca="false">AC33*Ratio!AC74</f>
        <v>0.00962762997853841</v>
      </c>
      <c r="AD84" s="67" t="n">
        <f aca="false">AD33*Ratio!AD74</f>
        <v>0.0101122410292924</v>
      </c>
      <c r="AE84" s="63" t="n">
        <f aca="false">AE33*Ratio!AE74</f>
        <v>0.00959370684838195</v>
      </c>
      <c r="AF84" s="65" t="n">
        <f aca="false">AF33*Ratio!AF74</f>
        <v>0.00953901668206856</v>
      </c>
      <c r="AG84" s="63" t="n">
        <f aca="false">AG33*Ratio!AG74</f>
        <v>0.012828551638376</v>
      </c>
      <c r="AH84" s="63" t="n">
        <f aca="false">AH33*Ratio!AH74</f>
        <v>0.0144443639683751</v>
      </c>
      <c r="AI84" s="66" t="n">
        <f aca="false">AI33*Ratio!AI74</f>
        <v>0.0188469670825803</v>
      </c>
      <c r="AJ84" s="67" t="n">
        <f aca="false">AJ33*Ratio!AJ74</f>
        <v>0.0192350208688519</v>
      </c>
      <c r="AK84" s="63" t="n">
        <f aca="false">AK33*Ratio!AK74</f>
        <v>0.0180359922813311</v>
      </c>
      <c r="AL84" s="63" t="n">
        <f aca="false">AL33*Ratio!AL74</f>
        <v>0.0186249053618738</v>
      </c>
      <c r="AM84" s="63" t="n">
        <f aca="false">AM33*Ratio!AM74</f>
        <v>0.0199822315258708</v>
      </c>
      <c r="AN84" s="68" t="n">
        <f aca="false">AN33*Ratio!AN74</f>
        <v>0.0185981092122654</v>
      </c>
      <c r="AO84" s="67" t="n">
        <f aca="false">AO33*Ratio!AO74</f>
        <v>0.0188352261545544</v>
      </c>
      <c r="AP84" s="63" t="n">
        <f aca="false">AP33*Ratio!AP74</f>
        <v>0.0176578280415583</v>
      </c>
      <c r="AQ84" s="65" t="n">
        <f aca="false">AQ33*Ratio!AQ74</f>
        <v>0.0171236799969898</v>
      </c>
    </row>
    <row r="85" customFormat="false" ht="12.8" hidden="false" customHeight="false" outlineLevel="0" collapsed="false">
      <c r="A85" s="139" t="s">
        <v>187</v>
      </c>
      <c r="B85" s="46"/>
      <c r="C85" s="65"/>
      <c r="AO85" s="177"/>
      <c r="AP85" s="63" t="n">
        <f aca="false">AP34*Ratio!AP75</f>
        <v>0.0330365377910006</v>
      </c>
      <c r="AQ85" s="65" t="n">
        <f aca="false">AQ34*Ratio!AQ75</f>
        <v>0.029774605205268</v>
      </c>
    </row>
    <row r="86" customFormat="false" ht="12.8" hidden="false" customHeight="false" outlineLevel="0" collapsed="false">
      <c r="A86" s="139" t="s">
        <v>190</v>
      </c>
      <c r="B86" s="46"/>
      <c r="AO86" s="67" t="n">
        <f aca="false">AO35*Ratio!AO78</f>
        <v>0.0150306803627186</v>
      </c>
      <c r="AP86" s="179"/>
      <c r="AQ86" s="118"/>
    </row>
    <row r="87" customFormat="false" ht="12.8" hidden="false" customHeight="false" outlineLevel="0" collapsed="false">
      <c r="AQ87" s="39"/>
    </row>
    <row r="88" customFormat="false" ht="12.8" hidden="false" customHeight="false" outlineLevel="0" collapsed="false">
      <c r="A88" s="1" t="s">
        <v>103</v>
      </c>
      <c r="AQ88" s="39"/>
    </row>
    <row r="89" customFormat="false" ht="12.8" hidden="false" customHeight="false" outlineLevel="0" collapsed="false">
      <c r="A89" s="139" t="s">
        <v>24</v>
      </c>
      <c r="B89" s="97" t="n">
        <f aca="false">B22*Ratio!B93</f>
        <v>6.44959917180464</v>
      </c>
      <c r="C89" s="72" t="n">
        <f aca="false">C22*Ratio!C93</f>
        <v>6.42661640332717</v>
      </c>
      <c r="D89" s="31" t="n">
        <f aca="false">D22*Ratio!D93</f>
        <v>6.63413707221076</v>
      </c>
      <c r="E89" s="96" t="n">
        <f aca="false">E22*Ratio!E93</f>
        <v>6.57710974429017</v>
      </c>
      <c r="F89" s="31" t="n">
        <f aca="false">F22*Ratio!F93</f>
        <v>6.17273488899666</v>
      </c>
      <c r="G89" s="96" t="n">
        <f aca="false">G22*Ratio!G93</f>
        <v>5.09635851025135</v>
      </c>
      <c r="H89" s="31" t="n">
        <f aca="false">H22*Ratio!H93</f>
        <v>5.09139801859966</v>
      </c>
      <c r="I89" s="74" t="n">
        <f aca="false">I22*Ratio!I93</f>
        <v>7.71024060222025</v>
      </c>
      <c r="J89" s="75" t="n">
        <f aca="false">J22*Ratio!J93</f>
        <v>6.8699110131588</v>
      </c>
      <c r="K89" s="72" t="n">
        <f aca="false">K22*Ratio!K93</f>
        <v>6.15027154614641</v>
      </c>
      <c r="L89" s="31" t="n">
        <f aca="false">L22*Ratio!L93</f>
        <v>5.99095605632865</v>
      </c>
      <c r="M89" s="96" t="n">
        <f aca="false">M22*Ratio!M93</f>
        <v>5.96328911275846</v>
      </c>
      <c r="N89" s="96" t="n">
        <f aca="false">N22*Ratio!N93</f>
        <v>5.93690490056592</v>
      </c>
      <c r="O89" s="31" t="n">
        <f aca="false">O22*Ratio!O93</f>
        <v>5.71593512314023</v>
      </c>
      <c r="P89" s="76" t="n">
        <f aca="false">P22*Ratio!P93</f>
        <v>6.06105069901282</v>
      </c>
      <c r="Q89" s="75" t="n">
        <f aca="false">Q22*Ratio!Q93</f>
        <v>5.36137885996504</v>
      </c>
      <c r="R89" s="31" t="n">
        <f aca="false">R22*Ratio!R93</f>
        <v>5.18420177367142</v>
      </c>
      <c r="S89" s="96" t="n">
        <f aca="false">S22*Ratio!S93</f>
        <v>5.149312570695</v>
      </c>
      <c r="T89" s="31" t="n">
        <f aca="false">T22*Ratio!T93</f>
        <v>5.19167684542534</v>
      </c>
      <c r="U89" s="31" t="n">
        <f aca="false">U22*Ratio!U93</f>
        <v>5.36269410800307</v>
      </c>
      <c r="V89" s="96" t="n">
        <f aca="false">V22*Ratio!V93</f>
        <v>5.66185194028911</v>
      </c>
      <c r="W89" s="96" t="n">
        <f aca="false">W22*Ratio!W93</f>
        <v>5.2928318698382</v>
      </c>
      <c r="X89" s="74" t="n">
        <f aca="false">X22*Ratio!X93</f>
        <v>5.64680604147279</v>
      </c>
      <c r="Y89" s="75" t="n">
        <f aca="false">Y22*Ratio!Y93</f>
        <v>5.44292058009248</v>
      </c>
      <c r="Z89" s="31" t="n">
        <f aca="false">Z22*Ratio!Z93</f>
        <v>4.87652089878949</v>
      </c>
      <c r="AA89" s="96" t="n">
        <f aca="false">AA22*Ratio!AA93</f>
        <v>4.97693071277153</v>
      </c>
      <c r="AB89" s="31" t="n">
        <f aca="false">AB22*Ratio!AB93</f>
        <v>4.41434053939595</v>
      </c>
      <c r="AC89" s="76" t="n">
        <f aca="false">AC22*Ratio!AC93</f>
        <v>4.1865858534125</v>
      </c>
      <c r="AD89" s="75" t="n">
        <f aca="false">AD22*Ratio!AD93</f>
        <v>3.55596893421063</v>
      </c>
      <c r="AE89" s="31" t="n">
        <f aca="false">AE22*Ratio!AE93</f>
        <v>3.42677831650465</v>
      </c>
      <c r="AF89" s="96" t="n">
        <f aca="false">AF22*Ratio!AF93</f>
        <v>3.50374379527326</v>
      </c>
      <c r="AG89" s="31" t="n">
        <f aca="false">AG22*Ratio!AG93</f>
        <v>2.96501736108278</v>
      </c>
      <c r="AH89" s="31" t="n">
        <f aca="false">AH22*Ratio!AH93</f>
        <v>3.12121345168375</v>
      </c>
      <c r="AI89" s="74" t="n">
        <f aca="false">AI22*Ratio!AI93</f>
        <v>3.38992383054877</v>
      </c>
      <c r="AJ89" s="75" t="n">
        <f aca="false">AJ22*Ratio!AJ93</f>
        <v>2.85922392577497</v>
      </c>
      <c r="AK89" s="31" t="n">
        <f aca="false">AK22*Ratio!AK93</f>
        <v>2.4752814875863</v>
      </c>
      <c r="AL89" s="31" t="n">
        <f aca="false">AL22*Ratio!AL93</f>
        <v>2.48044245914813</v>
      </c>
      <c r="AM89" s="31" t="n">
        <f aca="false">AM22*Ratio!AM93</f>
        <v>2.52816311828671</v>
      </c>
      <c r="AN89" s="76" t="n">
        <f aca="false">AN22*Ratio!AN93</f>
        <v>4.78089313062823</v>
      </c>
      <c r="AO89" s="75" t="n">
        <f aca="false">AO22*Ratio!AO93</f>
        <v>4.33066660093266</v>
      </c>
      <c r="AP89" s="73" t="n">
        <f aca="false">AP22*Ratio!AP93</f>
        <v>4.47460430667131</v>
      </c>
      <c r="AQ89" s="72" t="n">
        <f aca="false">AQ22*Ratio!AQ93</f>
        <v>4.46964718636308</v>
      </c>
    </row>
    <row r="90" customFormat="false" ht="12.8" hidden="false" customHeight="false" outlineLevel="0" collapsed="false">
      <c r="A90" s="139" t="s">
        <v>180</v>
      </c>
      <c r="B90" s="97" t="n">
        <f aca="false">B23*Ratio!B94</f>
        <v>1.34808770552823</v>
      </c>
      <c r="C90" s="72" t="n">
        <f aca="false">C23*Ratio!C94</f>
        <v>1.40344120294295</v>
      </c>
      <c r="D90" s="31" t="n">
        <f aca="false">D23*Ratio!D94</f>
        <v>1.4180949624529</v>
      </c>
      <c r="E90" s="96" t="n">
        <f aca="false">E23*Ratio!E94</f>
        <v>1.48842739549725</v>
      </c>
      <c r="F90" s="31" t="n">
        <f aca="false">F23*Ratio!F94</f>
        <v>1.56428381094003</v>
      </c>
      <c r="G90" s="96" t="n">
        <f aca="false">G23*Ratio!G94</f>
        <v>1.86061917456616</v>
      </c>
      <c r="H90" s="31" t="n">
        <f aca="false">H23*Ratio!H94</f>
        <v>1.86673540283024</v>
      </c>
      <c r="I90" s="74" t="n">
        <f aca="false">I23*Ratio!I94</f>
        <v>1.97248249314775</v>
      </c>
      <c r="J90" s="75" t="n">
        <f aca="false">J23*Ratio!J94</f>
        <v>1.8244832098843</v>
      </c>
      <c r="K90" s="72" t="n">
        <f aca="false">K23*Ratio!K94</f>
        <v>2.09553859508125</v>
      </c>
      <c r="L90" s="31" t="n">
        <f aca="false">L23*Ratio!L94</f>
        <v>2.03504568113154</v>
      </c>
      <c r="M90" s="96" t="n">
        <f aca="false">M23*Ratio!M94</f>
        <v>2.03611231602536</v>
      </c>
      <c r="N90" s="96" t="n">
        <f aca="false">N23*Ratio!N94</f>
        <v>2.0439119863263</v>
      </c>
      <c r="O90" s="31" t="n">
        <f aca="false">O23*Ratio!O94</f>
        <v>2.12828513489704</v>
      </c>
      <c r="P90" s="76" t="n">
        <f aca="false">P23*Ratio!P94</f>
        <v>1.79073101748706</v>
      </c>
      <c r="Q90" s="75" t="n">
        <f aca="false">Q23*Ratio!Q94</f>
        <v>1.68262718820497</v>
      </c>
      <c r="R90" s="31" t="n">
        <f aca="false">R23*Ratio!R94</f>
        <v>1.60109764063868</v>
      </c>
      <c r="S90" s="96" t="n">
        <f aca="false">S23*Ratio!S94</f>
        <v>1.69645284680623</v>
      </c>
      <c r="T90" s="31" t="n">
        <f aca="false">T23*Ratio!T94</f>
        <v>1.69305786218272</v>
      </c>
      <c r="U90" s="31" t="n">
        <f aca="false">U23*Ratio!U94</f>
        <v>1.5196332802811</v>
      </c>
      <c r="V90" s="96" t="n">
        <f aca="false">V23*Ratio!V94</f>
        <v>1.55461437342786</v>
      </c>
      <c r="W90" s="96" t="n">
        <f aca="false">W23*Ratio!W94</f>
        <v>1.53919038747197</v>
      </c>
      <c r="X90" s="74" t="n">
        <f aca="false">X23*Ratio!X94</f>
        <v>1.55587644259831</v>
      </c>
      <c r="Y90" s="75" t="n">
        <f aca="false">Y23*Ratio!Y94</f>
        <v>1.44738411352526</v>
      </c>
      <c r="Z90" s="31" t="n">
        <f aca="false">Z23*Ratio!Z94</f>
        <v>1.45863769649235</v>
      </c>
      <c r="AA90" s="96" t="n">
        <f aca="false">AA23*Ratio!AA94</f>
        <v>1.57566735883093</v>
      </c>
      <c r="AB90" s="31" t="n">
        <f aca="false">AB23*Ratio!AB94</f>
        <v>1.76419649264628</v>
      </c>
      <c r="AC90" s="76" t="n">
        <f aca="false">AC23*Ratio!AC94</f>
        <v>1.70271394380395</v>
      </c>
      <c r="AD90" s="75" t="n">
        <f aca="false">AD23*Ratio!AD94</f>
        <v>1.65689671327618</v>
      </c>
      <c r="AE90" s="31" t="n">
        <f aca="false">AE23*Ratio!AE94</f>
        <v>1.7478666673766</v>
      </c>
      <c r="AF90" s="96" t="n">
        <f aca="false">AF23*Ratio!AF94</f>
        <v>1.75001017730437</v>
      </c>
      <c r="AG90" s="31" t="n">
        <f aca="false">AG23*Ratio!AG94</f>
        <v>1.93808101085726</v>
      </c>
      <c r="AH90" s="31" t="n">
        <f aca="false">AH23*Ratio!AH94</f>
        <v>1.65092930550837</v>
      </c>
      <c r="AI90" s="74" t="n">
        <f aca="false">AI23*Ratio!AI94</f>
        <v>1.78403740370915</v>
      </c>
      <c r="AJ90" s="75" t="n">
        <f aca="false">AJ23*Ratio!AJ94</f>
        <v>1.86618255885445</v>
      </c>
      <c r="AK90" s="31" t="n">
        <f aca="false">AK23*Ratio!AK94</f>
        <v>1.84032234562633</v>
      </c>
      <c r="AL90" s="31" t="n">
        <f aca="false">AL23*Ratio!AL94</f>
        <v>1.79766557071907</v>
      </c>
      <c r="AM90" s="31" t="n">
        <f aca="false">AM23*Ratio!AM94</f>
        <v>1.8390342432086</v>
      </c>
      <c r="AN90" s="76" t="n">
        <f aca="false">AN23*Ratio!AN94</f>
        <v>1.88959616231042</v>
      </c>
      <c r="AO90" s="75" t="n">
        <f aca="false">AO23*Ratio!AO94</f>
        <v>1.92597566356982</v>
      </c>
      <c r="AP90" s="73" t="n">
        <f aca="false">AP23*Ratio!AP94</f>
        <v>1.87275469149477</v>
      </c>
      <c r="AQ90" s="72" t="n">
        <f aca="false">AQ23*Ratio!AQ94</f>
        <v>1.89086457846591</v>
      </c>
    </row>
    <row r="91" customFormat="false" ht="12.8" hidden="false" customHeight="false" outlineLevel="0" collapsed="false">
      <c r="A91" s="139" t="s">
        <v>181</v>
      </c>
      <c r="B91" s="97" t="n">
        <f aca="false">B24*Ratio!B95</f>
        <v>4.20885565581075</v>
      </c>
      <c r="C91" s="72" t="n">
        <f aca="false">C24*Ratio!C95</f>
        <v>4.07858983794621</v>
      </c>
      <c r="D91" s="31" t="n">
        <f aca="false">D24*Ratio!D95</f>
        <v>4.15019291952674</v>
      </c>
      <c r="E91" s="96" t="n">
        <f aca="false">E24*Ratio!E95</f>
        <v>3.93978523757221</v>
      </c>
      <c r="F91" s="31" t="n">
        <f aca="false">F24*Ratio!F95</f>
        <v>3.8070204103909</v>
      </c>
      <c r="G91" s="96" t="n">
        <f aca="false">G24*Ratio!G95</f>
        <v>5.18984600641163</v>
      </c>
      <c r="H91" s="31" t="n">
        <f aca="false">H24*Ratio!H95</f>
        <v>5.50644630234021</v>
      </c>
      <c r="I91" s="74" t="n">
        <f aca="false">I24*Ratio!I95</f>
        <v>4.66760171113078</v>
      </c>
      <c r="J91" s="75" t="n">
        <f aca="false">J24*Ratio!J95</f>
        <v>4.38031652088051</v>
      </c>
      <c r="K91" s="72" t="n">
        <f aca="false">K24*Ratio!K95</f>
        <v>4.26169685326228</v>
      </c>
      <c r="L91" s="31" t="n">
        <f aca="false">L24*Ratio!L95</f>
        <v>4.26100410472739</v>
      </c>
      <c r="M91" s="96" t="n">
        <f aca="false">M24*Ratio!M95</f>
        <v>4.28042844489475</v>
      </c>
      <c r="N91" s="96" t="n">
        <f aca="false">N24*Ratio!N95</f>
        <v>4.25467145644763</v>
      </c>
      <c r="O91" s="31" t="n">
        <f aca="false">O24*Ratio!O95</f>
        <v>4.01544336188878</v>
      </c>
      <c r="P91" s="76" t="n">
        <f aca="false">P24*Ratio!P95</f>
        <v>4.26378851311979</v>
      </c>
      <c r="Q91" s="75" t="n">
        <f aca="false">Q24*Ratio!Q95</f>
        <v>3.86013779665439</v>
      </c>
      <c r="R91" s="31" t="n">
        <f aca="false">R24*Ratio!R95</f>
        <v>3.78324775060765</v>
      </c>
      <c r="S91" s="96" t="n">
        <f aca="false">S24*Ratio!S95</f>
        <v>4.08436103133651</v>
      </c>
      <c r="T91" s="31" t="n">
        <f aca="false">T24*Ratio!T95</f>
        <v>3.96160690391999</v>
      </c>
      <c r="U91" s="31" t="n">
        <f aca="false">U24*Ratio!U95</f>
        <v>4.70334611657315</v>
      </c>
      <c r="V91" s="96" t="n">
        <f aca="false">V24*Ratio!V95</f>
        <v>4.81454208135539</v>
      </c>
      <c r="W91" s="96" t="n">
        <f aca="false">W24*Ratio!W95</f>
        <v>4.52537482578683</v>
      </c>
      <c r="X91" s="74" t="n">
        <f aca="false">X24*Ratio!X95</f>
        <v>4.39389143627639</v>
      </c>
      <c r="Y91" s="75" t="n">
        <f aca="false">Y24*Ratio!Y95</f>
        <v>4.66646133090135</v>
      </c>
      <c r="Z91" s="31" t="n">
        <f aca="false">Z24*Ratio!Z95</f>
        <v>4.38323972352197</v>
      </c>
      <c r="AA91" s="96" t="n">
        <f aca="false">AA24*Ratio!AA95</f>
        <v>4.40904536584067</v>
      </c>
      <c r="AB91" s="31" t="n">
        <f aca="false">AB24*Ratio!AB95</f>
        <v>3.99867587544378</v>
      </c>
      <c r="AC91" s="76" t="n">
        <f aca="false">AC24*Ratio!AC95</f>
        <v>3.02886502143076</v>
      </c>
      <c r="AD91" s="75" t="n">
        <f aca="false">AD24*Ratio!AD95</f>
        <v>3.14410336005887</v>
      </c>
      <c r="AE91" s="31" t="n">
        <f aca="false">AE24*Ratio!AE95</f>
        <v>3.06191839797042</v>
      </c>
      <c r="AF91" s="96" t="n">
        <f aca="false">AF24*Ratio!AF95</f>
        <v>3.00182593507621</v>
      </c>
      <c r="AG91" s="31" t="n">
        <f aca="false">AG24*Ratio!AG95</f>
        <v>2.91537203490367</v>
      </c>
      <c r="AH91" s="31" t="n">
        <f aca="false">AH24*Ratio!AH95</f>
        <v>2.25818307445892</v>
      </c>
      <c r="AI91" s="74" t="n">
        <f aca="false">AI24*Ratio!AI95</f>
        <v>2.50502418671731</v>
      </c>
      <c r="AJ91" s="75" t="n">
        <f aca="false">AJ24*Ratio!AJ95</f>
        <v>2.37727313449039</v>
      </c>
      <c r="AK91" s="31" t="n">
        <f aca="false">AK24*Ratio!AK95</f>
        <v>2.44247928694169</v>
      </c>
      <c r="AL91" s="31" t="n">
        <f aca="false">AL24*Ratio!AL95</f>
        <v>2.54782921889908</v>
      </c>
      <c r="AM91" s="31" t="n">
        <f aca="false">AM24*Ratio!AM95</f>
        <v>2.45898371082606</v>
      </c>
      <c r="AN91" s="76" t="n">
        <f aca="false">AN24*Ratio!AN95</f>
        <v>2.19522367534279</v>
      </c>
      <c r="AO91" s="75" t="n">
        <f aca="false">AO24*Ratio!AO95</f>
        <v>2.05659059731993</v>
      </c>
      <c r="AP91" s="73" t="n">
        <f aca="false">AP24*Ratio!AP95</f>
        <v>2.05804060607297</v>
      </c>
      <c r="AQ91" s="72" t="n">
        <f aca="false">AQ24*Ratio!AQ95</f>
        <v>2.05469662642355</v>
      </c>
    </row>
    <row r="92" customFormat="false" ht="12.8" hidden="false" customHeight="false" outlineLevel="0" collapsed="false">
      <c r="A92" s="139" t="s">
        <v>30</v>
      </c>
      <c r="B92" s="97" t="n">
        <f aca="false">B25*Ratio!B96</f>
        <v>1.7640628165619</v>
      </c>
      <c r="C92" s="72" t="n">
        <f aca="false">C25*Ratio!C96</f>
        <v>1.77485060198366</v>
      </c>
      <c r="D92" s="31" t="n">
        <f aca="false">D25*Ratio!D96</f>
        <v>1.7891248291665</v>
      </c>
      <c r="E92" s="96" t="n">
        <f aca="false">E25*Ratio!E96</f>
        <v>1.83348650890406</v>
      </c>
      <c r="F92" s="31" t="n">
        <f aca="false">F25*Ratio!F96</f>
        <v>1.67893857759876</v>
      </c>
      <c r="G92" s="96" t="n">
        <f aca="false">G25*Ratio!G96</f>
        <v>1.70331746241194</v>
      </c>
      <c r="H92" s="31" t="n">
        <f aca="false">H25*Ratio!H96</f>
        <v>1.85674881763459</v>
      </c>
      <c r="I92" s="74" t="n">
        <f aca="false">I25*Ratio!I96</f>
        <v>1.93555319000449</v>
      </c>
      <c r="J92" s="75" t="n">
        <f aca="false">J25*Ratio!J96</f>
        <v>1.73992778856423</v>
      </c>
      <c r="K92" s="72" t="n">
        <f aca="false">K25*Ratio!K96</f>
        <v>1.67210889956279</v>
      </c>
      <c r="L92" s="31" t="n">
        <f aca="false">L25*Ratio!L96</f>
        <v>1.69069346615399</v>
      </c>
      <c r="M92" s="96" t="n">
        <f aca="false">M25*Ratio!M96</f>
        <v>1.67861964491597</v>
      </c>
      <c r="N92" s="96" t="n">
        <f aca="false">N25*Ratio!N96</f>
        <v>1.68970104454397</v>
      </c>
      <c r="O92" s="31" t="n">
        <f aca="false">O25*Ratio!O96</f>
        <v>1.7999285640354</v>
      </c>
      <c r="P92" s="76" t="n">
        <f aca="false">P25*Ratio!P96</f>
        <v>1.91589802168066</v>
      </c>
      <c r="Q92" s="75" t="n">
        <f aca="false">Q25*Ratio!Q96</f>
        <v>1.8415109395146</v>
      </c>
      <c r="R92" s="31" t="n">
        <f aca="false">R25*Ratio!R96</f>
        <v>1.68230284557834</v>
      </c>
      <c r="S92" s="96" t="n">
        <f aca="false">S25*Ratio!S96</f>
        <v>1.76687691053913</v>
      </c>
      <c r="T92" s="31" t="n">
        <f aca="false">T25*Ratio!T96</f>
        <v>1.71027028073497</v>
      </c>
      <c r="U92" s="31" t="n">
        <f aca="false">U25*Ratio!U96</f>
        <v>1.96580717141316</v>
      </c>
      <c r="V92" s="96" t="n">
        <f aca="false">V25*Ratio!V96</f>
        <v>1.92441677114125</v>
      </c>
      <c r="W92" s="96" t="n">
        <f aca="false">W25*Ratio!W96</f>
        <v>1.77768464681892</v>
      </c>
      <c r="X92" s="74" t="n">
        <f aca="false">X25*Ratio!X96</f>
        <v>2.00173808832715</v>
      </c>
      <c r="Y92" s="75" t="n">
        <f aca="false">Y25*Ratio!Y96</f>
        <v>2.12946854533058</v>
      </c>
      <c r="Z92" s="31" t="n">
        <f aca="false">Z25*Ratio!Z96</f>
        <v>1.96732779939628</v>
      </c>
      <c r="AA92" s="96" t="n">
        <f aca="false">AA25*Ratio!AA96</f>
        <v>2.08939057389791</v>
      </c>
      <c r="AB92" s="31" t="n">
        <f aca="false">AB25*Ratio!AB96</f>
        <v>1.78278661851124</v>
      </c>
      <c r="AC92" s="76" t="n">
        <f aca="false">AC25*Ratio!AC96</f>
        <v>1.82030496980386</v>
      </c>
      <c r="AD92" s="75" t="n">
        <f aca="false">AD25*Ratio!AD96</f>
        <v>1.6443936016597</v>
      </c>
      <c r="AE92" s="31" t="n">
        <f aca="false">AE25*Ratio!AE96</f>
        <v>1.5281278534592</v>
      </c>
      <c r="AF92" s="96" t="n">
        <f aca="false">AF25*Ratio!AF96</f>
        <v>1.59593429912379</v>
      </c>
      <c r="AG92" s="31" t="n">
        <f aca="false">AG25*Ratio!AG96</f>
        <v>1.48801509669021</v>
      </c>
      <c r="AH92" s="31" t="n">
        <f aca="false">AH25*Ratio!AH96</f>
        <v>1.29715383856541</v>
      </c>
      <c r="AI92" s="74" t="n">
        <f aca="false">AI25*Ratio!AI96</f>
        <v>1.76376430409073</v>
      </c>
      <c r="AJ92" s="75" t="n">
        <f aca="false">AJ25*Ratio!AJ96</f>
        <v>1.55147371474144</v>
      </c>
      <c r="AK92" s="31" t="n">
        <f aca="false">AK25*Ratio!AK96</f>
        <v>1.45750113448482</v>
      </c>
      <c r="AL92" s="31" t="n">
        <f aca="false">AL25*Ratio!AL96</f>
        <v>1.214464656892</v>
      </c>
      <c r="AM92" s="31" t="n">
        <f aca="false">AM25*Ratio!AM96</f>
        <v>1.06976613209953</v>
      </c>
      <c r="AN92" s="76" t="n">
        <f aca="false">AN25*Ratio!AN96</f>
        <v>1.06692212472631</v>
      </c>
      <c r="AO92" s="75" t="n">
        <f aca="false">AO25*Ratio!AO96</f>
        <v>1.03227692919264</v>
      </c>
      <c r="AP92" s="73" t="n">
        <f aca="false">AP25*Ratio!AP96</f>
        <v>1.05267705443007</v>
      </c>
      <c r="AQ92" s="72" t="n">
        <f aca="false">AQ25*Ratio!AQ96</f>
        <v>1.00473714064979</v>
      </c>
    </row>
    <row r="93" customFormat="false" ht="12.8" hidden="false" customHeight="false" outlineLevel="0" collapsed="false">
      <c r="A93" s="139" t="s">
        <v>182</v>
      </c>
      <c r="B93" s="97" t="n">
        <f aca="false">B26*Ratio!B97</f>
        <v>3.61324833004029</v>
      </c>
      <c r="C93" s="72" t="n">
        <f aca="false">C26*Ratio!C97</f>
        <v>3.27996693138661</v>
      </c>
      <c r="D93" s="31" t="n">
        <f aca="false">D26*Ratio!D97</f>
        <v>3.22786054919386</v>
      </c>
      <c r="E93" s="96" t="n">
        <f aca="false">E26*Ratio!E97</f>
        <v>2.8198213562017</v>
      </c>
      <c r="F93" s="31" t="n">
        <f aca="false">F26*Ratio!F97</f>
        <v>2.92774542763381</v>
      </c>
      <c r="G93" s="96" t="n">
        <f aca="false">G26*Ratio!G97</f>
        <v>4.70427372031107</v>
      </c>
      <c r="H93" s="31" t="n">
        <f aca="false">H26*Ratio!H97</f>
        <v>4.42385637411465</v>
      </c>
      <c r="I93" s="74" t="n">
        <f aca="false">I26*Ratio!I97</f>
        <v>4.28364016775219</v>
      </c>
      <c r="J93" s="75" t="n">
        <f aca="false">J26*Ratio!J97</f>
        <v>4.33525074487664</v>
      </c>
      <c r="K93" s="72" t="n">
        <f aca="false">K26*Ratio!K97</f>
        <v>4.45252697094024</v>
      </c>
      <c r="L93" s="31" t="n">
        <f aca="false">L26*Ratio!L97</f>
        <v>4.37914564579589</v>
      </c>
      <c r="M93" s="96" t="n">
        <f aca="false">M26*Ratio!M97</f>
        <v>4.3905469722351</v>
      </c>
      <c r="N93" s="96" t="n">
        <f aca="false">N26*Ratio!N97</f>
        <v>4.37382172317791</v>
      </c>
      <c r="O93" s="31" t="n">
        <f aca="false">O26*Ratio!O97</f>
        <v>4.27906130482012</v>
      </c>
      <c r="P93" s="76" t="n">
        <f aca="false">P26*Ratio!P97</f>
        <v>4.12314638416352</v>
      </c>
      <c r="Q93" s="75" t="n">
        <f aca="false">Q26*Ratio!Q97</f>
        <v>4.41857852548789</v>
      </c>
      <c r="R93" s="31" t="n">
        <f aca="false">R26*Ratio!R97</f>
        <v>4.57738103408631</v>
      </c>
      <c r="S93" s="96" t="n">
        <f aca="false">S26*Ratio!S97</f>
        <v>4.61794947600429</v>
      </c>
      <c r="T93" s="31" t="n">
        <f aca="false">T26*Ratio!T97</f>
        <v>4.38437725312898</v>
      </c>
      <c r="U93" s="31" t="n">
        <f aca="false">U26*Ratio!U97</f>
        <v>5.25533317023105</v>
      </c>
      <c r="V93" s="96" t="n">
        <f aca="false">V26*Ratio!V97</f>
        <v>4.96365415045841</v>
      </c>
      <c r="W93" s="96" t="n">
        <f aca="false">W26*Ratio!W97</f>
        <v>4.93547298809912</v>
      </c>
      <c r="X93" s="74" t="n">
        <f aca="false">X26*Ratio!X97</f>
        <v>5.23790678942685</v>
      </c>
      <c r="Y93" s="75" t="n">
        <f aca="false">Y26*Ratio!Y97</f>
        <v>4.86568519471331</v>
      </c>
      <c r="Z93" s="31" t="n">
        <f aca="false">Z26*Ratio!Z97</f>
        <v>4.88100377922942</v>
      </c>
      <c r="AA93" s="96" t="n">
        <f aca="false">AA26*Ratio!AA97</f>
        <v>4.90011712420911</v>
      </c>
      <c r="AB93" s="31" t="n">
        <f aca="false">AB26*Ratio!AB97</f>
        <v>4.78311042076658</v>
      </c>
      <c r="AC93" s="76" t="n">
        <f aca="false">AC26*Ratio!AC97</f>
        <v>3.59381255901638</v>
      </c>
      <c r="AD93" s="75" t="n">
        <f aca="false">AD26*Ratio!AD97</f>
        <v>3.61081209988283</v>
      </c>
      <c r="AE93" s="31" t="n">
        <f aca="false">AE26*Ratio!AE97</f>
        <v>3.73137887854273</v>
      </c>
      <c r="AF93" s="96" t="n">
        <f aca="false">AF26*Ratio!AF97</f>
        <v>3.74509688288768</v>
      </c>
      <c r="AG93" s="31" t="n">
        <f aca="false">AG26*Ratio!AG97</f>
        <v>0.839094538882681</v>
      </c>
      <c r="AH93" s="31" t="n">
        <f aca="false">AH26*Ratio!AH97</f>
        <v>0.698302263150022</v>
      </c>
      <c r="AI93" s="74" t="n">
        <f aca="false">AI26*Ratio!AI97</f>
        <v>1.0215246044804</v>
      </c>
      <c r="AJ93" s="75" t="n">
        <f aca="false">AJ26*Ratio!AJ97</f>
        <v>0.993028967272914</v>
      </c>
      <c r="AK93" s="31" t="n">
        <f aca="false">AK26*Ratio!AK97</f>
        <v>1.04384170838111</v>
      </c>
      <c r="AL93" s="31" t="n">
        <f aca="false">AL26*Ratio!AL97</f>
        <v>1.07833137199743</v>
      </c>
      <c r="AM93" s="31" t="n">
        <f aca="false">AM26*Ratio!AM97</f>
        <v>0.87226475465875</v>
      </c>
      <c r="AN93" s="76" t="n">
        <f aca="false">AN26*Ratio!AN97</f>
        <v>4.20828787258417</v>
      </c>
      <c r="AO93" s="75" t="n">
        <f aca="false">AO26*Ratio!AO97</f>
        <v>4.45164817363231</v>
      </c>
      <c r="AP93" s="73" t="n">
        <f aca="false">AP26*Ratio!AP97</f>
        <v>4.18370897193047</v>
      </c>
      <c r="AQ93" s="72" t="n">
        <f aca="false">AQ26*Ratio!AQ97</f>
        <v>4.17659426391341</v>
      </c>
    </row>
    <row r="94" customFormat="false" ht="12.8" hidden="false" customHeight="false" outlineLevel="0" collapsed="false">
      <c r="A94" s="139" t="s">
        <v>183</v>
      </c>
      <c r="B94" s="97" t="n">
        <f aca="false">B27*Ratio!B98</f>
        <v>0.886607441271709</v>
      </c>
      <c r="C94" s="72" t="n">
        <f aca="false">C27*Ratio!C98</f>
        <v>0.954524750688196</v>
      </c>
      <c r="D94" s="31" t="n">
        <f aca="false">D27*Ratio!D98</f>
        <v>0.939360929676508</v>
      </c>
      <c r="E94" s="96" t="n">
        <f aca="false">E27*Ratio!E98</f>
        <v>0.979020264845229</v>
      </c>
      <c r="F94" s="31" t="n">
        <f aca="false">F27*Ratio!F98</f>
        <v>1.02391311198437</v>
      </c>
      <c r="G94" s="96" t="n">
        <f aca="false">G27*Ratio!G98</f>
        <v>1.14145441591273</v>
      </c>
      <c r="H94" s="31" t="n">
        <f aca="false">H27*Ratio!H98</f>
        <v>1.1452066054291</v>
      </c>
      <c r="I94" s="74" t="n">
        <f aca="false">I27*Ratio!I98</f>
        <v>1.15435452063458</v>
      </c>
      <c r="J94" s="75" t="n">
        <f aca="false">J27*Ratio!J98</f>
        <v>1.26064852494994</v>
      </c>
      <c r="K94" s="72" t="n">
        <f aca="false">K27*Ratio!K98</f>
        <v>1.15172679391033</v>
      </c>
      <c r="L94" s="31" t="n">
        <f aca="false">L27*Ratio!L98</f>
        <v>1.17842966061416</v>
      </c>
      <c r="M94" s="96" t="n">
        <f aca="false">M27*Ratio!M98</f>
        <v>1.17904731465877</v>
      </c>
      <c r="N94" s="96" t="n">
        <f aca="false">N27*Ratio!N98</f>
        <v>1.18927646744433</v>
      </c>
      <c r="O94" s="31" t="n">
        <f aca="false">O27*Ratio!O98</f>
        <v>1.24576033016356</v>
      </c>
      <c r="P94" s="76" t="n">
        <f aca="false">P27*Ratio!P98</f>
        <v>1.12326162726758</v>
      </c>
      <c r="Q94" s="75" t="n">
        <f aca="false">Q27*Ratio!Q98</f>
        <v>1.10535219885512</v>
      </c>
      <c r="R94" s="31" t="n">
        <f aca="false">R27*Ratio!R98</f>
        <v>1.10227203317504</v>
      </c>
      <c r="S94" s="96" t="n">
        <f aca="false">S27*Ratio!S98</f>
        <v>1.03698625164741</v>
      </c>
      <c r="T94" s="31" t="n">
        <f aca="false">T27*Ratio!T98</f>
        <v>1.55887544144991</v>
      </c>
      <c r="U94" s="31" t="n">
        <f aca="false">U27*Ratio!U98</f>
        <v>1.37146351332326</v>
      </c>
      <c r="V94" s="96" t="n">
        <f aca="false">V27*Ratio!V98</f>
        <v>1.31273350822978</v>
      </c>
      <c r="W94" s="96" t="n">
        <f aca="false">W27*Ratio!W98</f>
        <v>1.18338905199056</v>
      </c>
      <c r="X94" s="74" t="n">
        <f aca="false">X27*Ratio!X98</f>
        <v>1.10328526688676</v>
      </c>
      <c r="Y94" s="75" t="n">
        <f aca="false">Y27*Ratio!Y98</f>
        <v>0.905958635381578</v>
      </c>
      <c r="Z94" s="31" t="n">
        <f aca="false">Z27*Ratio!Z98</f>
        <v>0.927571598043213</v>
      </c>
      <c r="AA94" s="96" t="n">
        <f aca="false">AA27*Ratio!AA98</f>
        <v>0.860631069300786</v>
      </c>
      <c r="AB94" s="31" t="n">
        <f aca="false">AB27*Ratio!AB98</f>
        <v>0.820582523796094</v>
      </c>
      <c r="AC94" s="76" t="n">
        <f aca="false">AC27*Ratio!AC98</f>
        <v>1.15056091967856</v>
      </c>
      <c r="AD94" s="75" t="n">
        <f aca="false">AD27*Ratio!AD98</f>
        <v>0.962479552103321</v>
      </c>
      <c r="AE94" s="31" t="n">
        <f aca="false">AE27*Ratio!AE98</f>
        <v>0.913862428187414</v>
      </c>
      <c r="AF94" s="96" t="n">
        <f aca="false">AF27*Ratio!AF98</f>
        <v>0.908577778080027</v>
      </c>
      <c r="AG94" s="31" t="n">
        <f aca="false">AG27*Ratio!AG98</f>
        <v>0.934272411383399</v>
      </c>
      <c r="AH94" s="31" t="n">
        <f aca="false">AH27*Ratio!AH98</f>
        <v>1.19450704092862</v>
      </c>
      <c r="AI94" s="74" t="n">
        <f aca="false">AI27*Ratio!AI98</f>
        <v>1.01546854857378</v>
      </c>
      <c r="AJ94" s="75" t="n">
        <f aca="false">AJ27*Ratio!AJ98</f>
        <v>1.13257693930258</v>
      </c>
      <c r="AK94" s="31" t="n">
        <f aca="false">AK27*Ratio!AK98</f>
        <v>1.00462622465961</v>
      </c>
      <c r="AL94" s="31" t="n">
        <f aca="false">AL27*Ratio!AL98</f>
        <v>1.03772905373865</v>
      </c>
      <c r="AM94" s="31" t="n">
        <f aca="false">AM27*Ratio!AM98</f>
        <v>1.09820570198121</v>
      </c>
      <c r="AN94" s="76" t="n">
        <f aca="false">AN27*Ratio!AN98</f>
        <v>1.08696044945158</v>
      </c>
      <c r="AO94" s="75" t="n">
        <f aca="false">AO27*Ratio!AO98</f>
        <v>1.07569166513691</v>
      </c>
      <c r="AP94" s="73" t="n">
        <f aca="false">AP27*Ratio!AP98</f>
        <v>1.13644582743938</v>
      </c>
      <c r="AQ94" s="72" t="n">
        <f aca="false">AQ27*Ratio!AQ98</f>
        <v>1.16147218591209</v>
      </c>
    </row>
    <row r="95" customFormat="false" ht="12.8" hidden="false" customHeight="false" outlineLevel="0" collapsed="false">
      <c r="A95" s="139" t="s">
        <v>27</v>
      </c>
      <c r="B95" s="97" t="n">
        <f aca="false">B28*Ratio!B99</f>
        <v>0.35946155909073</v>
      </c>
      <c r="C95" s="72" t="n">
        <f aca="false">C28*Ratio!C99</f>
        <v>0.35067739891735</v>
      </c>
      <c r="D95" s="31" t="n">
        <f aca="false">D28*Ratio!D99</f>
        <v>0.346098579820881</v>
      </c>
      <c r="E95" s="96" t="n">
        <f aca="false">E28*Ratio!E99</f>
        <v>0.331383125221197</v>
      </c>
      <c r="F95" s="31" t="n">
        <f aca="false">F28*Ratio!F99</f>
        <v>0.325739067777705</v>
      </c>
      <c r="G95" s="96" t="n">
        <f aca="false">G28*Ratio!G99</f>
        <v>0.205199052890905</v>
      </c>
      <c r="H95" s="31" t="n">
        <f aca="false">H28*Ratio!H99</f>
        <v>0.190261251349086</v>
      </c>
      <c r="I95" s="74" t="n">
        <f aca="false">I28*Ratio!I99</f>
        <v>0.18768716802497</v>
      </c>
      <c r="J95" s="75" t="n">
        <f aca="false">J28*Ratio!J99</f>
        <v>0.20003318550664</v>
      </c>
      <c r="K95" s="72" t="n">
        <f aca="false">K28*Ratio!K99</f>
        <v>0.231791664856866</v>
      </c>
      <c r="L95" s="31" t="n">
        <f aca="false">L28*Ratio!L99</f>
        <v>0.211227501429911</v>
      </c>
      <c r="M95" s="96" t="n">
        <f aca="false">M28*Ratio!M99</f>
        <v>0.211634934120781</v>
      </c>
      <c r="N95" s="96" t="n">
        <f aca="false">N28*Ratio!N99</f>
        <v>0.213472528833307</v>
      </c>
      <c r="O95" s="31" t="n">
        <f aca="false">O28*Ratio!O99</f>
        <v>0.223068956684244</v>
      </c>
      <c r="P95" s="76" t="n">
        <f aca="false">P28*Ratio!P99</f>
        <v>0.207150036453083</v>
      </c>
      <c r="Q95" s="75" t="n">
        <f aca="false">Q28*Ratio!Q99</f>
        <v>0.220807914964878</v>
      </c>
      <c r="R95" s="31" t="n">
        <f aca="false">R28*Ratio!R99</f>
        <v>0.219283254751781</v>
      </c>
      <c r="S95" s="96" t="n">
        <f aca="false">S28*Ratio!S99</f>
        <v>0.233500588028012</v>
      </c>
      <c r="T95" s="31" t="n">
        <f aca="false">T28*Ratio!T99</f>
        <v>0.236116852338887</v>
      </c>
      <c r="U95" s="31" t="n">
        <f aca="false">U28*Ratio!U99</f>
        <v>0.724733930184795</v>
      </c>
      <c r="V95" s="96" t="n">
        <f aca="false">V28*Ratio!V99</f>
        <v>0.667913147875895</v>
      </c>
      <c r="W95" s="96" t="n">
        <f aca="false">W28*Ratio!W99</f>
        <v>0.683888059640112</v>
      </c>
      <c r="X95" s="74" t="n">
        <f aca="false">X28*Ratio!X99</f>
        <v>0.765653441475721</v>
      </c>
      <c r="Y95" s="75" t="n">
        <f aca="false">Y28*Ratio!Y99</f>
        <v>0.83712677555644</v>
      </c>
      <c r="Z95" s="31" t="n">
        <f aca="false">Z28*Ratio!Z99</f>
        <v>0.836746595954581</v>
      </c>
      <c r="AA95" s="96" t="n">
        <f aca="false">AA28*Ratio!AA99</f>
        <v>0.844857685151301</v>
      </c>
      <c r="AB95" s="31" t="n">
        <f aca="false">AB28*Ratio!AB99</f>
        <v>0.927802093470627</v>
      </c>
      <c r="AC95" s="76" t="n">
        <f aca="false">AC28*Ratio!AC99</f>
        <v>0.5076963710134</v>
      </c>
      <c r="AD95" s="75" t="n">
        <f aca="false">AD28*Ratio!AD99</f>
        <v>0.521689134788911</v>
      </c>
      <c r="AE95" s="31" t="n">
        <f aca="false">AE28*Ratio!AE99</f>
        <v>0.518717641460732</v>
      </c>
      <c r="AF95" s="96" t="n">
        <f aca="false">AF28*Ratio!AF99</f>
        <v>0.477661653367992</v>
      </c>
      <c r="AG95" s="31" t="n">
        <f aca="false">AG28*Ratio!AG99</f>
        <v>0.481196749532382</v>
      </c>
      <c r="AH95" s="31" t="n">
        <f aca="false">AH28*Ratio!AH99</f>
        <v>0.400791235826553</v>
      </c>
      <c r="AI95" s="74" t="n">
        <f aca="false">AI28*Ratio!AI99</f>
        <v>0.630709077678326</v>
      </c>
      <c r="AJ95" s="75" t="n">
        <f aca="false">AJ28*Ratio!AJ99</f>
        <v>0.670991065834614</v>
      </c>
      <c r="AK95" s="31" t="n">
        <f aca="false">AK28*Ratio!AK99</f>
        <v>0.633502972548017</v>
      </c>
      <c r="AL95" s="31" t="n">
        <f aca="false">AL28*Ratio!AL99</f>
        <v>0.556231893276003</v>
      </c>
      <c r="AM95" s="31" t="n">
        <f aca="false">AM28*Ratio!AM99</f>
        <v>0.528062034268564</v>
      </c>
      <c r="AN95" s="76" t="n">
        <f aca="false">AN28*Ratio!AN99</f>
        <v>0.71432923669973</v>
      </c>
      <c r="AO95" s="75" t="n">
        <f aca="false">AO28*Ratio!AO99</f>
        <v>0.648241715213354</v>
      </c>
      <c r="AP95" s="73" t="n">
        <f aca="false">AP28*Ratio!AP99</f>
        <v>0.657461414053304</v>
      </c>
      <c r="AQ95" s="72" t="n">
        <f aca="false">AQ28*Ratio!AQ99</f>
        <v>0.632627921056771</v>
      </c>
    </row>
    <row r="96" customFormat="false" ht="12.8" hidden="false" customHeight="false" outlineLevel="0" collapsed="false">
      <c r="A96" s="139" t="s">
        <v>31</v>
      </c>
      <c r="B96" s="97" t="n">
        <f aca="false">B29*Ratio!B100</f>
        <v>0.158242573642711</v>
      </c>
      <c r="C96" s="72" t="n">
        <f aca="false">C29*Ratio!C100</f>
        <v>0.162677222398458</v>
      </c>
      <c r="D96" s="31" t="n">
        <f aca="false">D29*Ratio!D100</f>
        <v>0.160092891000712</v>
      </c>
      <c r="E96" s="96" t="n">
        <f aca="false">E29*Ratio!E100</f>
        <v>0.131350415953846</v>
      </c>
      <c r="F96" s="31" t="n">
        <f aca="false">F29*Ratio!F100</f>
        <v>0.111515525530948</v>
      </c>
      <c r="G96" s="96" t="n">
        <f aca="false">G29*Ratio!G100</f>
        <v>0.0760832997797346</v>
      </c>
      <c r="H96" s="31" t="n">
        <f aca="false">H29*Ratio!H100</f>
        <v>0.0763334008401224</v>
      </c>
      <c r="I96" s="74" t="n">
        <f aca="false">I29*Ratio!I100</f>
        <v>0.0714136001763215</v>
      </c>
      <c r="J96" s="75" t="n">
        <f aca="false">J29*Ratio!J100</f>
        <v>0.0822145284507792</v>
      </c>
      <c r="K96" s="72" t="n">
        <f aca="false">K29*Ratio!K100</f>
        <v>0.133168031804457</v>
      </c>
      <c r="L96" s="31" t="n">
        <f aca="false">L29*Ratio!L100</f>
        <v>0.136255541985941</v>
      </c>
      <c r="M96" s="96" t="n">
        <f aca="false">M29*Ratio!M100</f>
        <v>0.137796662890899</v>
      </c>
      <c r="N96" s="96" t="n">
        <f aca="false">N29*Ratio!N100</f>
        <v>0.111551523317498</v>
      </c>
      <c r="O96" s="31" t="n">
        <f aca="false">O29*Ratio!O100</f>
        <v>0.0287617281421893</v>
      </c>
      <c r="P96" s="76" t="n">
        <f aca="false">P29*Ratio!P100</f>
        <v>0.0396299732707008</v>
      </c>
      <c r="Q96" s="75" t="n">
        <f aca="false">Q29*Ratio!Q100</f>
        <v>0.046737088352421</v>
      </c>
      <c r="R96" s="31" t="n">
        <f aca="false">R29*Ratio!R100</f>
        <v>0.040930381325989</v>
      </c>
      <c r="S96" s="96" t="n">
        <f aca="false">S29*Ratio!S100</f>
        <v>0.0511966366811741</v>
      </c>
      <c r="T96" s="31" t="n">
        <f aca="false">T29*Ratio!T100</f>
        <v>0.0371762596112204</v>
      </c>
      <c r="U96" s="31" t="n">
        <f aca="false">U29*Ratio!U100</f>
        <v>0.194870598149852</v>
      </c>
      <c r="V96" s="96" t="n">
        <f aca="false">V29*Ratio!V100</f>
        <v>0.202133195548962</v>
      </c>
      <c r="W96" s="96" t="n">
        <f aca="false">W29*Ratio!W100</f>
        <v>0.210078506612929</v>
      </c>
      <c r="X96" s="74" t="n">
        <f aca="false">X29*Ratio!X100</f>
        <v>0.195864864362429</v>
      </c>
      <c r="Y96" s="75" t="n">
        <f aca="false">Y29*Ratio!Y100</f>
        <v>0.195809818783858</v>
      </c>
      <c r="Z96" s="31" t="n">
        <f aca="false">Z29*Ratio!Z100</f>
        <v>0.20924281122617</v>
      </c>
      <c r="AA96" s="96" t="n">
        <f aca="false">AA29*Ratio!AA100</f>
        <v>0.223108289252111</v>
      </c>
      <c r="AB96" s="31" t="n">
        <f aca="false">AB29*Ratio!AB100</f>
        <v>0.199503233283878</v>
      </c>
      <c r="AC96" s="76" t="n">
        <f aca="false">AC29*Ratio!AC100</f>
        <v>0.0992466963347977</v>
      </c>
      <c r="AD96" s="75" t="n">
        <f aca="false">AD29*Ratio!AD100</f>
        <v>0.103903238533863</v>
      </c>
      <c r="AE96" s="31" t="n">
        <f aca="false">AE29*Ratio!AE100</f>
        <v>0.119644148419351</v>
      </c>
      <c r="AF96" s="96" t="n">
        <f aca="false">AF29*Ratio!AF100</f>
        <v>0.0911948878093663</v>
      </c>
      <c r="AG96" s="31" t="n">
        <f aca="false">AG29*Ratio!AG100</f>
        <v>0.107384131798656</v>
      </c>
      <c r="AH96" s="31" t="n">
        <f aca="false">AH29*Ratio!AH100</f>
        <v>0.177127333609379</v>
      </c>
      <c r="AI96" s="74" t="n">
        <f aca="false">AI29*Ratio!AI100</f>
        <v>0.35396418449016</v>
      </c>
      <c r="AJ96" s="75" t="n">
        <f aca="false">AJ29*Ratio!AJ100</f>
        <v>0.424093269167148</v>
      </c>
      <c r="AK96" s="31" t="n">
        <f aca="false">AK29*Ratio!AK100</f>
        <v>0.443951177313469</v>
      </c>
      <c r="AL96" s="31" t="n">
        <f aca="false">AL29*Ratio!AL100</f>
        <v>0.401668013169478</v>
      </c>
      <c r="AM96" s="31" t="n">
        <f aca="false">AM29*Ratio!AM100</f>
        <v>0.404156982735615</v>
      </c>
      <c r="AN96" s="76" t="n">
        <f aca="false">AN29*Ratio!AN100</f>
        <v>0.231220511803541</v>
      </c>
      <c r="AO96" s="75" t="n">
        <f aca="false">AO29*Ratio!AO100</f>
        <v>0.226990052847836</v>
      </c>
      <c r="AP96" s="73" t="n">
        <f aca="false">AP29*Ratio!AP100</f>
        <v>0.276135061900877</v>
      </c>
      <c r="AQ96" s="72" t="n">
        <f aca="false">AQ29*Ratio!AQ100</f>
        <v>0.221683947595613</v>
      </c>
    </row>
    <row r="97" customFormat="false" ht="12.8" hidden="false" customHeight="false" outlineLevel="0" collapsed="false">
      <c r="A97" s="139" t="s">
        <v>184</v>
      </c>
      <c r="B97" s="97" t="n">
        <f aca="false">B30*Ratio!B101</f>
        <v>0.314636203721207</v>
      </c>
      <c r="C97" s="72" t="n">
        <f aca="false">C30*Ratio!C101</f>
        <v>0.261166172207526</v>
      </c>
      <c r="D97" s="31" t="n">
        <f aca="false">D30*Ratio!D101</f>
        <v>0.256907108959334</v>
      </c>
      <c r="E97" s="96" t="n">
        <f aca="false">E30*Ratio!E101</f>
        <v>0.267036145424117</v>
      </c>
      <c r="F97" s="31" t="n">
        <f aca="false">F30*Ratio!F101</f>
        <v>0.246996172859821</v>
      </c>
      <c r="G97" s="96" t="n">
        <f aca="false">G30*Ratio!G101</f>
        <v>0.358826516800025</v>
      </c>
      <c r="H97" s="31" t="n">
        <f aca="false">H30*Ratio!H101</f>
        <v>0.296515650497822</v>
      </c>
      <c r="I97" s="74" t="n">
        <f aca="false">I30*Ratio!I101</f>
        <v>0.289408244265518</v>
      </c>
      <c r="J97" s="75" t="n">
        <f aca="false">J30*Ratio!J101</f>
        <v>0.321273012352678</v>
      </c>
      <c r="K97" s="72" t="n">
        <f aca="false">K30*Ratio!K101</f>
        <v>0.296968220755323</v>
      </c>
      <c r="L97" s="31" t="n">
        <f aca="false">L30*Ratio!L101</f>
        <v>0.301883638187004</v>
      </c>
      <c r="M97" s="96" t="n">
        <f aca="false">M30*Ratio!M101</f>
        <v>0.299542377143183</v>
      </c>
      <c r="N97" s="96" t="n">
        <f aca="false">N30*Ratio!N101</f>
        <v>0.302141140317019</v>
      </c>
      <c r="O97" s="31" t="n">
        <f aca="false">O30*Ratio!O101</f>
        <v>0.328616894012123</v>
      </c>
      <c r="P97" s="76" t="n">
        <f aca="false">P30*Ratio!P101</f>
        <v>0.280394583067274</v>
      </c>
      <c r="Q97" s="75" t="n">
        <f aca="false">Q30*Ratio!Q101</f>
        <v>0.32297283263686</v>
      </c>
      <c r="R97" s="31" t="n">
        <f aca="false">R30*Ratio!R101</f>
        <v>0.438979665028905</v>
      </c>
      <c r="S97" s="96" t="n">
        <f aca="false">S30*Ratio!S101</f>
        <v>0.369278365526779</v>
      </c>
      <c r="T97" s="31" t="n">
        <f aca="false">T30*Ratio!T101</f>
        <v>0.332457559078666</v>
      </c>
      <c r="U97" s="31" t="n">
        <f aca="false">U30*Ratio!U101</f>
        <v>0.329408998090613</v>
      </c>
      <c r="V97" s="96" t="n">
        <f aca="false">V30*Ratio!V101</f>
        <v>0.288796977985923</v>
      </c>
      <c r="W97" s="96" t="n">
        <f aca="false">W30*Ratio!W101</f>
        <v>0.30014880873396</v>
      </c>
      <c r="X97" s="74" t="n">
        <f aca="false">X30*Ratio!X101</f>
        <v>0.335051680743579</v>
      </c>
      <c r="Y97" s="75" t="n">
        <f aca="false">Y30*Ratio!Y101</f>
        <v>0.384040855507455</v>
      </c>
      <c r="Z97" s="31" t="n">
        <f aca="false">Z30*Ratio!Z101</f>
        <v>0.365096615496801</v>
      </c>
      <c r="AA97" s="96" t="n">
        <f aca="false">AA30*Ratio!AA101</f>
        <v>0.352700613314095</v>
      </c>
      <c r="AB97" s="31" t="n">
        <f aca="false">AB30*Ratio!AB101</f>
        <v>0.345307347764514</v>
      </c>
      <c r="AC97" s="76" t="n">
        <f aca="false">AC30*Ratio!AC101</f>
        <v>0.316409369642417</v>
      </c>
      <c r="AD97" s="75" t="n">
        <f aca="false">AD30*Ratio!AD101</f>
        <v>0.366054921807221</v>
      </c>
      <c r="AE97" s="31" t="n">
        <f aca="false">AE30*Ratio!AE101</f>
        <v>0.329041613027235</v>
      </c>
      <c r="AF97" s="96" t="n">
        <f aca="false">AF30*Ratio!AF101</f>
        <v>0.327031367031392</v>
      </c>
      <c r="AG97" s="31" t="n">
        <f aca="false">AG30*Ratio!AG101</f>
        <v>0.297933250717548</v>
      </c>
      <c r="AH97" s="31" t="n">
        <f aca="false">AH30*Ratio!AH101</f>
        <v>0.321660872818861</v>
      </c>
      <c r="AI97" s="74" t="n">
        <f aca="false">AI30*Ratio!AI101</f>
        <v>0.478116791223764</v>
      </c>
      <c r="AJ97" s="75" t="n">
        <f aca="false">AJ30*Ratio!AJ101</f>
        <v>0.452272023053355</v>
      </c>
      <c r="AK97" s="31" t="n">
        <f aca="false">AK30*Ratio!AK101</f>
        <v>0.409860649324622</v>
      </c>
      <c r="AL97" s="31" t="n">
        <f aca="false">AL30*Ratio!AL101</f>
        <v>0.369110877717128</v>
      </c>
      <c r="AM97" s="31" t="n">
        <f aca="false">AM30*Ratio!AM101</f>
        <v>0.350591547876783</v>
      </c>
      <c r="AN97" s="76" t="n">
        <f aca="false">AN30*Ratio!AN101</f>
        <v>0.179108550154534</v>
      </c>
      <c r="AO97" s="75" t="n">
        <f aca="false">AO30*Ratio!AO101</f>
        <v>0.178564516355878</v>
      </c>
      <c r="AP97" s="73" t="n">
        <f aca="false">AP30*Ratio!AP101</f>
        <v>0.197696437504162</v>
      </c>
      <c r="AQ97" s="72" t="n">
        <f aca="false">AQ30*Ratio!AQ101</f>
        <v>0.184635614637349</v>
      </c>
    </row>
    <row r="98" customFormat="false" ht="12.8" hidden="false" customHeight="false" outlineLevel="0" collapsed="false">
      <c r="A98" s="139" t="s">
        <v>185</v>
      </c>
      <c r="B98" s="97" t="n">
        <f aca="false">B31*Ratio!B102</f>
        <v>0.424856359181366</v>
      </c>
      <c r="C98" s="72" t="n">
        <f aca="false">C31*Ratio!C102</f>
        <v>0.436145533100877</v>
      </c>
      <c r="D98" s="31" t="n">
        <f aca="false">D31*Ratio!D102</f>
        <v>0.442892189611363</v>
      </c>
      <c r="E98" s="96" t="n">
        <f aca="false">E31*Ratio!E102</f>
        <v>0.442417299103048</v>
      </c>
      <c r="F98" s="31" t="n">
        <f aca="false">F31*Ratio!F102</f>
        <v>0.447213424025123</v>
      </c>
      <c r="G98" s="96" t="n">
        <f aca="false">G31*Ratio!G102</f>
        <v>0.665253870813855</v>
      </c>
      <c r="H98" s="31" t="n">
        <f aca="false">H31*Ratio!H102</f>
        <v>0.645036078576848</v>
      </c>
      <c r="I98" s="74" t="n">
        <f aca="false">I31*Ratio!I102</f>
        <v>0.698857491504249</v>
      </c>
      <c r="J98" s="75" t="n">
        <f aca="false">J31*Ratio!J102</f>
        <v>0.592213707076675</v>
      </c>
      <c r="K98" s="72" t="n">
        <f aca="false">K31*Ratio!K102</f>
        <v>0.516911020556597</v>
      </c>
      <c r="L98" s="31" t="n">
        <f aca="false">L31*Ratio!L102</f>
        <v>0.528647416048863</v>
      </c>
      <c r="M98" s="96" t="n">
        <f aca="false">M31*Ratio!M102</f>
        <v>0.528924497681828</v>
      </c>
      <c r="N98" s="96" t="n">
        <f aca="false">N31*Ratio!N102</f>
        <v>0.533634931701704</v>
      </c>
      <c r="O98" s="31" t="n">
        <f aca="false">O31*Ratio!O102</f>
        <v>0.566541439221335</v>
      </c>
      <c r="P98" s="76" t="n">
        <f aca="false">P31*Ratio!P102</f>
        <v>0.555277404599317</v>
      </c>
      <c r="Q98" s="75" t="n">
        <f aca="false">Q31*Ratio!Q102</f>
        <v>0.460528378412865</v>
      </c>
      <c r="R98" s="31"/>
      <c r="S98" s="96"/>
      <c r="T98" s="31"/>
      <c r="U98" s="31"/>
      <c r="V98" s="96"/>
      <c r="W98" s="96"/>
      <c r="X98" s="74"/>
      <c r="Y98" s="75"/>
      <c r="Z98" s="31"/>
      <c r="AA98" s="96"/>
      <c r="AB98" s="31"/>
      <c r="AC98" s="76"/>
      <c r="AD98" s="75"/>
      <c r="AE98" s="31"/>
      <c r="AF98" s="96"/>
      <c r="AG98" s="31"/>
      <c r="AH98" s="31"/>
      <c r="AI98" s="74"/>
      <c r="AJ98" s="75"/>
      <c r="AK98" s="31"/>
      <c r="AL98" s="31"/>
      <c r="AM98" s="31"/>
      <c r="AN98" s="76"/>
      <c r="AO98" s="75"/>
      <c r="AP98" s="73"/>
      <c r="AQ98" s="72"/>
    </row>
    <row r="99" customFormat="false" ht="12.8" hidden="false" customHeight="false" outlineLevel="0" collapsed="false">
      <c r="A99" s="139" t="s">
        <v>29</v>
      </c>
      <c r="B99" s="97" t="n">
        <f aca="false">B32*Ratio!B103</f>
        <v>0.181506879710667</v>
      </c>
      <c r="C99" s="72" t="n">
        <f aca="false">C32*Ratio!C103</f>
        <v>0.170742950426117</v>
      </c>
      <c r="D99" s="31" t="n">
        <f aca="false">D32*Ratio!D103</f>
        <v>0.168030484837977</v>
      </c>
      <c r="E99" s="96" t="n">
        <f aca="false">E32*Ratio!E103</f>
        <v>0.188212142947603</v>
      </c>
      <c r="F99" s="31" t="n">
        <f aca="false">F32*Ratio!F103</f>
        <v>0.123506807655105</v>
      </c>
      <c r="G99" s="96" t="n">
        <f aca="false">G32*Ratio!G103</f>
        <v>0.257711441073445</v>
      </c>
      <c r="H99" s="31" t="n">
        <f aca="false">H32*Ratio!H103</f>
        <v>0.235546963854129</v>
      </c>
      <c r="I99" s="74" t="n">
        <f aca="false">I32*Ratio!I103</f>
        <v>0.227491816970503</v>
      </c>
      <c r="J99" s="75" t="n">
        <f aca="false">J32*Ratio!J103</f>
        <v>0.225136817857073</v>
      </c>
      <c r="K99" s="72" t="n">
        <f aca="false">K32*Ratio!K103</f>
        <v>0.200999419592441</v>
      </c>
      <c r="L99" s="31" t="n">
        <f aca="false">L32*Ratio!L103</f>
        <v>0.197247666326194</v>
      </c>
      <c r="M99" s="96" t="n">
        <f aca="false">M32*Ratio!M103</f>
        <v>0.197351050365962</v>
      </c>
      <c r="N99" s="96" t="n">
        <f aca="false">N32*Ratio!N103</f>
        <v>0.178605287868477</v>
      </c>
      <c r="O99" s="31" t="n">
        <f aca="false">O32*Ratio!O103</f>
        <v>0.183247956670749</v>
      </c>
      <c r="P99" s="76" t="n">
        <f aca="false">P32*Ratio!P103</f>
        <v>0.182400311234987</v>
      </c>
      <c r="Q99" s="75" t="n">
        <f aca="false">Q32*Ratio!Q103</f>
        <v>0.21419570278838</v>
      </c>
      <c r="R99" s="73" t="n">
        <f aca="false">R32*Ratio!R103</f>
        <v>0.237295127888301</v>
      </c>
      <c r="S99" s="96" t="n">
        <f aca="false">S32*Ratio!S103</f>
        <v>0.227668780156783</v>
      </c>
      <c r="T99" s="31" t="n">
        <f aca="false">T32*Ratio!T103</f>
        <v>0.201362552156071</v>
      </c>
      <c r="U99" s="31" t="n">
        <f aca="false">U32*Ratio!U103</f>
        <v>0.150680098346925</v>
      </c>
      <c r="V99" s="96" t="n">
        <f aca="false">V32*Ratio!V103</f>
        <v>0.187186942055487</v>
      </c>
      <c r="W99" s="96" t="n">
        <f aca="false">W32*Ratio!W103</f>
        <v>0.194544756182476</v>
      </c>
      <c r="X99" s="74" t="n">
        <f aca="false">X32*Ratio!X103</f>
        <v>0.181382107558059</v>
      </c>
      <c r="Y99" s="75" t="n">
        <f aca="false">Y32*Ratio!Y103</f>
        <v>0.227259535317409</v>
      </c>
      <c r="Z99" s="31" t="n">
        <f aca="false">Z32*Ratio!Z103</f>
        <v>0.260405554463976</v>
      </c>
      <c r="AA99" s="96" t="n">
        <f aca="false">AA32*Ratio!AA103</f>
        <v>0.2455573245323</v>
      </c>
      <c r="AB99" s="31" t="n">
        <f aca="false">AB32*Ratio!AB103</f>
        <v>0.294441905746579</v>
      </c>
      <c r="AC99" s="76" t="n">
        <f aca="false">AC32*Ratio!AC103</f>
        <v>0.340599453438299</v>
      </c>
      <c r="AD99" s="75" t="n">
        <f aca="false">AD32*Ratio!AD103</f>
        <v>0.384717080862859</v>
      </c>
      <c r="AE99" s="31" t="n">
        <f aca="false">AE32*Ratio!AE103</f>
        <v>0.295944122223298</v>
      </c>
      <c r="AF99" s="96" t="n">
        <f aca="false">AF32*Ratio!AF103</f>
        <v>0.268830801067096</v>
      </c>
      <c r="AG99" s="31" t="n">
        <f aca="false">AG32*Ratio!AG103</f>
        <v>0.270947534388522</v>
      </c>
      <c r="AH99" s="31" t="n">
        <f aca="false">AH32*Ratio!AH103</f>
        <v>0.401395171452621</v>
      </c>
      <c r="AI99" s="74" t="n">
        <f aca="false">AI32*Ratio!AI103</f>
        <v>0.30854338967947</v>
      </c>
      <c r="AJ99" s="75" t="n">
        <f aca="false">AJ32*Ratio!AJ103</f>
        <v>0.278082374769403</v>
      </c>
      <c r="AK99" s="31" t="n">
        <f aca="false">AK32*Ratio!AK103</f>
        <v>0.298717351156836</v>
      </c>
      <c r="AL99" s="31" t="n">
        <f aca="false">AL32*Ratio!AL103</f>
        <v>0.307382728805821</v>
      </c>
      <c r="AM99" s="31" t="n">
        <f aca="false">AM32*Ratio!AM103</f>
        <v>0.300467818651338</v>
      </c>
      <c r="AN99" s="76" t="n">
        <f aca="false">AN32*Ratio!AN103</f>
        <v>0.260852968235613</v>
      </c>
      <c r="AO99" s="177"/>
      <c r="AP99" s="179"/>
      <c r="AQ99" s="118"/>
    </row>
    <row r="100" customFormat="false" ht="12.8" hidden="false" customHeight="false" outlineLevel="0" collapsed="false">
      <c r="A100" s="139" t="s">
        <v>186</v>
      </c>
      <c r="B100" s="188"/>
      <c r="C100" s="118"/>
      <c r="D100" s="117"/>
      <c r="E100" s="79"/>
      <c r="F100" s="117"/>
      <c r="G100" s="79"/>
      <c r="H100" s="117"/>
      <c r="I100" s="176"/>
      <c r="J100" s="177"/>
      <c r="K100" s="118"/>
      <c r="L100" s="117"/>
      <c r="M100" s="79"/>
      <c r="N100" s="79"/>
      <c r="O100" s="117"/>
      <c r="P100" s="178"/>
      <c r="Q100" s="177"/>
      <c r="R100" s="73" t="n">
        <f aca="false">R33*Ratio!R104</f>
        <v>0.331230491085068</v>
      </c>
      <c r="S100" s="96" t="n">
        <f aca="false">S33*Ratio!S104</f>
        <v>0.316661612541994</v>
      </c>
      <c r="T100" s="31" t="n">
        <f aca="false">T33*Ratio!T104</f>
        <v>0.334311411547194</v>
      </c>
      <c r="U100" s="31" t="n">
        <f aca="false">U33*Ratio!U104</f>
        <v>1.25082925853223</v>
      </c>
      <c r="V100" s="96" t="n">
        <f aca="false">V33*Ratio!V104</f>
        <v>1.34264322275702</v>
      </c>
      <c r="W100" s="96" t="n">
        <f aca="false">W33*Ratio!W104</f>
        <v>1.39541890872864</v>
      </c>
      <c r="X100" s="74" t="n">
        <f aca="false">X33*Ratio!X104</f>
        <v>1.30100665552848</v>
      </c>
      <c r="Y100" s="75" t="n">
        <f aca="false">Y33*Ratio!Y104</f>
        <v>1.4376147777717</v>
      </c>
      <c r="Z100" s="31" t="n">
        <f aca="false">Z33*Ratio!Z104</f>
        <v>1.43712390112813</v>
      </c>
      <c r="AA100" s="96" t="n">
        <f aca="false">AA33*Ratio!AA104</f>
        <v>1.57735624348915</v>
      </c>
      <c r="AB100" s="31" t="n">
        <f aca="false">AB33*Ratio!AB104</f>
        <v>1.43975116079936</v>
      </c>
      <c r="AC100" s="76" t="n">
        <f aca="false">AC33*Ratio!AC104</f>
        <v>0.157357982367499</v>
      </c>
      <c r="AD100" s="75" t="n">
        <f aca="false">AD33*Ratio!AD104</f>
        <v>0.165272592465035</v>
      </c>
      <c r="AE100" s="31" t="n">
        <f aca="false">AE33*Ratio!AE104</f>
        <v>0.156967620740378</v>
      </c>
      <c r="AF100" s="96" t="n">
        <f aca="false">AF33*Ratio!AF104</f>
        <v>0.156072806523124</v>
      </c>
      <c r="AG100" s="31" t="n">
        <f aca="false">AG33*Ratio!AG104</f>
        <v>0.20928700191941</v>
      </c>
      <c r="AH100" s="31" t="n">
        <f aca="false">AH33*Ratio!AH104</f>
        <v>0.208279276068095</v>
      </c>
      <c r="AI100" s="74" t="n">
        <f aca="false">AI33*Ratio!AI104</f>
        <v>0.270858822952474</v>
      </c>
      <c r="AJ100" s="75" t="n">
        <f aca="false">AJ33*Ratio!AJ104</f>
        <v>0.276474407440824</v>
      </c>
      <c r="AK100" s="31" t="n">
        <f aca="false">AK33*Ratio!AK104</f>
        <v>0.259418236844042</v>
      </c>
      <c r="AL100" s="31" t="n">
        <f aca="false">AL33*Ratio!AL104</f>
        <v>0.267889398609565</v>
      </c>
      <c r="AM100" s="31" t="n">
        <f aca="false">AM33*Ratio!AM104</f>
        <v>0.287396051617039</v>
      </c>
      <c r="AN100" s="76" t="n">
        <f aca="false">AN33*Ratio!AN104</f>
        <v>0.257409233082841</v>
      </c>
      <c r="AO100" s="75" t="n">
        <f aca="false">AO33*Ratio!AO104</f>
        <v>0.260727540868899</v>
      </c>
      <c r="AP100" s="73" t="n">
        <f aca="false">AP33*Ratio!AP104</f>
        <v>0.244515266320395</v>
      </c>
      <c r="AQ100" s="72" t="n">
        <f aca="false">AQ33*Ratio!AQ104</f>
        <v>0.237207815502927</v>
      </c>
    </row>
    <row r="101" customFormat="false" ht="12.8" hidden="false" customHeight="false" outlineLevel="0" collapsed="false">
      <c r="A101" s="139" t="s">
        <v>187</v>
      </c>
      <c r="B101" s="188"/>
      <c r="C101" s="118"/>
      <c r="D101" s="117"/>
      <c r="E101" s="79"/>
      <c r="F101" s="117"/>
      <c r="G101" s="79"/>
      <c r="H101" s="117"/>
      <c r="I101" s="176"/>
      <c r="J101" s="177"/>
      <c r="K101" s="118"/>
      <c r="L101" s="117"/>
      <c r="M101" s="79"/>
      <c r="N101" s="79"/>
      <c r="O101" s="117"/>
      <c r="P101" s="178"/>
      <c r="Q101" s="177"/>
      <c r="R101" s="117"/>
      <c r="S101" s="79"/>
      <c r="T101" s="117"/>
      <c r="U101" s="117"/>
      <c r="V101" s="79"/>
      <c r="W101" s="79"/>
      <c r="X101" s="176"/>
      <c r="Y101" s="177"/>
      <c r="Z101" s="117"/>
      <c r="AA101" s="79"/>
      <c r="AB101" s="117"/>
      <c r="AC101" s="178"/>
      <c r="AD101" s="177"/>
      <c r="AE101" s="117"/>
      <c r="AF101" s="79"/>
      <c r="AG101" s="117"/>
      <c r="AH101" s="117"/>
      <c r="AI101" s="176"/>
      <c r="AJ101" s="177"/>
      <c r="AK101" s="117"/>
      <c r="AL101" s="117"/>
      <c r="AM101" s="117"/>
      <c r="AN101" s="178"/>
      <c r="AO101" s="177"/>
      <c r="AP101" s="73" t="n">
        <f aca="false">AP34*Ratio!AP105</f>
        <v>0.379079727151904</v>
      </c>
      <c r="AQ101" s="72" t="n">
        <f aca="false">AQ34*Ratio!AQ105</f>
        <v>0.357266310289739</v>
      </c>
    </row>
    <row r="102" customFormat="false" ht="12.8" hidden="false" customHeight="false" outlineLevel="0" collapsed="false">
      <c r="A102" s="139" t="s">
        <v>190</v>
      </c>
      <c r="B102" s="188"/>
      <c r="C102" s="118"/>
      <c r="D102" s="117"/>
      <c r="E102" s="79"/>
      <c r="F102" s="117"/>
      <c r="G102" s="79"/>
      <c r="H102" s="117"/>
      <c r="I102" s="176"/>
      <c r="J102" s="177"/>
      <c r="K102" s="118"/>
      <c r="L102" s="117"/>
      <c r="M102" s="79"/>
      <c r="N102" s="79"/>
      <c r="O102" s="117"/>
      <c r="P102" s="178"/>
      <c r="Q102" s="177"/>
      <c r="R102" s="117"/>
      <c r="S102" s="79"/>
      <c r="T102" s="117"/>
      <c r="U102" s="117"/>
      <c r="V102" s="79"/>
      <c r="W102" s="79"/>
      <c r="X102" s="176"/>
      <c r="Y102" s="177"/>
      <c r="Z102" s="117"/>
      <c r="AA102" s="79"/>
      <c r="AB102" s="117"/>
      <c r="AC102" s="178"/>
      <c r="AD102" s="177"/>
      <c r="AE102" s="117"/>
      <c r="AF102" s="79"/>
      <c r="AG102" s="117"/>
      <c r="AH102" s="117"/>
      <c r="AI102" s="176"/>
      <c r="AJ102" s="177"/>
      <c r="AK102" s="117"/>
      <c r="AL102" s="117"/>
      <c r="AM102" s="117"/>
      <c r="AN102" s="178"/>
      <c r="AO102" s="75" t="n">
        <f aca="false">AO35*Ratio!AO106</f>
        <v>0.178172329900037</v>
      </c>
      <c r="AP102" s="179"/>
      <c r="AQ102" s="1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AQ117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AG2" activePane="bottomRight" state="frozen"/>
      <selection pane="topLeft" activeCell="A1" activeCellId="0" sqref="A1"/>
      <selection pane="topRight" activeCell="AG1" activeCellId="0" sqref="AG1"/>
      <selection pane="bottomLeft" activeCell="A2" activeCellId="0" sqref="A2"/>
      <selection pane="bottomRight" activeCell="AQ21" activeCellId="0" sqref="AQ2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2.84"/>
    <col collapsed="false" customWidth="true" hidden="false" outlineLevel="0" max="2" min="2" style="38" width="15.78"/>
    <col collapsed="false" customWidth="true" hidden="false" outlineLevel="0" max="3" min="3" style="39" width="15.78"/>
    <col collapsed="false" customWidth="true" hidden="false" outlineLevel="0" max="4" min="4" style="1" width="15.78"/>
    <col collapsed="false" customWidth="true" hidden="false" outlineLevel="0" max="5" min="5" style="40" width="15.78"/>
    <col collapsed="false" customWidth="true" hidden="false" outlineLevel="0" max="6" min="6" style="1" width="15.78"/>
    <col collapsed="false" customWidth="true" hidden="false" outlineLevel="0" max="7" min="7" style="40" width="15.78"/>
    <col collapsed="false" customWidth="true" hidden="false" outlineLevel="0" max="8" min="8" style="1" width="15.78"/>
    <col collapsed="false" customWidth="true" hidden="false" outlineLevel="0" max="9" min="9" style="41" width="15.78"/>
    <col collapsed="false" customWidth="true" hidden="false" outlineLevel="0" max="10" min="10" style="21" width="15.78"/>
    <col collapsed="false" customWidth="true" hidden="false" outlineLevel="0" max="11" min="11" style="39" width="15.78"/>
    <col collapsed="false" customWidth="true" hidden="false" outlineLevel="0" max="12" min="12" style="1" width="15.78"/>
    <col collapsed="false" customWidth="true" hidden="false" outlineLevel="0" max="14" min="13" style="40" width="15.78"/>
    <col collapsed="false" customWidth="true" hidden="false" outlineLevel="0" max="15" min="15" style="1" width="15.78"/>
    <col collapsed="false" customWidth="true" hidden="false" outlineLevel="0" max="16" min="16" style="42" width="15.78"/>
    <col collapsed="false" customWidth="true" hidden="false" outlineLevel="0" max="17" min="17" style="21" width="15.78"/>
    <col collapsed="false" customWidth="true" hidden="false" outlineLevel="0" max="18" min="18" style="1" width="15.78"/>
    <col collapsed="false" customWidth="true" hidden="false" outlineLevel="0" max="19" min="19" style="40" width="15.78"/>
    <col collapsed="false" customWidth="true" hidden="false" outlineLevel="0" max="21" min="20" style="1" width="15.78"/>
    <col collapsed="false" customWidth="true" hidden="false" outlineLevel="0" max="23" min="22" style="40" width="15.78"/>
    <col collapsed="false" customWidth="true" hidden="false" outlineLevel="0" max="24" min="24" style="41" width="15.78"/>
    <col collapsed="false" customWidth="true" hidden="false" outlineLevel="0" max="25" min="25" style="21" width="15.78"/>
    <col collapsed="false" customWidth="true" hidden="false" outlineLevel="0" max="26" min="26" style="1" width="15.78"/>
    <col collapsed="false" customWidth="true" hidden="false" outlineLevel="0" max="27" min="27" style="40" width="15.78"/>
    <col collapsed="false" customWidth="true" hidden="false" outlineLevel="0" max="28" min="28" style="1" width="15.78"/>
    <col collapsed="false" customWidth="true" hidden="false" outlineLevel="0" max="29" min="29" style="42" width="15.78"/>
    <col collapsed="false" customWidth="true" hidden="false" outlineLevel="0" max="30" min="30" style="21" width="15.78"/>
    <col collapsed="false" customWidth="true" hidden="false" outlineLevel="0" max="31" min="31" style="1" width="15.78"/>
    <col collapsed="false" customWidth="true" hidden="false" outlineLevel="0" max="32" min="32" style="40" width="15.78"/>
    <col collapsed="false" customWidth="true" hidden="false" outlineLevel="0" max="34" min="33" style="1" width="15.78"/>
    <col collapsed="false" customWidth="true" hidden="false" outlineLevel="0" max="35" min="35" style="41" width="15.78"/>
    <col collapsed="false" customWidth="true" hidden="false" outlineLevel="0" max="36" min="36" style="21" width="15.78"/>
    <col collapsed="false" customWidth="true" hidden="false" outlineLevel="0" max="39" min="37" style="1" width="15.78"/>
    <col collapsed="false" customWidth="true" hidden="false" outlineLevel="0" max="40" min="40" style="42" width="15.78"/>
    <col collapsed="false" customWidth="true" hidden="false" outlineLevel="0" max="41" min="41" style="21" width="15.78"/>
    <col collapsed="false" customWidth="true" hidden="false" outlineLevel="0" max="42" min="42" style="1" width="15.78"/>
    <col collapsed="false" customWidth="true" hidden="false" outlineLevel="0" max="43" min="43" style="1" width="12.97"/>
  </cols>
  <sheetData>
    <row r="1" customFormat="false" ht="12.8" hidden="false" customHeight="false" outlineLevel="0" collapsed="false">
      <c r="B1" s="19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24" t="s">
        <v>79</v>
      </c>
    </row>
    <row r="2" customFormat="false" ht="12.8" hidden="false" customHeight="false" outlineLevel="0" collapsed="false">
      <c r="A2" s="139" t="s">
        <v>183</v>
      </c>
      <c r="B2" s="20" t="n">
        <v>332770068.292683</v>
      </c>
      <c r="C2" s="25" t="n">
        <v>340562204.878049</v>
      </c>
      <c r="D2" s="32" t="n">
        <v>340562204.878049</v>
      </c>
      <c r="E2" s="20" t="n">
        <v>341020565.853659</v>
      </c>
      <c r="F2" s="32" t="n">
        <v>341020565.853659</v>
      </c>
      <c r="G2" s="20" t="n">
        <v>286475609.756098</v>
      </c>
      <c r="H2" s="32" t="n">
        <v>286475609.756098</v>
      </c>
      <c r="I2" s="26" t="n">
        <v>279600195.121951</v>
      </c>
      <c r="J2" s="33" t="n">
        <v>278545964.878049</v>
      </c>
      <c r="K2" s="25" t="n">
        <v>264923476.682927</v>
      </c>
      <c r="L2" s="32" t="n">
        <v>264923476.682927</v>
      </c>
      <c r="M2" s="20" t="n">
        <v>264923476.682927</v>
      </c>
      <c r="N2" s="20" t="n">
        <v>264923476.682927</v>
      </c>
      <c r="O2" s="32" t="n">
        <v>267682809.756098</v>
      </c>
      <c r="P2" s="167" t="n">
        <v>273641502.439024</v>
      </c>
      <c r="Q2" s="33" t="n">
        <v>265849365.853659</v>
      </c>
      <c r="R2" s="32" t="n">
        <v>261274923.317073</v>
      </c>
      <c r="S2" s="20" t="n">
        <v>258698934.634146</v>
      </c>
      <c r="T2" s="32" t="n">
        <v>320852682.926829</v>
      </c>
      <c r="U2" s="32" t="n">
        <v>375856000</v>
      </c>
      <c r="V2" s="20" t="n">
        <v>365772058.536585</v>
      </c>
      <c r="W2" s="20" t="n">
        <v>365772058.536585</v>
      </c>
      <c r="X2" s="26" t="n">
        <v>365772058.536585</v>
      </c>
      <c r="Y2" s="33" t="n">
        <v>321833575.414634</v>
      </c>
      <c r="Z2" s="32" t="n">
        <v>321778572.097561</v>
      </c>
      <c r="AA2" s="20" t="n">
        <v>307431873.560976</v>
      </c>
      <c r="AB2" s="32" t="n">
        <v>265858533.073171</v>
      </c>
      <c r="AC2" s="167" t="n">
        <v>265849365.853659</v>
      </c>
      <c r="AD2" s="33" t="n">
        <v>238356874.536585</v>
      </c>
      <c r="AE2" s="32" t="n">
        <v>229189655.02439</v>
      </c>
      <c r="AF2" s="20" t="n">
        <v>229180487.804878</v>
      </c>
      <c r="AG2" s="32" t="n">
        <v>224596878.048781</v>
      </c>
      <c r="AH2" s="32" t="n">
        <v>212221131.707317</v>
      </c>
      <c r="AI2" s="26" t="n">
        <v>221846712.195122</v>
      </c>
      <c r="AJ2" s="33" t="n">
        <v>230097209.756098</v>
      </c>
      <c r="AK2" s="32" t="n">
        <v>211313576.97561</v>
      </c>
      <c r="AL2" s="32" t="n">
        <v>211304409.756098</v>
      </c>
      <c r="AM2" s="32" t="n">
        <v>210855216</v>
      </c>
      <c r="AN2" s="167" t="n">
        <v>215429658.536585</v>
      </c>
      <c r="AO2" s="33" t="n">
        <v>210846048.780488</v>
      </c>
      <c r="AP2" s="32" t="n">
        <v>218179824.390244</v>
      </c>
      <c r="AQ2" s="32" t="n">
        <v>218179824.390244</v>
      </c>
    </row>
    <row r="3" customFormat="false" ht="12.8" hidden="false" customHeight="false" outlineLevel="0" collapsed="false">
      <c r="A3" s="139" t="s">
        <v>31</v>
      </c>
      <c r="B3" s="20" t="n">
        <v>81456989.2682927</v>
      </c>
      <c r="C3" s="25" t="n">
        <v>81456989.2682927</v>
      </c>
      <c r="D3" s="32" t="n">
        <v>81456989.2682927</v>
      </c>
      <c r="E3" s="20" t="n">
        <v>73607860.3902439</v>
      </c>
      <c r="F3" s="32" t="n">
        <v>67433560.9756098</v>
      </c>
      <c r="G3" s="20" t="n">
        <v>70819000.9756098</v>
      </c>
      <c r="H3" s="32" t="n">
        <v>70819000.9756098</v>
      </c>
      <c r="I3" s="26" t="n">
        <v>67433560.9756098</v>
      </c>
      <c r="J3" s="33" t="n">
        <v>68672136.5853659</v>
      </c>
      <c r="K3" s="25" t="n">
        <v>83539172.4878049</v>
      </c>
      <c r="L3" s="32" t="n">
        <v>83539172.4878049</v>
      </c>
      <c r="M3" s="20" t="n">
        <v>83918176.6243903</v>
      </c>
      <c r="N3" s="20" t="n">
        <v>76547000.3121951</v>
      </c>
      <c r="O3" s="32" t="n">
        <v>45414439.0243902</v>
      </c>
      <c r="P3" s="167" t="n">
        <v>46102536.5853659</v>
      </c>
      <c r="Q3" s="33" t="n">
        <v>48166829.2682927</v>
      </c>
      <c r="R3" s="32" t="n">
        <v>45455724.8780488</v>
      </c>
      <c r="S3" s="20" t="n">
        <v>49955882.9268293</v>
      </c>
      <c r="T3" s="32" t="n">
        <v>44905246.8292683</v>
      </c>
      <c r="U3" s="32" t="n">
        <v>50065978.5365854</v>
      </c>
      <c r="V3" s="20" t="n">
        <v>50244883.902439</v>
      </c>
      <c r="W3" s="20" t="n">
        <v>50244883.902439</v>
      </c>
      <c r="X3" s="26" t="n">
        <v>50244883.902439</v>
      </c>
      <c r="Y3" s="33" t="n">
        <v>49446690.7317073</v>
      </c>
      <c r="Z3" s="32" t="n">
        <v>49538207.7073171</v>
      </c>
      <c r="AA3" s="20" t="n">
        <v>51543324</v>
      </c>
      <c r="AB3" s="32" t="n">
        <v>46790634.1463415</v>
      </c>
      <c r="AC3" s="167" t="n">
        <v>46790634.1463415</v>
      </c>
      <c r="AD3" s="33" t="n">
        <v>46780725.5414634</v>
      </c>
      <c r="AE3" s="32" t="n">
        <v>49439259.2780488</v>
      </c>
      <c r="AF3" s="20" t="n">
        <v>43361568.7609756</v>
      </c>
      <c r="AG3" s="32" t="n">
        <v>45414439.0243902</v>
      </c>
      <c r="AH3" s="32" t="n">
        <v>41285853.6585366</v>
      </c>
      <c r="AI3" s="26" t="n">
        <v>62148971.7073171</v>
      </c>
      <c r="AJ3" s="33" t="n">
        <v>66057365.8536585</v>
      </c>
      <c r="AK3" s="32" t="n">
        <v>65860707.5707317</v>
      </c>
      <c r="AL3" s="32" t="n">
        <v>62052638.0487805</v>
      </c>
      <c r="AM3" s="32" t="n">
        <v>60552585.3658537</v>
      </c>
      <c r="AN3" s="167" t="n">
        <v>58089196.097561</v>
      </c>
      <c r="AO3" s="33" t="n">
        <v>55171662.4390244</v>
      </c>
      <c r="AP3" s="32" t="n">
        <v>68075831.2390244</v>
      </c>
      <c r="AQ3" s="32" t="n">
        <v>60552585.3658537</v>
      </c>
    </row>
    <row r="4" customFormat="false" ht="12.8" hidden="false" customHeight="false" outlineLevel="0" collapsed="false">
      <c r="A4" s="139" t="s">
        <v>29</v>
      </c>
      <c r="B4" s="20" t="n">
        <v>63105211.3170732</v>
      </c>
      <c r="C4" s="25" t="n">
        <v>60212370.7317073</v>
      </c>
      <c r="D4" s="32" t="n">
        <v>60212370.7317073</v>
      </c>
      <c r="E4" s="20" t="n">
        <v>62639789.2682927</v>
      </c>
      <c r="F4" s="32" t="n">
        <v>48889756.097561</v>
      </c>
      <c r="G4" s="20" t="n">
        <v>45939512.195122</v>
      </c>
      <c r="H4" s="32" t="n">
        <v>43655652.5268293</v>
      </c>
      <c r="I4" s="26" t="n">
        <v>41552461.5804878</v>
      </c>
      <c r="J4" s="33" t="n">
        <v>39196097.5609756</v>
      </c>
      <c r="K4" s="25" t="n">
        <v>36667317.0731707</v>
      </c>
      <c r="L4" s="32" t="n">
        <v>35824390.2439024</v>
      </c>
      <c r="M4" s="20" t="n">
        <v>35824390.2439024</v>
      </c>
      <c r="N4" s="20" t="n">
        <v>33717073.1707317</v>
      </c>
      <c r="O4" s="32" t="n">
        <v>33704488.2731707</v>
      </c>
      <c r="P4" s="167" t="n">
        <v>34560000</v>
      </c>
      <c r="Q4" s="33" t="n">
        <v>36899121.9512195</v>
      </c>
      <c r="R4" s="32" t="n">
        <v>38353170.7317073</v>
      </c>
      <c r="S4" s="20" t="n">
        <v>38353170.7317073</v>
      </c>
      <c r="T4" s="32" t="n">
        <v>36250068.2926829</v>
      </c>
      <c r="U4" s="32" t="n">
        <v>34983570.7317073</v>
      </c>
      <c r="V4" s="20" t="n">
        <v>38775055.6097561</v>
      </c>
      <c r="W4" s="20" t="n">
        <v>38775055.6097561</v>
      </c>
      <c r="X4" s="26" t="n">
        <v>38775055.6097561</v>
      </c>
      <c r="Y4" s="33" t="n">
        <v>42926048.7804878</v>
      </c>
      <c r="Z4" s="32" t="n">
        <v>44675121.9512195</v>
      </c>
      <c r="AA4" s="20" t="n">
        <v>43972681.5219512</v>
      </c>
      <c r="AB4" s="32" t="n">
        <v>45518048.7804878</v>
      </c>
      <c r="AC4" s="167" t="n">
        <v>42104195.1219512</v>
      </c>
      <c r="AD4" s="33" t="n">
        <v>43832195.1219512</v>
      </c>
      <c r="AE4" s="32" t="n">
        <v>37510243.902439</v>
      </c>
      <c r="AF4" s="20" t="n">
        <v>35730732.6439024</v>
      </c>
      <c r="AG4" s="32" t="n">
        <v>34559894.6341463</v>
      </c>
      <c r="AH4" s="32" t="n">
        <v>35192195.1219512</v>
      </c>
      <c r="AI4" s="26" t="n">
        <v>34981463.4146341</v>
      </c>
      <c r="AJ4" s="33" t="n">
        <v>32337737.2097561</v>
      </c>
      <c r="AK4" s="32" t="n">
        <v>32667629.2682927</v>
      </c>
      <c r="AL4" s="32" t="n">
        <v>32600195.1219512</v>
      </c>
      <c r="AM4" s="32" t="n">
        <v>31188292.6829268</v>
      </c>
      <c r="AN4" s="167" t="n">
        <v>32031219.5121951</v>
      </c>
      <c r="AO4" s="33" t="n">
        <v>29519297.5609756</v>
      </c>
      <c r="AP4" s="32" t="n">
        <v>28238048.7804878</v>
      </c>
      <c r="AQ4" s="32" t="n">
        <v>27605853.6585366</v>
      </c>
    </row>
    <row r="5" customFormat="false" ht="12.8" hidden="false" customHeight="false" outlineLevel="0" collapsed="false">
      <c r="A5" s="139" t="s">
        <v>187</v>
      </c>
      <c r="B5" s="20" t="n">
        <v>32807702.0347967</v>
      </c>
      <c r="C5" s="25" t="n">
        <v>33288000.3252033</v>
      </c>
      <c r="D5" s="32" t="n">
        <v>33288000.3252033</v>
      </c>
      <c r="E5" s="20" t="n">
        <v>32486710.6030894</v>
      </c>
      <c r="F5" s="32" t="n">
        <v>33050228.8943089</v>
      </c>
      <c r="G5" s="20" t="n">
        <v>31385828.8780488</v>
      </c>
      <c r="H5" s="32" t="n">
        <v>31623600.3089431</v>
      </c>
      <c r="I5" s="26" t="n">
        <v>34476857.4796748</v>
      </c>
      <c r="J5" s="33" t="n">
        <v>30196971.7235772</v>
      </c>
      <c r="K5" s="25" t="n">
        <v>30860354.0157724</v>
      </c>
      <c r="L5" s="32" t="n">
        <v>29959200.2926829</v>
      </c>
      <c r="M5" s="20" t="n">
        <v>29959200.2926829</v>
      </c>
      <c r="N5" s="20" t="n">
        <v>29721428.8617886</v>
      </c>
      <c r="O5" s="32" t="n">
        <v>30910286.0162602</v>
      </c>
      <c r="P5" s="167" t="n">
        <v>31861371.7398374</v>
      </c>
      <c r="Q5" s="33" t="n">
        <v>31385828.8780488</v>
      </c>
      <c r="R5" s="32" t="n">
        <v>28057028.8455285</v>
      </c>
      <c r="S5" s="20" t="n">
        <v>28882095.7107317</v>
      </c>
      <c r="T5" s="32" t="n">
        <v>28741810.5665041</v>
      </c>
      <c r="U5" s="32" t="n">
        <v>26154857.398374</v>
      </c>
      <c r="V5" s="20" t="n">
        <v>22826057.3658537</v>
      </c>
      <c r="W5" s="20" t="n">
        <v>20900108.7756098</v>
      </c>
      <c r="X5" s="26" t="n">
        <v>21637200.2113821</v>
      </c>
      <c r="Y5" s="33" t="n">
        <v>23539371.6585366</v>
      </c>
      <c r="Z5" s="32" t="n">
        <v>21473137.924065</v>
      </c>
      <c r="AA5" s="20" t="n">
        <v>23301600.2276423</v>
      </c>
      <c r="AB5" s="32" t="n">
        <v>22112743.0731707</v>
      </c>
      <c r="AC5" s="167" t="n">
        <v>14741828.7154472</v>
      </c>
      <c r="AD5" s="33" t="n">
        <v>15317235.5782114</v>
      </c>
      <c r="AE5" s="32" t="n">
        <v>17119543.0243902</v>
      </c>
      <c r="AF5" s="20" t="n">
        <v>18058740.1764228</v>
      </c>
      <c r="AG5" s="32" t="n">
        <v>18308400.1788618</v>
      </c>
      <c r="AH5" s="32" t="n">
        <v>17595085.8861789</v>
      </c>
      <c r="AI5" s="26" t="n">
        <v>21874971.6422764</v>
      </c>
      <c r="AJ5" s="33" t="n">
        <v>22086588.2157724</v>
      </c>
      <c r="AK5" s="32" t="n">
        <v>25679314.5365854</v>
      </c>
      <c r="AL5" s="32" t="n">
        <v>23774765.375122</v>
      </c>
      <c r="AM5" s="32" t="n">
        <v>24966000.2439024</v>
      </c>
      <c r="AN5" s="167" t="n">
        <v>26154857.398374</v>
      </c>
      <c r="AO5" s="33" t="n">
        <v>27105943.1219512</v>
      </c>
      <c r="AP5" s="32" t="n">
        <v>34182020.9053659</v>
      </c>
      <c r="AQ5" s="32" t="n">
        <v>32099143.1707317</v>
      </c>
    </row>
    <row r="6" customFormat="false" ht="12.8" hidden="false" customHeight="false" outlineLevel="0" collapsed="false">
      <c r="A6" s="139" t="s">
        <v>188</v>
      </c>
      <c r="B6" s="20" t="n">
        <v>29463658.5365854</v>
      </c>
      <c r="C6" s="25" t="n">
        <v>29463658.5365854</v>
      </c>
      <c r="D6" s="32" t="n">
        <v>29463658.5365854</v>
      </c>
      <c r="E6" s="20" t="n">
        <v>29463658.5365854</v>
      </c>
      <c r="F6" s="32" t="n">
        <v>29463658.5365854</v>
      </c>
      <c r="G6" s="20" t="n">
        <v>28584146.3414634</v>
      </c>
      <c r="H6" s="32" t="n">
        <v>28584146.3414634</v>
      </c>
      <c r="I6" s="26" t="n">
        <v>26825121.9512195</v>
      </c>
      <c r="J6" s="33" t="n">
        <v>26829519.5121951</v>
      </c>
      <c r="K6" s="25" t="n">
        <v>25334348.7804878</v>
      </c>
      <c r="L6" s="32" t="n">
        <v>25334348.7804878</v>
      </c>
      <c r="M6" s="20" t="n">
        <v>25334348.7804878</v>
      </c>
      <c r="N6" s="20" t="n">
        <v>25066097.5609756</v>
      </c>
      <c r="O6" s="32" t="n">
        <v>25074892.6829268</v>
      </c>
      <c r="P6" s="167" t="n">
        <v>25167241.4634146</v>
      </c>
      <c r="Q6" s="33" t="n">
        <v>24195380.4878049</v>
      </c>
      <c r="R6" s="32" t="n">
        <v>22823341.4634146</v>
      </c>
      <c r="S6" s="20" t="n">
        <v>22823341.4634146</v>
      </c>
      <c r="T6" s="32" t="n">
        <v>22031780.4878049</v>
      </c>
      <c r="U6" s="32" t="n">
        <v>24186585.3658537</v>
      </c>
      <c r="V6" s="20" t="n">
        <v>24186585.3658537</v>
      </c>
      <c r="W6" s="20" t="n">
        <v>24186585.3658537</v>
      </c>
      <c r="X6" s="26" t="n">
        <v>24186585.3658537</v>
      </c>
      <c r="Y6" s="33" t="n">
        <v>24186585.3658537</v>
      </c>
      <c r="Z6" s="32" t="n">
        <v>23883153.6585366</v>
      </c>
      <c r="AA6" s="20" t="n">
        <v>23597312.195122</v>
      </c>
      <c r="AB6" s="32" t="n">
        <v>22867317.0731707</v>
      </c>
      <c r="AC6" s="167" t="n">
        <v>21987804.8780488</v>
      </c>
      <c r="AD6" s="33" t="n">
        <v>19793421.9512195</v>
      </c>
      <c r="AE6" s="32" t="n">
        <v>19797819.5121951</v>
      </c>
      <c r="AF6" s="20" t="n">
        <v>19797819.5121951</v>
      </c>
      <c r="AG6" s="32" t="n">
        <v>20818053.6585366</v>
      </c>
      <c r="AH6" s="32" t="n">
        <v>21811902.4390244</v>
      </c>
      <c r="AI6" s="26" t="n">
        <v>24136629.0731707</v>
      </c>
      <c r="AJ6" s="33" t="n">
        <v>25154048.7804878</v>
      </c>
      <c r="AK6" s="32" t="n">
        <v>24186585.3658537</v>
      </c>
      <c r="AL6" s="32" t="n">
        <v>22647439.0243902</v>
      </c>
      <c r="AM6" s="32" t="n">
        <v>24186585.3658537</v>
      </c>
      <c r="AN6" s="167" t="n">
        <v>24186585.3658537</v>
      </c>
      <c r="AO6" s="33" t="n">
        <v>21143473.1707317</v>
      </c>
      <c r="AP6" s="32" t="n">
        <v>21143473.1707317</v>
      </c>
      <c r="AQ6" s="32" t="n">
        <v>21548048.7804878</v>
      </c>
    </row>
    <row r="7" customFormat="false" ht="12.8" hidden="false" customHeight="false" outlineLevel="0" collapsed="false">
      <c r="A7" s="139" t="s">
        <v>190</v>
      </c>
      <c r="B7" s="20" t="n">
        <v>22386533.6585366</v>
      </c>
      <c r="C7" s="25" t="n">
        <v>22393024.3902439</v>
      </c>
      <c r="D7" s="32" t="n">
        <v>22393024.3902439</v>
      </c>
      <c r="E7" s="20" t="n">
        <v>22393024.3902439</v>
      </c>
      <c r="F7" s="32" t="n">
        <v>22393024.3902439</v>
      </c>
      <c r="G7" s="20" t="n">
        <v>22263209.7560976</v>
      </c>
      <c r="H7" s="32" t="n">
        <v>21614785.6585366</v>
      </c>
      <c r="I7" s="26" t="n">
        <v>21614785.6585366</v>
      </c>
      <c r="J7" s="33" t="n">
        <v>19537751.5121951</v>
      </c>
      <c r="K7" s="25" t="n">
        <v>18453451.0022764</v>
      </c>
      <c r="L7" s="32" t="n">
        <v>19537751.5121951</v>
      </c>
      <c r="M7" s="20" t="n">
        <v>19537751.5121951</v>
      </c>
      <c r="N7" s="20" t="n">
        <v>19537751.5121951</v>
      </c>
      <c r="O7" s="32" t="n">
        <v>19472195.1219512</v>
      </c>
      <c r="P7" s="167" t="n">
        <v>20770341.4634146</v>
      </c>
      <c r="Q7" s="33" t="n">
        <v>20770341.4634146</v>
      </c>
      <c r="R7" s="32" t="n">
        <v>21418116.4878049</v>
      </c>
      <c r="S7" s="20" t="n">
        <v>21419414.6341463</v>
      </c>
      <c r="T7" s="32" t="n">
        <v>21419414.6341463</v>
      </c>
      <c r="U7" s="32" t="n">
        <v>21419414.6341463</v>
      </c>
      <c r="V7" s="20" t="n">
        <v>24015707.3170732</v>
      </c>
      <c r="W7" s="20" t="n">
        <v>24015707.3170732</v>
      </c>
      <c r="X7" s="26" t="n">
        <v>24015707.3170732</v>
      </c>
      <c r="Y7" s="33" t="n">
        <v>24009216.5853659</v>
      </c>
      <c r="Z7" s="32" t="n">
        <v>24598575.0243902</v>
      </c>
      <c r="AA7" s="20" t="n">
        <v>22393673.4634146</v>
      </c>
      <c r="AB7" s="32" t="n">
        <v>22393024.3902439</v>
      </c>
      <c r="AC7" s="167" t="n">
        <v>22393024.3902439</v>
      </c>
      <c r="AD7" s="33" t="n">
        <v>21419414.6341463</v>
      </c>
      <c r="AE7" s="32" t="n">
        <v>21059179.0243902</v>
      </c>
      <c r="AF7" s="20" t="n">
        <v>21059179.0243902</v>
      </c>
      <c r="AG7" s="32" t="n">
        <v>20445804.8780488</v>
      </c>
      <c r="AH7" s="32" t="n">
        <v>24554438.0487805</v>
      </c>
      <c r="AI7" s="26" t="n">
        <v>24554438.0487805</v>
      </c>
      <c r="AJ7" s="33" t="n">
        <v>26612000</v>
      </c>
      <c r="AK7" s="32" t="n">
        <v>25638390.2439024</v>
      </c>
      <c r="AL7" s="32" t="n">
        <v>25638390.2439024</v>
      </c>
      <c r="AM7" s="32" t="n">
        <v>26678205.4634146</v>
      </c>
      <c r="AN7" s="167" t="n">
        <v>28883756.097561</v>
      </c>
      <c r="AO7" s="33" t="n">
        <v>29870347.3170732</v>
      </c>
      <c r="AP7" s="32" t="n">
        <v>30181902.4390244</v>
      </c>
      <c r="AQ7" s="32" t="n">
        <v>28883756.097561</v>
      </c>
    </row>
    <row r="8" customFormat="false" ht="12.8" hidden="false" customHeight="false" outlineLevel="0" collapsed="false">
      <c r="A8" s="139" t="s">
        <v>191</v>
      </c>
      <c r="B8" s="20" t="n">
        <v>18856565.8536585</v>
      </c>
      <c r="C8" s="25" t="n">
        <v>20558168.8873171</v>
      </c>
      <c r="D8" s="32" t="n">
        <v>20558168.8873171</v>
      </c>
      <c r="E8" s="20" t="n">
        <v>20001428.7804878</v>
      </c>
      <c r="F8" s="32" t="n">
        <v>20203463.4146341</v>
      </c>
      <c r="G8" s="20" t="n">
        <v>19402059.3658537</v>
      </c>
      <c r="H8" s="32" t="n">
        <v>18856565.8536585</v>
      </c>
      <c r="I8" s="26" t="n">
        <v>18856565.8536585</v>
      </c>
      <c r="J8" s="33" t="n">
        <v>20129384.0487805</v>
      </c>
      <c r="K8" s="25" t="n">
        <v>17659005.1056911</v>
      </c>
      <c r="L8" s="32" t="n">
        <v>20876912.195122</v>
      </c>
      <c r="M8" s="20" t="n">
        <v>20876912.195122</v>
      </c>
      <c r="N8" s="20" t="n">
        <v>20809567.3170732</v>
      </c>
      <c r="O8" s="32" t="n">
        <v>20876912.195122</v>
      </c>
      <c r="P8" s="167" t="n">
        <v>17464749.2590244</v>
      </c>
      <c r="Q8" s="33" t="n">
        <v>16836219.5121951</v>
      </c>
      <c r="R8" s="32" t="n">
        <v>15267083.8536585</v>
      </c>
      <c r="S8" s="20" t="n">
        <v>15354632.195122</v>
      </c>
      <c r="T8" s="32" t="n">
        <v>15222232.1648781</v>
      </c>
      <c r="U8" s="32" t="n">
        <v>15826046.3414634</v>
      </c>
      <c r="V8" s="20" t="n">
        <v>15522994.3902439</v>
      </c>
      <c r="W8" s="20" t="n">
        <v>15522994.3902439</v>
      </c>
      <c r="X8" s="26" t="n">
        <v>15522994.3902439</v>
      </c>
      <c r="Y8" s="33" t="n">
        <v>15826046.3414634</v>
      </c>
      <c r="Z8" s="32" t="n">
        <v>14977500.8780488</v>
      </c>
      <c r="AA8" s="20" t="n">
        <v>15112190.6341463</v>
      </c>
      <c r="AB8" s="32" t="n">
        <v>13738355.1219512</v>
      </c>
      <c r="AC8" s="167" t="n">
        <v>12795526.8292683</v>
      </c>
      <c r="AD8" s="33" t="n">
        <v>13132251.2195122</v>
      </c>
      <c r="AE8" s="32" t="n">
        <v>13495913.5609756</v>
      </c>
      <c r="AF8" s="20" t="n">
        <v>12707978.4878049</v>
      </c>
      <c r="AG8" s="32" t="n">
        <v>9592671.77414634</v>
      </c>
      <c r="AH8" s="32" t="n">
        <v>13435303.1707317</v>
      </c>
      <c r="AI8" s="26" t="n">
        <v>15151048.6287805</v>
      </c>
      <c r="AJ8" s="33" t="n">
        <v>15489321.9512195</v>
      </c>
      <c r="AK8" s="32" t="n">
        <v>16162770.7317073</v>
      </c>
      <c r="AL8" s="32" t="n">
        <v>15832780.8292683</v>
      </c>
      <c r="AM8" s="32" t="n">
        <v>16059194.3092683</v>
      </c>
      <c r="AN8" s="167" t="n">
        <v>15024642.2926829</v>
      </c>
      <c r="AO8" s="33" t="n">
        <v>15455447.477561</v>
      </c>
      <c r="AP8" s="32" t="n">
        <v>15489321.9512195</v>
      </c>
      <c r="AQ8" s="32" t="n">
        <v>15152597.5609756</v>
      </c>
    </row>
    <row r="9" customFormat="false" ht="12.8" hidden="false" customHeight="false" outlineLevel="0" collapsed="false">
      <c r="A9" s="139" t="s">
        <v>192</v>
      </c>
      <c r="B9" s="20" t="n">
        <v>15774803.1382114</v>
      </c>
      <c r="C9" s="25" t="n">
        <v>15774508.6178862</v>
      </c>
      <c r="D9" s="32" t="n">
        <v>15774508.6178862</v>
      </c>
      <c r="E9" s="20" t="n">
        <v>15774508.6178862</v>
      </c>
      <c r="F9" s="32" t="n">
        <v>15774508.6178862</v>
      </c>
      <c r="G9" s="20" t="n">
        <v>15315645.9512195</v>
      </c>
      <c r="H9" s="32" t="n">
        <v>14873276.4227642</v>
      </c>
      <c r="I9" s="26" t="n">
        <v>15138344.7154472</v>
      </c>
      <c r="J9" s="33" t="n">
        <v>15138344.7154472</v>
      </c>
      <c r="K9" s="25" t="n">
        <v>15142173.4796748</v>
      </c>
      <c r="L9" s="32" t="n">
        <v>15141289.9186992</v>
      </c>
      <c r="M9" s="20" t="n">
        <v>15141289.9186992</v>
      </c>
      <c r="N9" s="20" t="n">
        <v>15141289.9186992</v>
      </c>
      <c r="O9" s="32" t="n">
        <v>15141289.9186992</v>
      </c>
      <c r="P9" s="167" t="n">
        <v>15624303.2520325</v>
      </c>
      <c r="Q9" s="33" t="n">
        <v>15609577.2357724</v>
      </c>
      <c r="R9" s="32" t="n">
        <v>15904097.5609756</v>
      </c>
      <c r="S9" s="20" t="n">
        <v>15904097.5609756</v>
      </c>
      <c r="T9" s="32" t="n">
        <v>16345878.0487805</v>
      </c>
      <c r="U9" s="32" t="n">
        <v>16787658.5365854</v>
      </c>
      <c r="V9" s="20" t="n">
        <v>17523959.3495935</v>
      </c>
      <c r="W9" s="20" t="n">
        <v>17523959.3495935</v>
      </c>
      <c r="X9" s="26" t="n">
        <v>17523959.3495935</v>
      </c>
      <c r="Y9" s="33" t="n">
        <v>17627041.4634146</v>
      </c>
      <c r="Z9" s="32" t="n">
        <v>18283821.7886179</v>
      </c>
      <c r="AA9" s="20" t="n">
        <v>18283821.7886179</v>
      </c>
      <c r="AB9" s="32" t="n">
        <v>19438341.4634146</v>
      </c>
      <c r="AC9" s="167" t="n">
        <v>20027676.6341463</v>
      </c>
      <c r="AD9" s="33" t="n">
        <v>17965739.8373984</v>
      </c>
      <c r="AE9" s="32" t="n">
        <v>17965739.8373984</v>
      </c>
      <c r="AF9" s="20" t="n">
        <v>18260260.1626016</v>
      </c>
      <c r="AG9" s="32" t="n">
        <v>17523959.3495935</v>
      </c>
      <c r="AH9" s="32" t="n">
        <v>15745056.5853659</v>
      </c>
      <c r="AI9" s="26" t="n">
        <v>21794504.0650407</v>
      </c>
      <c r="AJ9" s="33" t="n">
        <v>21794504.0650407</v>
      </c>
      <c r="AK9" s="32" t="n">
        <v>22236284.5528455</v>
      </c>
      <c r="AL9" s="32" t="n">
        <v>22236284.5528455</v>
      </c>
      <c r="AM9" s="32" t="n">
        <v>22707517.0731707</v>
      </c>
      <c r="AN9" s="167" t="n">
        <v>22383544.7154472</v>
      </c>
      <c r="AO9" s="33" t="n">
        <v>19997930.0813008</v>
      </c>
      <c r="AP9" s="32" t="n">
        <v>18504785.6626016</v>
      </c>
      <c r="AQ9" s="32" t="n">
        <v>17995191.8699187</v>
      </c>
    </row>
    <row r="10" customFormat="false" ht="12.8" hidden="false" customHeight="false" outlineLevel="0" collapsed="false">
      <c r="A10" s="139" t="s">
        <v>193</v>
      </c>
      <c r="B10" s="20" t="n">
        <v>13999258.5365854</v>
      </c>
      <c r="C10" s="25" t="n">
        <v>13999258.5365854</v>
      </c>
      <c r="D10" s="32" t="n">
        <v>13999258.5365854</v>
      </c>
      <c r="E10" s="20" t="n">
        <v>13999258.5365854</v>
      </c>
      <c r="F10" s="32" t="n">
        <v>13999258.5365854</v>
      </c>
      <c r="G10" s="20" t="n">
        <v>14430902.3414634</v>
      </c>
      <c r="H10" s="32" t="n">
        <v>14430902.3414634</v>
      </c>
      <c r="I10" s="26" t="n">
        <v>14430902.3414634</v>
      </c>
      <c r="J10" s="33" t="n">
        <v>14430902.3414634</v>
      </c>
      <c r="K10" s="25" t="n">
        <v>14430902.3414634</v>
      </c>
      <c r="L10" s="32" t="n">
        <v>14430902.3414634</v>
      </c>
      <c r="M10" s="20" t="n">
        <v>14430902.3414634</v>
      </c>
      <c r="N10" s="20" t="n">
        <v>14430902.3414634</v>
      </c>
      <c r="O10" s="32" t="n">
        <v>14430902.3414634</v>
      </c>
      <c r="P10" s="167" t="n">
        <v>14419236.2926829</v>
      </c>
      <c r="Q10" s="33" t="n">
        <v>13999258.5365854</v>
      </c>
      <c r="R10" s="32" t="n">
        <v>13999258.5365854</v>
      </c>
      <c r="S10" s="20" t="n">
        <v>13999258.5365854</v>
      </c>
      <c r="T10" s="32" t="n">
        <v>13999258.5365854</v>
      </c>
      <c r="U10" s="32" t="n">
        <v>13194301.1707317</v>
      </c>
      <c r="V10" s="20" t="n">
        <v>13194301.1707317</v>
      </c>
      <c r="W10" s="20" t="n">
        <v>13194301.1707317</v>
      </c>
      <c r="X10" s="26" t="n">
        <v>13194301.1707317</v>
      </c>
      <c r="Y10" s="33" t="n">
        <v>13194301.1707317</v>
      </c>
      <c r="Z10" s="32" t="n">
        <v>14710887.5121951</v>
      </c>
      <c r="AA10" s="20" t="n">
        <v>14710887.5121951</v>
      </c>
      <c r="AB10" s="32" t="n">
        <v>14710887.5121951</v>
      </c>
      <c r="AC10" s="167" t="n">
        <v>14710887.5121951</v>
      </c>
      <c r="AD10" s="33" t="n">
        <v>14710887.5121951</v>
      </c>
      <c r="AE10" s="32" t="n">
        <v>19260646.5365854</v>
      </c>
      <c r="AF10" s="20" t="n">
        <v>19260646.5365854</v>
      </c>
      <c r="AG10" s="32" t="n">
        <v>19260646.5365854</v>
      </c>
      <c r="AH10" s="32" t="n">
        <v>19260646.5365854</v>
      </c>
      <c r="AI10" s="26" t="n">
        <v>19260646.5365854</v>
      </c>
      <c r="AJ10" s="33" t="n">
        <v>18094041.6585366</v>
      </c>
      <c r="AK10" s="32" t="n">
        <v>18094041.6585366</v>
      </c>
      <c r="AL10" s="32" t="n">
        <v>18094041.6585366</v>
      </c>
      <c r="AM10" s="32" t="n">
        <v>17499073.1707317</v>
      </c>
      <c r="AN10" s="167" t="n">
        <v>17499073.1707317</v>
      </c>
      <c r="AO10" s="33" t="n">
        <v>18082375.6097561</v>
      </c>
      <c r="AP10" s="32" t="n">
        <v>18082375.6097561</v>
      </c>
      <c r="AQ10" s="32" t="n">
        <v>18094041.6585366</v>
      </c>
    </row>
    <row r="11" customFormat="false" ht="12.8" hidden="false" customHeight="false" outlineLevel="0" collapsed="false">
      <c r="A11" s="139" t="s">
        <v>194</v>
      </c>
      <c r="B11" s="20" t="n">
        <v>13165641.3658537</v>
      </c>
      <c r="C11" s="25" t="n">
        <v>13165641.3658537</v>
      </c>
      <c r="D11" s="32" t="n">
        <v>13165641.3658537</v>
      </c>
      <c r="E11" s="20" t="n">
        <v>13165641.3658537</v>
      </c>
      <c r="F11" s="32" t="n">
        <v>13165641.3658537</v>
      </c>
      <c r="G11" s="20" t="n">
        <v>13165641.3658537</v>
      </c>
      <c r="H11" s="32" t="n">
        <v>13165641.3658537</v>
      </c>
      <c r="I11" s="26" t="n">
        <v>12413437.7398374</v>
      </c>
      <c r="J11" s="33" t="n">
        <v>12413437.7398374</v>
      </c>
      <c r="K11" s="25" t="n">
        <v>12051881.300813</v>
      </c>
      <c r="L11" s="32" t="n">
        <v>12051881.300813</v>
      </c>
      <c r="M11" s="20" t="n">
        <v>12051881.300813</v>
      </c>
      <c r="N11" s="20" t="n">
        <v>12051881.300813</v>
      </c>
      <c r="O11" s="32" t="n">
        <v>12051881.300813</v>
      </c>
      <c r="P11" s="167" t="n">
        <v>12051881.300813</v>
      </c>
      <c r="Q11" s="33" t="n">
        <v>12051881.300813</v>
      </c>
      <c r="R11" s="32" t="n">
        <v>12051881.300813</v>
      </c>
      <c r="S11" s="20" t="n">
        <v>12051881.300813</v>
      </c>
      <c r="T11" s="32" t="n">
        <v>12051881.300813</v>
      </c>
      <c r="U11" s="32" t="n">
        <v>12051881.300813</v>
      </c>
      <c r="V11" s="20" t="n">
        <v>12051881.300813</v>
      </c>
      <c r="W11" s="20" t="n">
        <v>12051881.300813</v>
      </c>
      <c r="X11" s="26" t="n">
        <v>12051881.300813</v>
      </c>
      <c r="Y11" s="33" t="n">
        <v>12051881.300813</v>
      </c>
      <c r="Z11" s="32" t="n">
        <v>12051881.300813</v>
      </c>
      <c r="AA11" s="20" t="n">
        <v>12051881.300813</v>
      </c>
      <c r="AB11" s="32" t="n">
        <v>13718365.5772358</v>
      </c>
      <c r="AC11" s="167" t="n">
        <v>13718365.5772358</v>
      </c>
      <c r="AD11" s="33" t="n">
        <v>13718365.5772358</v>
      </c>
      <c r="AE11" s="32" t="n">
        <v>12509021.6260163</v>
      </c>
      <c r="AF11" s="20" t="n">
        <v>12509021.6260163</v>
      </c>
      <c r="AG11" s="32" t="n">
        <v>12509021.6260163</v>
      </c>
      <c r="AH11" s="32" t="n">
        <v>12509021.6260163</v>
      </c>
      <c r="AI11" s="26" t="n">
        <v>12509021.6260163</v>
      </c>
      <c r="AJ11" s="33" t="n">
        <v>12509021.6260163</v>
      </c>
      <c r="AK11" s="32" t="n">
        <v>12509021.6260163</v>
      </c>
      <c r="AL11" s="32" t="n">
        <v>12509021.6260163</v>
      </c>
      <c r="AM11" s="32" t="n">
        <v>12509021.6260163</v>
      </c>
      <c r="AN11" s="167" t="n">
        <v>12509021.6260163</v>
      </c>
      <c r="AO11" s="33" t="n">
        <v>13614470.0487805</v>
      </c>
      <c r="AP11" s="32" t="n">
        <v>13614470.0487805</v>
      </c>
      <c r="AQ11" s="32" t="n">
        <v>13614470.0487805</v>
      </c>
    </row>
    <row r="12" customFormat="false" ht="12.8" hidden="false" customHeight="false" outlineLevel="0" collapsed="false">
      <c r="A12" s="139" t="s">
        <v>195</v>
      </c>
      <c r="B12" s="20" t="n">
        <v>12619504.3902439</v>
      </c>
      <c r="C12" s="25" t="n">
        <v>12488519.0243902</v>
      </c>
      <c r="D12" s="32" t="n">
        <v>12488519.0243902</v>
      </c>
      <c r="E12" s="20" t="n">
        <v>12474796.7479675</v>
      </c>
      <c r="F12" s="32" t="n">
        <v>13721028.9430894</v>
      </c>
      <c r="G12" s="20" t="n">
        <v>12487271.5447154</v>
      </c>
      <c r="H12" s="32" t="n">
        <v>12474796.7479675</v>
      </c>
      <c r="I12" s="26" t="n">
        <v>12477291.7073171</v>
      </c>
      <c r="J12" s="33" t="n">
        <v>13348032.5203252</v>
      </c>
      <c r="K12" s="25" t="n">
        <v>13535154.4715447</v>
      </c>
      <c r="L12" s="32" t="n">
        <v>13535154.4715447</v>
      </c>
      <c r="M12" s="20" t="n">
        <v>13535154.4715447</v>
      </c>
      <c r="N12" s="20" t="n">
        <v>13535154.4715447</v>
      </c>
      <c r="O12" s="32" t="n">
        <v>13722276.4227642</v>
      </c>
      <c r="P12" s="167" t="n">
        <v>13722276.4227642</v>
      </c>
      <c r="Q12" s="33" t="n">
        <v>15219252.0325203</v>
      </c>
      <c r="R12" s="32" t="n">
        <v>15219252.0325203</v>
      </c>
      <c r="S12" s="20" t="n">
        <v>15219252.0325203</v>
      </c>
      <c r="T12" s="32" t="n">
        <v>15219252.0325203</v>
      </c>
      <c r="U12" s="32" t="n">
        <v>15156878.0487805</v>
      </c>
      <c r="V12" s="20" t="n">
        <v>15156878.0487805</v>
      </c>
      <c r="W12" s="20" t="n">
        <v>15156878.0487805</v>
      </c>
      <c r="X12" s="26" t="n">
        <v>15156878.0487805</v>
      </c>
      <c r="Y12" s="33" t="n">
        <v>15156878.0487805</v>
      </c>
      <c r="Z12" s="32" t="n">
        <v>16843470.5691057</v>
      </c>
      <c r="AA12" s="20" t="n">
        <v>16843470.5691057</v>
      </c>
      <c r="AB12" s="32" t="n">
        <v>16840975.6097561</v>
      </c>
      <c r="AC12" s="167" t="n">
        <v>16385645.5284553</v>
      </c>
      <c r="AD12" s="33" t="n">
        <v>16385645.5284553</v>
      </c>
      <c r="AE12" s="32" t="n">
        <v>17564513.8211382</v>
      </c>
      <c r="AF12" s="20" t="n">
        <v>17564513.8211382</v>
      </c>
      <c r="AG12" s="32" t="n">
        <v>17564513.8211382</v>
      </c>
      <c r="AH12" s="32" t="n">
        <v>17564513.8211382</v>
      </c>
      <c r="AI12" s="26" t="n">
        <v>17567008.7804878</v>
      </c>
      <c r="AJ12" s="33" t="n">
        <v>16299569.4308943</v>
      </c>
      <c r="AK12" s="32" t="n">
        <v>14894907.3170732</v>
      </c>
      <c r="AL12" s="32" t="n">
        <v>13819579.8373984</v>
      </c>
      <c r="AM12" s="32" t="n">
        <v>13410406.504065</v>
      </c>
      <c r="AN12" s="167" t="n">
        <v>13444088.4552846</v>
      </c>
      <c r="AO12" s="33" t="n">
        <v>11764980.8130081</v>
      </c>
      <c r="AP12" s="32" t="n">
        <v>11463090.7317073</v>
      </c>
      <c r="AQ12" s="32" t="n">
        <v>10936654.3089431</v>
      </c>
    </row>
    <row r="13" customFormat="false" ht="12.8" hidden="false" customHeight="false" outlineLevel="0" collapsed="false">
      <c r="A13" s="139" t="s">
        <v>196</v>
      </c>
      <c r="B13" s="20" t="n">
        <v>11876546.3414634</v>
      </c>
      <c r="C13" s="25" t="n">
        <v>11929330.9918699</v>
      </c>
      <c r="D13" s="32" t="n">
        <v>11929330.9918699</v>
      </c>
      <c r="E13" s="20" t="n">
        <v>11929330.9918699</v>
      </c>
      <c r="F13" s="32" t="n">
        <v>11929330.9918699</v>
      </c>
      <c r="G13" s="20" t="n">
        <v>11929330.9918699</v>
      </c>
      <c r="H13" s="32" t="n">
        <v>11889742.504065</v>
      </c>
      <c r="I13" s="26" t="n">
        <v>11876546.3414634</v>
      </c>
      <c r="J13" s="33" t="n">
        <v>11876546.3414634</v>
      </c>
      <c r="K13" s="25" t="n">
        <v>11876546.3414634</v>
      </c>
      <c r="L13" s="32" t="n">
        <v>11876546.3414634</v>
      </c>
      <c r="M13" s="20" t="n">
        <v>11876546.3414634</v>
      </c>
      <c r="N13" s="20" t="n">
        <v>11876546.3414634</v>
      </c>
      <c r="O13" s="32" t="n">
        <v>11876546.3414634</v>
      </c>
      <c r="P13" s="167" t="n">
        <v>11912835.7886179</v>
      </c>
      <c r="Q13" s="33" t="n">
        <v>11289317.1056911</v>
      </c>
      <c r="R13" s="32" t="n">
        <v>11546642.2764228</v>
      </c>
      <c r="S13" s="20" t="n">
        <v>11546642.2764228</v>
      </c>
      <c r="T13" s="32" t="n">
        <v>11876546.3414634</v>
      </c>
      <c r="U13" s="32" t="n">
        <v>11873247.300813</v>
      </c>
      <c r="V13" s="20" t="n">
        <v>11873247.300813</v>
      </c>
      <c r="W13" s="20" t="n">
        <v>11873247.300813</v>
      </c>
      <c r="X13" s="26" t="n">
        <v>11873247.300813</v>
      </c>
      <c r="Y13" s="33" t="n">
        <v>11873247.300813</v>
      </c>
      <c r="Z13" s="32" t="n">
        <v>11879845.3821138</v>
      </c>
      <c r="AA13" s="20" t="n">
        <v>11879845.3821138</v>
      </c>
      <c r="AB13" s="32" t="n">
        <v>12074488.7804878</v>
      </c>
      <c r="AC13" s="167" t="n">
        <v>13341320.3902439</v>
      </c>
      <c r="AD13" s="33" t="n">
        <v>9897913.72097561</v>
      </c>
      <c r="AE13" s="32" t="n">
        <v>8740742.22243902</v>
      </c>
      <c r="AF13" s="20" t="n">
        <v>8247601.62601626</v>
      </c>
      <c r="AG13" s="32" t="n">
        <v>8247601.62601626</v>
      </c>
      <c r="AH13" s="32" t="n">
        <v>9567217.88617886</v>
      </c>
      <c r="AI13" s="26" t="n">
        <v>9567217.88617886</v>
      </c>
      <c r="AJ13" s="33" t="n">
        <v>4849589.75609756</v>
      </c>
      <c r="AK13" s="32" t="n">
        <v>5426921.8699187</v>
      </c>
      <c r="AL13" s="32" t="n">
        <v>6106524.24390244</v>
      </c>
      <c r="AM13" s="32" t="n">
        <v>7752745.52845528</v>
      </c>
      <c r="AN13" s="167" t="n">
        <v>7752745.52845528</v>
      </c>
      <c r="AO13" s="33" t="n">
        <v>7752745.52845528</v>
      </c>
      <c r="AP13" s="32" t="n">
        <v>9412162.97560976</v>
      </c>
      <c r="AQ13" s="32" t="n">
        <v>9412162.97560976</v>
      </c>
    </row>
    <row r="14" customFormat="false" ht="12.8" hidden="false" customHeight="false" outlineLevel="0" collapsed="false">
      <c r="A14" s="139" t="s">
        <v>197</v>
      </c>
      <c r="B14" s="20" t="n">
        <v>10341697.5609756</v>
      </c>
      <c r="C14" s="25" t="n">
        <v>9424390.24390244</v>
      </c>
      <c r="D14" s="32" t="n">
        <v>9424390.24390244</v>
      </c>
      <c r="E14" s="20" t="n">
        <v>9424390.24390244</v>
      </c>
      <c r="F14" s="32" t="n">
        <v>10052682.9268293</v>
      </c>
      <c r="G14" s="20" t="n">
        <v>7539512.19512195</v>
      </c>
      <c r="H14" s="32" t="n">
        <v>7539512.19512195</v>
      </c>
      <c r="I14" s="26" t="n">
        <v>7539512.19512195</v>
      </c>
      <c r="J14" s="33" t="n">
        <v>6282926.82926829</v>
      </c>
      <c r="K14" s="25" t="n">
        <v>6282926.82926829</v>
      </c>
      <c r="L14" s="32" t="n">
        <v>5434731.70731707</v>
      </c>
      <c r="M14" s="20" t="n">
        <v>5434731.70731707</v>
      </c>
      <c r="N14" s="20" t="n">
        <v>5434731.70731707</v>
      </c>
      <c r="O14" s="32" t="n">
        <v>4536273.17073171</v>
      </c>
      <c r="P14" s="167" t="n">
        <v>4536273.17073171</v>
      </c>
      <c r="Q14" s="33" t="n">
        <v>5277658.53658537</v>
      </c>
      <c r="R14" s="32" t="n">
        <v>5120585.36585366</v>
      </c>
      <c r="S14" s="20" t="n">
        <v>5120585.36585366</v>
      </c>
      <c r="T14" s="32" t="n">
        <v>5057756.09756098</v>
      </c>
      <c r="U14" s="32" t="n">
        <v>4775024.3902439</v>
      </c>
      <c r="V14" s="20" t="n">
        <v>4712195.12195122</v>
      </c>
      <c r="W14" s="20" t="n">
        <v>4712195.12195122</v>
      </c>
      <c r="X14" s="26" t="n">
        <v>4599102.43902439</v>
      </c>
      <c r="Y14" s="33" t="n">
        <v>4398048.78048781</v>
      </c>
      <c r="Z14" s="32" t="n">
        <v>4398048.78048781</v>
      </c>
      <c r="AA14" s="20" t="n">
        <v>4096468.29268293</v>
      </c>
      <c r="AB14" s="32" t="n">
        <v>4153014.63414634</v>
      </c>
      <c r="AC14" s="167" t="n">
        <v>4712195.12195122</v>
      </c>
      <c r="AD14" s="33" t="n">
        <v>4266107.31707317</v>
      </c>
      <c r="AE14" s="32" t="n">
        <v>3882848.7804878</v>
      </c>
      <c r="AF14" s="20" t="n">
        <v>3882848.7804878</v>
      </c>
      <c r="AG14" s="32" t="n">
        <v>3882848.7804878</v>
      </c>
      <c r="AH14" s="32" t="n">
        <v>4146731.70731707</v>
      </c>
      <c r="AI14" s="26" t="n">
        <v>4146731.70731707</v>
      </c>
      <c r="AJ14" s="33" t="n">
        <v>4146731.70731707</v>
      </c>
      <c r="AK14" s="32" t="n">
        <v>4146731.70731707</v>
      </c>
      <c r="AL14" s="32" t="n">
        <v>4266107.31707317</v>
      </c>
      <c r="AM14" s="32" t="n">
        <v>4266107.31707317</v>
      </c>
      <c r="AN14" s="167" t="n">
        <v>4341502.43902439</v>
      </c>
      <c r="AO14" s="33" t="n">
        <v>4146731.70731707</v>
      </c>
      <c r="AP14" s="32" t="n">
        <v>3518439.02439024</v>
      </c>
      <c r="AQ14" s="32" t="n">
        <v>3606400</v>
      </c>
    </row>
    <row r="15" customFormat="false" ht="12.8" hidden="false" customHeight="false" outlineLevel="0" collapsed="false">
      <c r="A15" s="139" t="s">
        <v>198</v>
      </c>
      <c r="B15" s="20" t="n">
        <v>6706666.66666667</v>
      </c>
      <c r="C15" s="25" t="n">
        <v>6706666.66666667</v>
      </c>
      <c r="D15" s="32" t="n">
        <v>6706666.66666667</v>
      </c>
      <c r="E15" s="20" t="n">
        <v>6706666.66666667</v>
      </c>
      <c r="F15" s="32" t="n">
        <v>6706666.66666667</v>
      </c>
      <c r="G15" s="20" t="n">
        <v>6706666.66666667</v>
      </c>
      <c r="H15" s="32" t="n">
        <v>6706666.66666667</v>
      </c>
      <c r="I15" s="26" t="n">
        <v>6706666.66666667</v>
      </c>
      <c r="J15" s="33" t="n">
        <v>4694666.66666667</v>
      </c>
      <c r="K15" s="25" t="n">
        <v>6706666.66666667</v>
      </c>
      <c r="L15" s="32" t="n">
        <v>6706666.66666667</v>
      </c>
      <c r="M15" s="20" t="n">
        <v>6706666.66666667</v>
      </c>
      <c r="N15" s="20" t="n">
        <v>6706666.66666667</v>
      </c>
      <c r="O15" s="32" t="n">
        <v>6706666.66666667</v>
      </c>
      <c r="P15" s="167" t="n">
        <v>7042000</v>
      </c>
      <c r="Q15" s="33" t="n">
        <v>7042000</v>
      </c>
      <c r="R15" s="32" t="n">
        <v>7042000</v>
      </c>
      <c r="S15" s="20" t="n">
        <v>7042000</v>
      </c>
      <c r="T15" s="32" t="n">
        <v>7209666.66666667</v>
      </c>
      <c r="U15" s="32" t="n">
        <v>7209666.66666667</v>
      </c>
      <c r="V15" s="20" t="n">
        <v>7209666.66666667</v>
      </c>
      <c r="W15" s="20" t="n">
        <v>7209666.66666667</v>
      </c>
      <c r="X15" s="26" t="n">
        <v>7209666.66666667</v>
      </c>
      <c r="Y15" s="33" t="n">
        <v>6706666.66666667</v>
      </c>
      <c r="Z15" s="32" t="n">
        <v>6706666.66666667</v>
      </c>
      <c r="AA15" s="20" t="n">
        <v>6710020</v>
      </c>
      <c r="AB15" s="32" t="n">
        <v>6710020</v>
      </c>
      <c r="AC15" s="167" t="n">
        <v>6710020</v>
      </c>
      <c r="AD15" s="33" t="n">
        <v>6371333.33333333</v>
      </c>
      <c r="AE15" s="32" t="n">
        <v>6039353.33333333</v>
      </c>
      <c r="AF15" s="20" t="n">
        <v>6039353.33333333</v>
      </c>
      <c r="AG15" s="32" t="n">
        <v>6039353.33333333</v>
      </c>
      <c r="AH15" s="32" t="n">
        <v>6039353.33333333</v>
      </c>
      <c r="AI15" s="26" t="n">
        <v>6039353.33333333</v>
      </c>
      <c r="AJ15" s="33" t="n">
        <v>6039353.33333333</v>
      </c>
      <c r="AK15" s="32" t="n">
        <v>6039353.33333333</v>
      </c>
      <c r="AL15" s="32" t="n">
        <v>6039353.33333333</v>
      </c>
      <c r="AM15" s="32" t="n">
        <v>6039353.33333333</v>
      </c>
      <c r="AN15" s="167" t="n">
        <v>6039353.33333333</v>
      </c>
      <c r="AO15" s="33" t="n">
        <v>6039353.33333333</v>
      </c>
      <c r="AP15" s="32" t="n">
        <v>5700666.66666667</v>
      </c>
      <c r="AQ15" s="32" t="n">
        <v>5700666.66666667</v>
      </c>
    </row>
    <row r="16" customFormat="false" ht="12.8" hidden="false" customHeight="false" outlineLevel="0" collapsed="false">
      <c r="A16" s="139" t="s">
        <v>28</v>
      </c>
      <c r="B16" s="20" t="n">
        <v>5301219.51219512</v>
      </c>
      <c r="C16" s="25" t="n">
        <v>5301219.51219512</v>
      </c>
      <c r="D16" s="32" t="n">
        <v>5301219.51219512</v>
      </c>
      <c r="E16" s="20" t="n">
        <v>5301219.51219512</v>
      </c>
      <c r="F16" s="32" t="n">
        <v>5301219.51219512</v>
      </c>
      <c r="G16" s="20" t="n">
        <v>5301219.51219512</v>
      </c>
      <c r="H16" s="32" t="n">
        <v>5200243.90243902</v>
      </c>
      <c r="I16" s="26" t="n">
        <v>5048780.48780488</v>
      </c>
      <c r="J16" s="33" t="n">
        <v>5048780.48780488</v>
      </c>
      <c r="K16" s="25" t="n">
        <v>5048780.48780488</v>
      </c>
      <c r="L16" s="32" t="n">
        <v>5048780.48780488</v>
      </c>
      <c r="M16" s="20" t="n">
        <v>5048780.48780488</v>
      </c>
      <c r="N16" s="20" t="n">
        <v>3281707.31707317</v>
      </c>
      <c r="O16" s="32" t="n">
        <v>3281707.31707317</v>
      </c>
      <c r="P16" s="167" t="n">
        <v>5183414.63414634</v>
      </c>
      <c r="Q16" s="33" t="n">
        <v>5183414.63414634</v>
      </c>
      <c r="R16" s="32" t="n">
        <v>5183414.63414634</v>
      </c>
      <c r="S16" s="20" t="n">
        <v>5183414.63414634</v>
      </c>
      <c r="T16" s="32" t="n">
        <v>5183414.63414634</v>
      </c>
      <c r="U16" s="32" t="n">
        <v>5183414.63414634</v>
      </c>
      <c r="V16" s="20" t="n">
        <v>5183414.63414634</v>
      </c>
      <c r="W16" s="20" t="n">
        <v>5183414.63414634</v>
      </c>
      <c r="X16" s="26" t="n">
        <v>5183414.63414634</v>
      </c>
      <c r="Y16" s="33" t="n">
        <v>5183414.63414634</v>
      </c>
      <c r="Z16" s="32" t="n">
        <v>4207317.07317073</v>
      </c>
      <c r="AA16" s="20" t="n">
        <v>4207317.07317073</v>
      </c>
      <c r="AB16" s="32" t="n">
        <v>4207317.07317073</v>
      </c>
      <c r="AC16" s="167" t="n">
        <v>4207317.07317073</v>
      </c>
      <c r="AD16" s="33" t="n">
        <v>4207317.07317073</v>
      </c>
      <c r="AE16" s="32" t="n">
        <v>4897317.07317073</v>
      </c>
      <c r="AF16" s="20" t="n">
        <v>5048780.48780488</v>
      </c>
      <c r="AG16" s="32" t="n">
        <v>5385365.85365854</v>
      </c>
      <c r="AH16" s="32" t="n">
        <v>5402195.12195122</v>
      </c>
      <c r="AI16" s="26" t="n">
        <v>5402195.12195122</v>
      </c>
      <c r="AJ16" s="33" t="n">
        <v>4796341.46341464</v>
      </c>
      <c r="AK16" s="32" t="n">
        <v>4964634.14634146</v>
      </c>
      <c r="AL16" s="32" t="n">
        <v>4981463.41463415</v>
      </c>
      <c r="AM16" s="32" t="n">
        <v>6344634.14634146</v>
      </c>
      <c r="AN16" s="167" t="n">
        <v>6546585.36585366</v>
      </c>
      <c r="AO16" s="33" t="n">
        <v>6058536.58536585</v>
      </c>
      <c r="AP16" s="32" t="n">
        <v>5890243.90243902</v>
      </c>
      <c r="AQ16" s="32" t="n">
        <v>5132926.82926829</v>
      </c>
    </row>
    <row r="17" customFormat="false" ht="12.8" hidden="false" customHeight="false" outlineLevel="0" collapsed="false">
      <c r="A17" s="139" t="s">
        <v>199</v>
      </c>
      <c r="B17" s="20" t="n">
        <v>2972360.24390244</v>
      </c>
      <c r="C17" s="25" t="n">
        <v>2972360.24390244</v>
      </c>
      <c r="D17" s="32" t="n">
        <v>2972360.24390244</v>
      </c>
      <c r="E17" s="20" t="n">
        <v>2567646.34146341</v>
      </c>
      <c r="F17" s="32" t="n">
        <v>2567646.34146341</v>
      </c>
      <c r="G17" s="20" t="n">
        <v>2567646.34146341</v>
      </c>
      <c r="H17" s="32" t="n">
        <v>2567646.34146341</v>
      </c>
      <c r="I17" s="26" t="n">
        <v>2567646.34146341</v>
      </c>
      <c r="J17" s="33" t="n">
        <v>2567646.34146341</v>
      </c>
      <c r="K17" s="25" t="n">
        <v>2567646.34146341</v>
      </c>
      <c r="L17" s="32" t="n">
        <v>2567646.34146341</v>
      </c>
      <c r="M17" s="20" t="n">
        <v>2567646.34146341</v>
      </c>
      <c r="N17" s="20" t="n">
        <v>2567646.34146341</v>
      </c>
      <c r="O17" s="32" t="n">
        <v>2567646.34146341</v>
      </c>
      <c r="P17" s="167" t="n">
        <v>2567646.34146341</v>
      </c>
      <c r="Q17" s="33" t="n">
        <v>2567646.34146341</v>
      </c>
      <c r="R17" s="32" t="n">
        <v>2567646.34146341</v>
      </c>
      <c r="S17" s="20" t="n">
        <v>2567646.34146341</v>
      </c>
      <c r="T17" s="32" t="n">
        <v>2567646.34146341</v>
      </c>
      <c r="U17" s="32" t="n">
        <v>2567646.34146341</v>
      </c>
      <c r="V17" s="20" t="n">
        <v>2567646.34146341</v>
      </c>
      <c r="W17" s="20" t="n">
        <v>2567646.34146341</v>
      </c>
      <c r="X17" s="26" t="n">
        <v>2567646.34146341</v>
      </c>
      <c r="Y17" s="33" t="n">
        <v>2567646.34146341</v>
      </c>
      <c r="Z17" s="32" t="n">
        <v>2031000</v>
      </c>
      <c r="AA17" s="20" t="n">
        <v>2031000</v>
      </c>
      <c r="AB17" s="32" t="n">
        <v>2031000</v>
      </c>
      <c r="AC17" s="167" t="n">
        <v>2031000</v>
      </c>
      <c r="AD17" s="33" t="n">
        <v>2031000</v>
      </c>
      <c r="AE17" s="32" t="n">
        <v>1667731.70731707</v>
      </c>
      <c r="AF17" s="20" t="n">
        <v>1667731.70731707</v>
      </c>
      <c r="AG17" s="32" t="n">
        <v>1667731.70731707</v>
      </c>
      <c r="AH17" s="32" t="n">
        <v>1667731.70731707</v>
      </c>
      <c r="AI17" s="26" t="n">
        <v>1667731.70731707</v>
      </c>
      <c r="AJ17" s="33" t="n">
        <v>1667731.70731707</v>
      </c>
      <c r="AK17" s="32" t="n">
        <v>1667731.70731707</v>
      </c>
      <c r="AL17" s="32" t="n">
        <v>1667731.70731707</v>
      </c>
      <c r="AM17" s="32" t="n">
        <v>1667731.70731707</v>
      </c>
      <c r="AN17" s="167" t="n">
        <v>1667731.70731707</v>
      </c>
      <c r="AO17" s="33" t="n">
        <v>1667731.70731707</v>
      </c>
      <c r="AP17" s="32" t="n">
        <v>1667731.70731707</v>
      </c>
      <c r="AQ17" s="32" t="n">
        <v>1667731.70731707</v>
      </c>
    </row>
    <row r="18" customFormat="false" ht="12.8" hidden="false" customHeight="false" outlineLevel="0" collapsed="false">
      <c r="A18" s="139" t="s">
        <v>200</v>
      </c>
      <c r="B18" s="20" t="n">
        <v>2961397.46341463</v>
      </c>
      <c r="C18" s="25" t="n">
        <v>2961397.46341463</v>
      </c>
      <c r="D18" s="32" t="n">
        <v>2961397.46341463</v>
      </c>
      <c r="E18" s="20" t="n">
        <v>2961397.46341463</v>
      </c>
      <c r="F18" s="32" t="n">
        <v>2961397.46341463</v>
      </c>
      <c r="G18" s="20" t="n">
        <v>2961397.46341463</v>
      </c>
      <c r="H18" s="32" t="n">
        <v>2961397.46341463</v>
      </c>
      <c r="I18" s="26" t="n">
        <v>2807558.63414634</v>
      </c>
      <c r="J18" s="33" t="n">
        <v>2820378.53658537</v>
      </c>
      <c r="K18" s="25" t="n">
        <v>2640899.90243902</v>
      </c>
      <c r="L18" s="32" t="n">
        <v>2640899.90243902</v>
      </c>
      <c r="M18" s="20" t="n">
        <v>2640899.90243902</v>
      </c>
      <c r="N18" s="20" t="n">
        <v>2640899.90243902</v>
      </c>
      <c r="O18" s="32" t="n">
        <v>2448601.36585366</v>
      </c>
      <c r="P18" s="167" t="n">
        <v>2499880.97560976</v>
      </c>
      <c r="Q18" s="33" t="n">
        <v>2563980.48780488</v>
      </c>
      <c r="R18" s="32" t="n">
        <v>2563980.48780488</v>
      </c>
      <c r="S18" s="20" t="n">
        <v>2615260.09756098</v>
      </c>
      <c r="T18" s="32" t="n">
        <v>2435781.46341463</v>
      </c>
      <c r="U18" s="32" t="n">
        <v>2371681.95121951</v>
      </c>
      <c r="V18" s="20" t="n">
        <v>2371681.95121951</v>
      </c>
      <c r="W18" s="20" t="n">
        <v>2371681.95121951</v>
      </c>
      <c r="X18" s="26" t="n">
        <v>2679359.6097561</v>
      </c>
      <c r="Y18" s="33" t="n">
        <v>2089644.09756098</v>
      </c>
      <c r="Z18" s="32" t="n">
        <v>2448601.36585366</v>
      </c>
      <c r="AA18" s="20" t="n">
        <v>3204975.6097561</v>
      </c>
      <c r="AB18" s="32" t="n">
        <v>3204975.6097561</v>
      </c>
      <c r="AC18" s="167" t="n">
        <v>3204975.6097561</v>
      </c>
      <c r="AD18" s="33" t="n">
        <v>2448601.36585366</v>
      </c>
      <c r="AE18" s="32" t="n">
        <v>2448601.36585366</v>
      </c>
      <c r="AF18" s="20" t="n">
        <v>2448601.36585366</v>
      </c>
      <c r="AG18" s="32" t="n">
        <v>2563980.48780488</v>
      </c>
      <c r="AH18" s="32" t="n">
        <v>2563980.48780488</v>
      </c>
      <c r="AI18" s="26" t="n">
        <v>2563980.48780488</v>
      </c>
      <c r="AJ18" s="33" t="n">
        <v>3012677.07317073</v>
      </c>
      <c r="AK18" s="32" t="n">
        <v>2563980.48780488</v>
      </c>
      <c r="AL18" s="32" t="n">
        <v>2563980.48780488</v>
      </c>
      <c r="AM18" s="32" t="n">
        <v>2628080</v>
      </c>
      <c r="AN18" s="167" t="n">
        <v>2704999.41463415</v>
      </c>
      <c r="AO18" s="33" t="n">
        <v>2064004.29268293</v>
      </c>
      <c r="AP18" s="32" t="n">
        <v>3051136.7804878</v>
      </c>
      <c r="AQ18" s="32" t="n">
        <v>2948577.56097561</v>
      </c>
    </row>
    <row r="20" customFormat="false" ht="12.8" hidden="false" customHeight="false" outlineLevel="0" collapsed="false">
      <c r="A20" s="23" t="s">
        <v>201</v>
      </c>
      <c r="B20" s="29" t="n">
        <f aca="false">SUM(B2:B18)</f>
        <v>676565824.181138</v>
      </c>
      <c r="C20" s="25" t="n">
        <f aca="false">SUM(C2:C18)</f>
        <v>682657709.684066</v>
      </c>
      <c r="D20" s="168" t="n">
        <f aca="false">SUM(D2:D18)</f>
        <v>682657709.684066</v>
      </c>
      <c r="E20" s="25" t="n">
        <f aca="false">SUM(E2:E18)</f>
        <v>675917894.310407</v>
      </c>
      <c r="F20" s="168" t="n">
        <f aca="false">SUM(F2:F18)</f>
        <v>658633639.528456</v>
      </c>
      <c r="G20" s="25" t="n">
        <f aca="false">SUM(G2:G18)</f>
        <v>597274601.642277</v>
      </c>
      <c r="H20" s="168" t="n">
        <f aca="false">SUM(H2:H18)</f>
        <v>593439187.372358</v>
      </c>
      <c r="I20" s="26" t="n">
        <f aca="false">SUM(I2:I18)</f>
        <v>581366235.79187</v>
      </c>
      <c r="J20" s="33" t="n">
        <f aca="false">SUM(J2:J18)</f>
        <v>571729488.341464</v>
      </c>
      <c r="K20" s="25" t="n">
        <f aca="false">SUM(K2:K18)</f>
        <v>567720703.310732</v>
      </c>
      <c r="L20" s="168" t="n">
        <f aca="false">SUM(L2:L18)</f>
        <v>569429751.674797</v>
      </c>
      <c r="M20" s="25" t="n">
        <f aca="false">SUM(M2:M18)</f>
        <v>569808755.811382</v>
      </c>
      <c r="N20" s="25" t="n">
        <f aca="false">SUM(N2:N18)</f>
        <v>557989821.726829</v>
      </c>
      <c r="O20" s="168" t="n">
        <f aca="false">SUM(O2:O18)</f>
        <v>529899814.256911</v>
      </c>
      <c r="P20" s="167" t="n">
        <f aca="false">SUM(P2:P18)</f>
        <v>539127491.128943</v>
      </c>
      <c r="Q20" s="33" t="n">
        <f aca="false">SUM(Q2:Q18)</f>
        <v>534907073.626017</v>
      </c>
      <c r="R20" s="168" t="n">
        <f aca="false">SUM(R2:R18)</f>
        <v>523848148.113821</v>
      </c>
      <c r="S20" s="25" t="n">
        <f aca="false">SUM(S2:S18)</f>
        <v>526737510.442439</v>
      </c>
      <c r="T20" s="168" t="n">
        <f aca="false">SUM(T2:T18)</f>
        <v>581370317.365528</v>
      </c>
      <c r="U20" s="168" t="n">
        <f aca="false">SUM(U2:U18)</f>
        <v>639663853.349594</v>
      </c>
      <c r="V20" s="25" t="n">
        <f aca="false">SUM(V2:V18)</f>
        <v>633188214.373983</v>
      </c>
      <c r="W20" s="25" t="n">
        <f aca="false">SUM(W2:W18)</f>
        <v>631262265.78374</v>
      </c>
      <c r="X20" s="26" t="n">
        <f aca="false">SUM(X2:X18)</f>
        <v>632193942.195122</v>
      </c>
      <c r="Y20" s="33" t="n">
        <f aca="false">SUM(Y2:Y18)</f>
        <v>592616304.682927</v>
      </c>
      <c r="Z20" s="168" t="n">
        <f aca="false">SUM(Z2:Z18)</f>
        <v>594485809.680163</v>
      </c>
      <c r="AA20" s="25" t="n">
        <f aca="false">SUM(AA2:AA18)</f>
        <v>581372343.131708</v>
      </c>
      <c r="AB20" s="168" t="n">
        <f aca="false">SUM(AB2:AB18)</f>
        <v>536368041.918699</v>
      </c>
      <c r="AC20" s="167" t="n">
        <f aca="false">SUM(AC2:AC18)</f>
        <v>525711783.382114</v>
      </c>
      <c r="AD20" s="33" t="n">
        <f aca="false">SUM(AD2:AD18)</f>
        <v>490635029.84878</v>
      </c>
      <c r="AE20" s="168" t="n">
        <f aca="false">SUM(AE2:AE18)</f>
        <v>482588129.630569</v>
      </c>
      <c r="AF20" s="25" t="n">
        <f aca="false">SUM(AF2:AF18)</f>
        <v>474825865.857724</v>
      </c>
      <c r="AG20" s="168" t="n">
        <f aca="false">SUM(AG2:AG18)</f>
        <v>468381165.318862</v>
      </c>
      <c r="AH20" s="168" t="n">
        <f aca="false">SUM(AH2:AH18)</f>
        <v>460562358.845529</v>
      </c>
      <c r="AI20" s="26" t="n">
        <f aca="false">SUM(AI2:AI18)</f>
        <v>505212625.962114</v>
      </c>
      <c r="AJ20" s="33" t="n">
        <f aca="false">SUM(AJ2:AJ18)</f>
        <v>511043833.588131</v>
      </c>
      <c r="AK20" s="168" t="n">
        <f aca="false">SUM(AK2:AK18)</f>
        <v>494052583.099187</v>
      </c>
      <c r="AL20" s="168" t="n">
        <f aca="false">SUM(AL2:AL18)</f>
        <v>486134706.578374</v>
      </c>
      <c r="AM20" s="168" t="n">
        <f aca="false">SUM(AM2:AM18)</f>
        <v>489310749.837724</v>
      </c>
      <c r="AN20" s="167" t="n">
        <f aca="false">SUM(AN2:AN18)</f>
        <v>494688561.05691</v>
      </c>
      <c r="AO20" s="33" t="n">
        <f aca="false">SUM(AO2:AO18)</f>
        <v>480301079.575122</v>
      </c>
      <c r="AP20" s="168" t="n">
        <f aca="false">SUM(AP2:AP18)</f>
        <v>506395525.985854</v>
      </c>
      <c r="AQ20" s="168" t="n">
        <f aca="false">SUM(AQ2:AQ18)</f>
        <v>493130632.650407</v>
      </c>
    </row>
    <row r="21" customFormat="false" ht="12.8" hidden="false" customHeight="false" outlineLevel="0" collapsed="false">
      <c r="A21" s="23" t="s">
        <v>202</v>
      </c>
      <c r="B21" s="29" t="n">
        <f aca="false">SUMPRODUCT(B25:B41,B2:B18)</f>
        <v>185156716.386778</v>
      </c>
      <c r="C21" s="25" t="n">
        <f aca="false">SUMPRODUCT(C25:C41,C2:C18)</f>
        <v>190783162.601874</v>
      </c>
      <c r="D21" s="168" t="n">
        <f aca="false">SUMPRODUCT(D25:D41,D2:D18)</f>
        <v>190783162.601874</v>
      </c>
      <c r="E21" s="25" t="n">
        <f aca="false">SUMPRODUCT(E25:E41,E2:E18)</f>
        <v>191673024.279435</v>
      </c>
      <c r="F21" s="168" t="n">
        <f aca="false">SUMPRODUCT(F25:F41,F2:F18)</f>
        <v>193189035.369102</v>
      </c>
      <c r="G21" s="25" t="n">
        <f aca="false">SUMPRODUCT(G25:G41,G2:G18)</f>
        <v>155586630.821988</v>
      </c>
      <c r="H21" s="168" t="n">
        <f aca="false">SUMPRODUCT(H25:H41,H2:H18)</f>
        <v>156163113.568696</v>
      </c>
      <c r="I21" s="26" t="n">
        <f aca="false">SUMPRODUCT(I25:I41,I2:I18)</f>
        <v>151730877.741972</v>
      </c>
      <c r="J21" s="33" t="n">
        <f aca="false">SUMPRODUCT(J25:J41,J2:J18)</f>
        <v>152643754.727034</v>
      </c>
      <c r="K21" s="25" t="n">
        <f aca="false">SUMPRODUCT(K25:K41,K2:K18)</f>
        <v>144058237.351128</v>
      </c>
      <c r="L21" s="168" t="n">
        <f aca="false">SUMPRODUCT(L25:L41,L2:L18)</f>
        <v>143694922.642993</v>
      </c>
      <c r="M21" s="25" t="n">
        <f aca="false">SUMPRODUCT(M25:M41,M2:M18)</f>
        <v>143710728.047588</v>
      </c>
      <c r="N21" s="25" t="n">
        <f aca="false">SUMPRODUCT(N25:N41,N2:N18)</f>
        <v>144291215.904082</v>
      </c>
      <c r="O21" s="168" t="n">
        <f aca="false">SUMPRODUCT(O25:O41,O2:O18)</f>
        <v>147674677.525426</v>
      </c>
      <c r="P21" s="167" t="n">
        <f aca="false">SUMPRODUCT(P25:P41,P2:P18)</f>
        <v>151396186.279006</v>
      </c>
      <c r="Q21" s="33" t="n">
        <f aca="false">SUMPRODUCT(Q25:Q41,Q2:Q18)</f>
        <v>145266847.63304</v>
      </c>
      <c r="R21" s="168" t="n">
        <f aca="false">SUMPRODUCT(R25:R41,R2:R18)</f>
        <v>142935807.888602</v>
      </c>
      <c r="S21" s="25" t="n">
        <f aca="false">SUMPRODUCT(S25:S41,S2:S18)</f>
        <v>140518869.455518</v>
      </c>
      <c r="T21" s="168" t="n">
        <f aca="false">SUMPRODUCT(T25:T41,T2:T18)</f>
        <v>188136605.590854</v>
      </c>
      <c r="U21" s="168" t="n">
        <f aca="false">SUMPRODUCT(U25:U41,U2:U18)</f>
        <v>231468826.02889</v>
      </c>
      <c r="V21" s="25" t="n">
        <f aca="false">SUMPRODUCT(V25:V41,V2:V18)</f>
        <v>222447903.07471</v>
      </c>
      <c r="W21" s="25" t="n">
        <f aca="false">SUMPRODUCT(W25:W41,W2:W18)</f>
        <v>222993173.869354</v>
      </c>
      <c r="X21" s="26" t="n">
        <f aca="false">SUMPRODUCT(X25:X41,X2:X18)</f>
        <v>222714932.44836</v>
      </c>
      <c r="Y21" s="33" t="n">
        <f aca="false">SUMPRODUCT(Y25:Y41,Y2:Y18)</f>
        <v>187192579.445339</v>
      </c>
      <c r="Z21" s="168" t="n">
        <f aca="false">SUMPRODUCT(Z25:Z41,Z2:Z18)</f>
        <v>186825653.466698</v>
      </c>
      <c r="AA21" s="25" t="n">
        <f aca="false">SUMPRODUCT(AA25:AA41,AA2:AA18)</f>
        <v>175703256.059959</v>
      </c>
      <c r="AB21" s="168" t="n">
        <f aca="false">SUMPRODUCT(AB25:AB41,AB2:AB18)</f>
        <v>145329926.714941</v>
      </c>
      <c r="AC21" s="167" t="n">
        <f aca="false">SUMPRODUCT(AC25:AC41,AC2:AC18)</f>
        <v>147144294.440423</v>
      </c>
      <c r="AD21" s="33" t="n">
        <f aca="false">SUMPRODUCT(AD25:AD41,AD2:AD18)</f>
        <v>129142403.894285</v>
      </c>
      <c r="AE21" s="168" t="n">
        <f aca="false">SUMPRODUCT(AE25:AE41,AE2:AE18)</f>
        <v>122276645.172884</v>
      </c>
      <c r="AF21" s="25" t="n">
        <f aca="false">SUMPRODUCT(AF25:AF41,AF2:AF18)</f>
        <v>122838502.174862</v>
      </c>
      <c r="AG21" s="168" t="n">
        <f aca="false">SUMPRODUCT(AG25:AG41,AG2:AG18)</f>
        <v>120159047.160825</v>
      </c>
      <c r="AH21" s="168" t="n">
        <f aca="false">SUMPRODUCT(AH25:AH41,AH2:AH18)</f>
        <v>110337288.662288</v>
      </c>
      <c r="AI21" s="26" t="n">
        <f aca="false">SUMPRODUCT(AI25:AI41,AI2:AI18)</f>
        <v>114190565.246391</v>
      </c>
      <c r="AJ21" s="33" t="n">
        <f aca="false">SUMPRODUCT(AJ25:AJ41,AJ2:AJ18)</f>
        <v>120849297.792101</v>
      </c>
      <c r="AK21" s="168" t="n">
        <f aca="false">SUMPRODUCT(AK25:AK41,AK2:AK18)</f>
        <v>108366034.14126</v>
      </c>
      <c r="AL21" s="168" t="n">
        <f aca="false">SUMPRODUCT(AL25:AL41,AL2:AL18)</f>
        <v>108703291.389737</v>
      </c>
      <c r="AM21" s="168" t="n">
        <f aca="false">SUMPRODUCT(AM25:AM41,AM2:AM18)</f>
        <v>107498247.959834</v>
      </c>
      <c r="AN21" s="167" t="n">
        <f aca="false">SUMPRODUCT(AN25:AN41,AN2:AN18)</f>
        <v>110073727.004195</v>
      </c>
      <c r="AO21" s="33" t="n">
        <f aca="false">SUMPRODUCT(AO25:AO41,AO2:AO18)</f>
        <v>108041448.377364</v>
      </c>
      <c r="AP21" s="168" t="n">
        <f aca="false">SUMPRODUCT(AP25:AP41,AP2:AP18)</f>
        <v>112494817.969567</v>
      </c>
      <c r="AQ21" s="168" t="n">
        <f aca="false">SUMPRODUCT(AQ25:AQ41,AQ2:AQ18)</f>
        <v>112987872.170599</v>
      </c>
    </row>
    <row r="22" customFormat="false" ht="12.8" hidden="false" customHeight="false" outlineLevel="0" collapsed="false">
      <c r="A22" s="23" t="s">
        <v>215</v>
      </c>
      <c r="B22" s="54" t="n">
        <f aca="false">B20/$AQ20*1000</f>
        <v>1371.98093037707</v>
      </c>
      <c r="C22" s="48" t="n">
        <f aca="false">C20/$AQ20*1000</f>
        <v>1384.33442273707</v>
      </c>
      <c r="D22" s="55" t="n">
        <f aca="false">D20/$AQ20*1000</f>
        <v>1384.33442273707</v>
      </c>
      <c r="E22" s="56" t="n">
        <f aca="false">E20/$AQ20*1000</f>
        <v>1370.66701915795</v>
      </c>
      <c r="F22" s="55" t="n">
        <f aca="false">F20/$AQ20*1000</f>
        <v>1335.61696621548</v>
      </c>
      <c r="G22" s="56" t="n">
        <f aca="false">G20/$AQ20*1000</f>
        <v>1211.18941330441</v>
      </c>
      <c r="H22" s="55" t="n">
        <f aca="false">H20/$AQ20*1000</f>
        <v>1203.41172922645</v>
      </c>
      <c r="I22" s="50" t="n">
        <f aca="false">I20/$AQ20*1000</f>
        <v>1178.92947081228</v>
      </c>
      <c r="J22" s="51" t="n">
        <f aca="false">J20/$AQ20*1000</f>
        <v>1159.38749387483</v>
      </c>
      <c r="K22" s="56" t="n">
        <f aca="false">K20/$AQ20*1000</f>
        <v>1151.25823812532</v>
      </c>
      <c r="L22" s="55" t="n">
        <f aca="false">L20/$AQ20*1000</f>
        <v>1154.72394934038</v>
      </c>
      <c r="M22" s="56" t="n">
        <f aca="false">M20/$AQ20*1000</f>
        <v>1155.49251675739</v>
      </c>
      <c r="N22" s="56" t="n">
        <f aca="false">N20/$AQ20*1000</f>
        <v>1131.52537032191</v>
      </c>
      <c r="O22" s="55" t="n">
        <f aca="false">O20/$AQ20*1000</f>
        <v>1074.56276120768</v>
      </c>
      <c r="P22" s="52" t="n">
        <f aca="false">P20/$AQ20*1000</f>
        <v>1093.27520018645</v>
      </c>
      <c r="Q22" s="51" t="n">
        <f aca="false">Q20/$AQ20*1000</f>
        <v>1084.7167833624</v>
      </c>
      <c r="R22" s="55" t="n">
        <f aca="false">R20/$AQ20*1000</f>
        <v>1062.29082808812</v>
      </c>
      <c r="S22" s="56" t="n">
        <f aca="false">S20/$AQ20*1000</f>
        <v>1068.15005105525</v>
      </c>
      <c r="T22" s="55" t="n">
        <f aca="false">T20/$AQ20*1000</f>
        <v>1178.9377476732</v>
      </c>
      <c r="U22" s="55" t="n">
        <f aca="false">U20/$AQ20*1000</f>
        <v>1297.14889118046</v>
      </c>
      <c r="V22" s="56" t="n">
        <f aca="false">V20/$AQ20*1000</f>
        <v>1284.01720041364</v>
      </c>
      <c r="W22" s="56" t="n">
        <f aca="false">W20/$AQ20*1000</f>
        <v>1280.11164585522</v>
      </c>
      <c r="X22" s="50" t="n">
        <f aca="false">X20/$AQ20*1000</f>
        <v>1282.0009554006</v>
      </c>
      <c r="Y22" s="51" t="n">
        <f aca="false">Y20/$AQ20*1000</f>
        <v>1201.7430381435</v>
      </c>
      <c r="Z22" s="55" t="n">
        <f aca="false">Z20/$AQ20*1000</f>
        <v>1205.53413298421</v>
      </c>
      <c r="AA22" s="56" t="n">
        <f aca="false">AA20/$AQ20*1000</f>
        <v>1178.94185564387</v>
      </c>
      <c r="AB22" s="55" t="n">
        <f aca="false">AB20/$AQ20*1000</f>
        <v>1087.67942286592</v>
      </c>
      <c r="AC22" s="52" t="n">
        <f aca="false">AC20/$AQ20*1000</f>
        <v>1066.07001993893</v>
      </c>
      <c r="AD22" s="51" t="n">
        <f aca="false">AD20/$AQ20*1000</f>
        <v>994.939266319325</v>
      </c>
      <c r="AE22" s="55" t="n">
        <f aca="false">AE20/$AQ20*1000</f>
        <v>978.62127736179</v>
      </c>
      <c r="AF22" s="56" t="n">
        <f aca="false">AF20/$AQ20*1000</f>
        <v>962.880491332892</v>
      </c>
      <c r="AG22" s="55" t="n">
        <f aca="false">AG20/$AQ20*1000</f>
        <v>949.811539391653</v>
      </c>
      <c r="AH22" s="55" t="n">
        <f aca="false">AH20/$AQ20*1000</f>
        <v>933.956092668924</v>
      </c>
      <c r="AI22" s="50" t="n">
        <f aca="false">AI20/$AQ20*1000</f>
        <v>1024.50059378135</v>
      </c>
      <c r="AJ22" s="51" t="n">
        <f aca="false">AJ20/$AQ20*1000</f>
        <v>1036.32546784094</v>
      </c>
      <c r="AK22" s="55" t="n">
        <f aca="false">AK20/$AQ20*1000</f>
        <v>1001.86958665258</v>
      </c>
      <c r="AL22" s="55" t="n">
        <f aca="false">AL20/$AQ20*1000</f>
        <v>985.813239720211</v>
      </c>
      <c r="AM22" s="55" t="n">
        <f aca="false">AM20/$AQ20*1000</f>
        <v>992.253811546542</v>
      </c>
      <c r="AN22" s="52" t="n">
        <f aca="false">AN20/$AQ20*1000</f>
        <v>1003.15926106259</v>
      </c>
      <c r="AO22" s="51" t="n">
        <f aca="false">AO20/$AQ20*1000</f>
        <v>973.983459501735</v>
      </c>
      <c r="AP22" s="51" t="n">
        <f aca="false">AP20/$AQ20*1000</f>
        <v>1026.8993497</v>
      </c>
      <c r="AQ22" s="22" t="n">
        <v>1000</v>
      </c>
    </row>
    <row r="23" customFormat="false" ht="12.8" hidden="false" customHeight="false" outlineLevel="0" collapsed="false">
      <c r="A23" s="23" t="s">
        <v>204</v>
      </c>
      <c r="B23" s="175" t="n">
        <f aca="false">B22/C22-1</f>
        <v>-0.00892377748981466</v>
      </c>
      <c r="C23" s="170" t="n">
        <f aca="false">C22/D22-1</f>
        <v>0</v>
      </c>
      <c r="D23" s="171" t="n">
        <f aca="false">D22/E22-1</f>
        <v>0.00997135218699108</v>
      </c>
      <c r="E23" s="170" t="n">
        <f aca="false">E22/F22-1</f>
        <v>0.0262425933700041</v>
      </c>
      <c r="F23" s="171" t="n">
        <f aca="false">F22/G22-1</f>
        <v>0.102731704508219</v>
      </c>
      <c r="G23" s="170" t="n">
        <f aca="false">G22/H22-1</f>
        <v>0.00646302831281065</v>
      </c>
      <c r="H23" s="171" t="n">
        <f aca="false">H22/I22-1</f>
        <v>0.0207665165900872</v>
      </c>
      <c r="I23" s="172" t="n">
        <f aca="false">I22/J22-1</f>
        <v>0.0168554318902834</v>
      </c>
      <c r="J23" s="173" t="n">
        <f aca="false">J22/L22-1</f>
        <v>0.0040386661566294</v>
      </c>
      <c r="K23" s="170" t="n">
        <f aca="false">K22/L22-1</f>
        <v>-0.00300133310393136</v>
      </c>
      <c r="L23" s="171" t="n">
        <f aca="false">L22/M22-1</f>
        <v>-0.000665142703968669</v>
      </c>
      <c r="M23" s="170" t="n">
        <f aca="false">M22/N22-1</f>
        <v>0.0211812718159921</v>
      </c>
      <c r="N23" s="170" t="n">
        <f aca="false">N22/O22-1</f>
        <v>0.0530100345653255</v>
      </c>
      <c r="O23" s="171" t="n">
        <f aca="false">O22/P22-1</f>
        <v>-0.0171159457157504</v>
      </c>
      <c r="P23" s="174" t="n">
        <f aca="false">P22/Q22-1</f>
        <v>0.00789000129371353</v>
      </c>
      <c r="Q23" s="173" t="n">
        <f aca="false">Q22/R22-1</f>
        <v>0.0211109374959422</v>
      </c>
      <c r="R23" s="171" t="n">
        <f aca="false">R22/S22-1</f>
        <v>-0.0054853931442832</v>
      </c>
      <c r="S23" s="170" t="n">
        <f aca="false">S22/T22-1</f>
        <v>-0.0939724738109392</v>
      </c>
      <c r="T23" s="171" t="n">
        <f aca="false">T22/U22-1</f>
        <v>-0.0911315149024161</v>
      </c>
      <c r="U23" s="171" t="n">
        <f aca="false">U22/V22-1</f>
        <v>0.0102270364934263</v>
      </c>
      <c r="V23" s="170" t="n">
        <f aca="false">V22/W22-1</f>
        <v>0.00305094838490416</v>
      </c>
      <c r="W23" s="170" t="n">
        <f aca="false">W22/X22-1</f>
        <v>-0.00147371929592843</v>
      </c>
      <c r="X23" s="172" t="n">
        <f aca="false">X22/Y22-1</f>
        <v>0.0667845909730251</v>
      </c>
      <c r="Y23" s="175" t="n">
        <f aca="false">Y22/Z22-1</f>
        <v>-0.00314474284632915</v>
      </c>
      <c r="Z23" s="170" t="n">
        <f aca="false">Z22/AA22-1</f>
        <v>0.0225560550022312</v>
      </c>
      <c r="AA23" s="170" t="n">
        <f aca="false">AA22/AB22-1</f>
        <v>0.0839056351158034</v>
      </c>
      <c r="AB23" s="170" t="n">
        <f aca="false">AB22/AC22-1</f>
        <v>0.020270153482254</v>
      </c>
      <c r="AC23" s="172" t="n">
        <f aca="false">AC22/AD22-1</f>
        <v>0.0714925584179047</v>
      </c>
      <c r="AD23" s="175" t="n">
        <f aca="false">AD22/AE22-1</f>
        <v>0.0166744677793285</v>
      </c>
      <c r="AE23" s="170" t="n">
        <f aca="false">AE22/AF22-1</f>
        <v>0.0163476009438188</v>
      </c>
      <c r="AF23" s="170" t="n">
        <f aca="false">AF22/AG22-1</f>
        <v>0.0137595211252224</v>
      </c>
      <c r="AG23" s="170" t="n">
        <f aca="false">AG22/AH22-1</f>
        <v>0.0169766510943987</v>
      </c>
      <c r="AH23" s="170" t="n">
        <f aca="false">AH22/AI22-1</f>
        <v>-0.0883791592333121</v>
      </c>
      <c r="AI23" s="172" t="n">
        <f aca="false">AI22/AJ22-1</f>
        <v>-0.0114103864341238</v>
      </c>
      <c r="AJ23" s="175" t="n">
        <f aca="false">AJ22/AK22-1</f>
        <v>0.034391583143554</v>
      </c>
      <c r="AK23" s="170" t="n">
        <f aca="false">AK22/AM22-1</f>
        <v>0.00969084219595917</v>
      </c>
      <c r="AL23" s="170" t="n">
        <f aca="false">AL22/AM22-1</f>
        <v>-0.00649085118281645</v>
      </c>
      <c r="AM23" s="170" t="n">
        <f aca="false">AM22/AN22-1</f>
        <v>-0.0108711048577657</v>
      </c>
      <c r="AN23" s="172" t="n">
        <f aca="false">AN22/AO22-1</f>
        <v>0.0299551304246817</v>
      </c>
      <c r="AO23" s="175" t="n">
        <f aca="false">AO22/AP22-1</f>
        <v>-0.051529772819242</v>
      </c>
      <c r="AP23" s="170" t="n">
        <f aca="false">AP22/AQ22-1</f>
        <v>0.0268993497000032</v>
      </c>
    </row>
    <row r="24" customFormat="false" ht="12.8" hidden="false" customHeight="false" outlineLevel="0" collapsed="false">
      <c r="K24" s="40"/>
    </row>
    <row r="25" customFormat="false" ht="12.8" hidden="false" customHeight="false" outlineLevel="0" collapsed="false">
      <c r="A25" s="139" t="s">
        <v>183</v>
      </c>
      <c r="B25" s="34" t="n">
        <f aca="false">B2/B$20</f>
        <v>0.491851725876697</v>
      </c>
      <c r="C25" s="34" t="n">
        <f aca="false">C2/C$20</f>
        <v>0.498876962856922</v>
      </c>
      <c r="D25" s="117" t="n">
        <f aca="false">D2/D$20</f>
        <v>0.498876962856922</v>
      </c>
      <c r="E25" s="79" t="n">
        <f aca="false">E2/E$20</f>
        <v>0.504529571896567</v>
      </c>
      <c r="F25" s="117" t="n">
        <f aca="false">F2/F$20</f>
        <v>0.517769736294991</v>
      </c>
      <c r="G25" s="79" t="n">
        <f aca="false">G2/G$20</f>
        <v>0.479638024065312</v>
      </c>
      <c r="H25" s="117" t="n">
        <f aca="false">H2/H$20</f>
        <v>0.482737938194746</v>
      </c>
      <c r="I25" s="176" t="n">
        <f aca="false">I2/I$20</f>
        <v>0.480936418230605</v>
      </c>
      <c r="J25" s="177" t="n">
        <f aca="false">J2/J$20</f>
        <v>0.487198877367837</v>
      </c>
      <c r="K25" s="79" t="n">
        <f aca="false">K2/K$20</f>
        <v>0.466644029604687</v>
      </c>
      <c r="L25" s="117" t="n">
        <f aca="false">L2/L$20</f>
        <v>0.465243475430883</v>
      </c>
      <c r="M25" s="79" t="n">
        <f aca="false">M2/M$20</f>
        <v>0.464934022127631</v>
      </c>
      <c r="N25" s="79" t="n">
        <f aca="false">N2/N$20</f>
        <v>0.474781916026819</v>
      </c>
      <c r="O25" s="117" t="n">
        <f aca="false">O2/O$20</f>
        <v>0.505157394952997</v>
      </c>
      <c r="P25" s="178" t="n">
        <f aca="false">P2/P$20</f>
        <v>0.507563622596974</v>
      </c>
      <c r="Q25" s="177" t="n">
        <f aca="false">Q2/Q$20</f>
        <v>0.497001028704902</v>
      </c>
      <c r="R25" s="117" t="n">
        <f aca="false">R2/R$20</f>
        <v>0.498760803598954</v>
      </c>
      <c r="S25" s="79" t="n">
        <f aca="false">S2/S$20</f>
        <v>0.491134444586734</v>
      </c>
      <c r="T25" s="117" t="n">
        <f aca="false">T2/T$20</f>
        <v>0.551890375794844</v>
      </c>
      <c r="U25" s="117" t="n">
        <f aca="false">U2/U$20</f>
        <v>0.58758361603807</v>
      </c>
      <c r="V25" s="79" t="n">
        <f aca="false">V2/V$20</f>
        <v>0.577667193155536</v>
      </c>
      <c r="W25" s="79" t="n">
        <f aca="false">W2/W$20</f>
        <v>0.579429625945506</v>
      </c>
      <c r="X25" s="176" t="n">
        <f aca="false">X2/X$20</f>
        <v>0.578575709325118</v>
      </c>
      <c r="Y25" s="177" t="n">
        <f aca="false">Y2/Y$20</f>
        <v>0.543072427929279</v>
      </c>
      <c r="Z25" s="117" t="n">
        <f aca="false">Z2/Z$20</f>
        <v>0.541272082290207</v>
      </c>
      <c r="AA25" s="79" t="n">
        <f aca="false">AA2/AA$20</f>
        <v>0.528803747190514</v>
      </c>
      <c r="AB25" s="117" t="n">
        <f aca="false">AB2/AB$20</f>
        <v>0.495664380230672</v>
      </c>
      <c r="AC25" s="178" t="n">
        <f aca="false">AC2/AC$20</f>
        <v>0.505694135564822</v>
      </c>
      <c r="AD25" s="177" t="n">
        <f aca="false">AD2/AD$20</f>
        <v>0.485812997514771</v>
      </c>
      <c r="AE25" s="117" t="n">
        <f aca="false">AE2/AE$20</f>
        <v>0.474917721660165</v>
      </c>
      <c r="AF25" s="79" t="n">
        <f aca="false">AF2/AF$20</f>
        <v>0.482662180567791</v>
      </c>
      <c r="AG25" s="117" t="n">
        <f aca="false">AG2/AG$20</f>
        <v>0.479517313416907</v>
      </c>
      <c r="AH25" s="117" t="n">
        <f aca="false">AH2/AH$20</f>
        <v>0.460786965394398</v>
      </c>
      <c r="AI25" s="176" t="n">
        <f aca="false">AI2/AI$20</f>
        <v>0.439115534321105</v>
      </c>
      <c r="AJ25" s="177" t="n">
        <f aca="false">AJ2/AJ$20</f>
        <v>0.450249459308694</v>
      </c>
      <c r="AK25" s="117" t="n">
        <f aca="false">AK2/AK$20</f>
        <v>0.42771474981477</v>
      </c>
      <c r="AL25" s="117" t="n">
        <f aca="false">AL2/AL$20</f>
        <v>0.434662259033817</v>
      </c>
      <c r="AM25" s="117" t="n">
        <f aca="false">AM2/AM$20</f>
        <v>0.430922917736691</v>
      </c>
      <c r="AN25" s="178" t="n">
        <f aca="false">AN2/AN$20</f>
        <v>0.435485425570213</v>
      </c>
      <c r="AO25" s="177" t="n">
        <f aca="false">AO2/AO$20</f>
        <v>0.438987247263745</v>
      </c>
      <c r="AP25" s="117" t="n">
        <f aca="false">AP2/AP$20</f>
        <v>0.430848641416194</v>
      </c>
      <c r="AQ25" s="117" t="n">
        <f aca="false">AQ2/AQ$20</f>
        <v>0.442438189689419</v>
      </c>
    </row>
    <row r="26" customFormat="false" ht="12.8" hidden="false" customHeight="false" outlineLevel="0" collapsed="false">
      <c r="A26" s="139" t="s">
        <v>31</v>
      </c>
      <c r="B26" s="118" t="n">
        <f aca="false">B3/B$20</f>
        <v>0.12039772976544</v>
      </c>
      <c r="C26" s="118" t="n">
        <f aca="false">C3/C$20</f>
        <v>0.119323327214734</v>
      </c>
      <c r="D26" s="117" t="n">
        <f aca="false">D3/D$20</f>
        <v>0.119323327214734</v>
      </c>
      <c r="E26" s="79" t="n">
        <f aca="false">E3/E$20</f>
        <v>0.108900594302716</v>
      </c>
      <c r="F26" s="117" t="n">
        <f aca="false">F3/F$20</f>
        <v>0.102384021903115</v>
      </c>
      <c r="G26" s="79" t="n">
        <f aca="false">G3/G$20</f>
        <v>0.118570253583334</v>
      </c>
      <c r="H26" s="117" t="n">
        <f aca="false">H3/H$20</f>
        <v>0.119336576489301</v>
      </c>
      <c r="I26" s="176" t="n">
        <f aca="false">I3/I$20</f>
        <v>0.115991533088879</v>
      </c>
      <c r="J26" s="177" t="n">
        <f aca="false">J3/J$20</f>
        <v>0.120112986973223</v>
      </c>
      <c r="K26" s="79" t="n">
        <f aca="false">K3/K$20</f>
        <v>0.147148363624289</v>
      </c>
      <c r="L26" s="117" t="n">
        <f aca="false">L3/L$20</f>
        <v>0.146706722369355</v>
      </c>
      <c r="M26" s="79" t="n">
        <f aca="false">M3/M$20</f>
        <v>0.147274284167316</v>
      </c>
      <c r="N26" s="79" t="n">
        <f aca="false">N3/N$20</f>
        <v>0.137183506457703</v>
      </c>
      <c r="O26" s="117" t="n">
        <f aca="false">O3/O$20</f>
        <v>0.0857038213687162</v>
      </c>
      <c r="P26" s="178" t="n">
        <f aca="false">P3/P$20</f>
        <v>0.0855132363753634</v>
      </c>
      <c r="Q26" s="177" t="n">
        <f aca="false">Q3/Q$20</f>
        <v>0.0900470972308899</v>
      </c>
      <c r="R26" s="117" t="n">
        <f aca="false">R3/R$20</f>
        <v>0.0867727127445571</v>
      </c>
      <c r="S26" s="79" t="n">
        <f aca="false">S3/S$20</f>
        <v>0.0948401849810703</v>
      </c>
      <c r="T26" s="117" t="n">
        <f aca="false">T3/T$20</f>
        <v>0.0772403500625141</v>
      </c>
      <c r="U26" s="117" t="n">
        <f aca="false">U3/U$20</f>
        <v>0.0782692007285004</v>
      </c>
      <c r="V26" s="79" t="n">
        <f aca="false">V3/V$20</f>
        <v>0.0793522095987128</v>
      </c>
      <c r="W26" s="79" t="n">
        <f aca="false">W3/W$20</f>
        <v>0.0795943090944265</v>
      </c>
      <c r="X26" s="176" t="n">
        <f aca="false">X3/X$20</f>
        <v>0.079477009425268</v>
      </c>
      <c r="Y26" s="177" t="n">
        <f aca="false">Y3/Y$20</f>
        <v>0.0834379519108291</v>
      </c>
      <c r="Z26" s="117" t="n">
        <f aca="false">Z3/Z$20</f>
        <v>0.0833295040868494</v>
      </c>
      <c r="AA26" s="79" t="n">
        <f aca="false">AA3/AA$20</f>
        <v>0.0886580254615295</v>
      </c>
      <c r="AB26" s="117" t="n">
        <f aca="false">AB3/AB$20</f>
        <v>0.0872360589921833</v>
      </c>
      <c r="AC26" s="178" t="n">
        <f aca="false">AC3/AC$20</f>
        <v>0.0890043472971418</v>
      </c>
      <c r="AD26" s="177" t="n">
        <f aca="false">AD3/AD$20</f>
        <v>0.0953473003260322</v>
      </c>
      <c r="AE26" s="117" t="n">
        <f aca="false">AE3/AE$20</f>
        <v>0.102446074079558</v>
      </c>
      <c r="AF26" s="79" t="n">
        <f aca="false">AF3/AF$20</f>
        <v>0.0913209912915073</v>
      </c>
      <c r="AG26" s="117" t="n">
        <f aca="false">AG3/AG$20</f>
        <v>0.0969604296395505</v>
      </c>
      <c r="AH26" s="117" t="n">
        <f aca="false">AH3/AH$20</f>
        <v>0.0896422663850038</v>
      </c>
      <c r="AI26" s="176" t="n">
        <f aca="false">AI3/AI$20</f>
        <v>0.12301547608586</v>
      </c>
      <c r="AJ26" s="177" t="n">
        <f aca="false">AJ3/AJ$20</f>
        <v>0.129259686766706</v>
      </c>
      <c r="AK26" s="117" t="n">
        <f aca="false">AK3/AK$20</f>
        <v>0.133307080711102</v>
      </c>
      <c r="AL26" s="117" t="n">
        <f aca="false">AL3/AL$20</f>
        <v>0.127644945339397</v>
      </c>
      <c r="AM26" s="117" t="n">
        <f aca="false">AM3/AM$20</f>
        <v>0.123750776752678</v>
      </c>
      <c r="AN26" s="178" t="n">
        <f aca="false">AN3/AN$20</f>
        <v>0.117425792044701</v>
      </c>
      <c r="AO26" s="177" t="n">
        <f aca="false">AO3/AO$20</f>
        <v>0.114868911991265</v>
      </c>
      <c r="AP26" s="117" t="n">
        <f aca="false">AP3/AP$20</f>
        <v>0.134432134064561</v>
      </c>
      <c r="AQ26" s="117" t="n">
        <f aca="false">AQ3/AQ$20</f>
        <v>0.12279217991469</v>
      </c>
    </row>
    <row r="27" customFormat="false" ht="12.8" hidden="false" customHeight="false" outlineLevel="0" collapsed="false">
      <c r="A27" s="139" t="s">
        <v>29</v>
      </c>
      <c r="B27" s="118" t="n">
        <f aca="false">B4/B$20</f>
        <v>0.0932728332730237</v>
      </c>
      <c r="C27" s="118" t="n">
        <f aca="false">C4/C$20</f>
        <v>0.0882028722118639</v>
      </c>
      <c r="D27" s="117" t="n">
        <f aca="false">D4/D$20</f>
        <v>0.0882028722118639</v>
      </c>
      <c r="E27" s="79" t="n">
        <f aca="false">E4/E$20</f>
        <v>0.0926736661295227</v>
      </c>
      <c r="F27" s="117" t="n">
        <f aca="false">F4/F$20</f>
        <v>0.0742290602292396</v>
      </c>
      <c r="G27" s="79" t="n">
        <f aca="false">G4/G$20</f>
        <v>0.0769152280522324</v>
      </c>
      <c r="H27" s="117" t="n">
        <f aca="false">H4/H$20</f>
        <v>0.0735638182576528</v>
      </c>
      <c r="I27" s="176" t="n">
        <f aca="false">I4/I$20</f>
        <v>0.071473812929452</v>
      </c>
      <c r="J27" s="177" t="n">
        <f aca="false">J4/J$20</f>
        <v>0.068557068264364</v>
      </c>
      <c r="K27" s="79" t="n">
        <f aca="false">K4/K$20</f>
        <v>0.0645868943290967</v>
      </c>
      <c r="L27" s="117" t="n">
        <f aca="false">L4/L$20</f>
        <v>0.0629127476015019</v>
      </c>
      <c r="M27" s="79" t="n">
        <f aca="false">M4/M$20</f>
        <v>0.0628709016464481</v>
      </c>
      <c r="N27" s="79" t="n">
        <f aca="false">N4/N$20</f>
        <v>0.060425964520977</v>
      </c>
      <c r="O27" s="117" t="n">
        <f aca="false">O4/O$20</f>
        <v>0.0636053974097635</v>
      </c>
      <c r="P27" s="178" t="n">
        <f aca="false">P4/P$20</f>
        <v>0.064103575812153</v>
      </c>
      <c r="Q27" s="177" t="n">
        <f aca="false">Q4/Q$20</f>
        <v>0.068982303227154</v>
      </c>
      <c r="R27" s="117" t="n">
        <f aca="false">R4/R$20</f>
        <v>0.0732142909539769</v>
      </c>
      <c r="S27" s="79" t="n">
        <f aca="false">S4/S$20</f>
        <v>0.0728126817843145</v>
      </c>
      <c r="T27" s="117" t="n">
        <f aca="false">T4/T$20</f>
        <v>0.0623528020091387</v>
      </c>
      <c r="U27" s="117" t="n">
        <f aca="false">U4/U$20</f>
        <v>0.0546905543411843</v>
      </c>
      <c r="V27" s="79" t="n">
        <f aca="false">V4/V$20</f>
        <v>0.0612378037517517</v>
      </c>
      <c r="W27" s="79" t="n">
        <f aca="false">W4/W$20</f>
        <v>0.0614246371302032</v>
      </c>
      <c r="X27" s="176" t="n">
        <f aca="false">X4/X$20</f>
        <v>0.061334114457219</v>
      </c>
      <c r="Y27" s="177" t="n">
        <f aca="false">Y4/Y$20</f>
        <v>0.072434808899588</v>
      </c>
      <c r="Z27" s="117" t="n">
        <f aca="false">Z4/Z$20</f>
        <v>0.0751491813997293</v>
      </c>
      <c r="AA27" s="79" t="n">
        <f aca="false">AA4/AA$20</f>
        <v>0.0756360051203698</v>
      </c>
      <c r="AB27" s="117" t="n">
        <f aca="false">AB4/AB$20</f>
        <v>0.0848634616963015</v>
      </c>
      <c r="AC27" s="178" t="n">
        <f aca="false">AC4/AC$20</f>
        <v>0.0800898828081769</v>
      </c>
      <c r="AD27" s="177" t="n">
        <f aca="false">AD4/AD$20</f>
        <v>0.089337679650515</v>
      </c>
      <c r="AE27" s="117" t="n">
        <f aca="false">AE4/AE$20</f>
        <v>0.0777272410971937</v>
      </c>
      <c r="AF27" s="79" t="n">
        <f aca="false">AF4/AF$20</f>
        <v>0.0752501816204948</v>
      </c>
      <c r="AG27" s="117" t="n">
        <f aca="false">AG4/AG$20</f>
        <v>0.0737858334047629</v>
      </c>
      <c r="AH27" s="117" t="n">
        <f aca="false">AH4/AH$20</f>
        <v>0.0764113576501691</v>
      </c>
      <c r="AI27" s="176" t="n">
        <f aca="false">AI4/AI$20</f>
        <v>0.0692410712183139</v>
      </c>
      <c r="AJ27" s="177" t="n">
        <f aca="false">AJ4/AJ$20</f>
        <v>0.0632778150999437</v>
      </c>
      <c r="AK27" s="117" t="n">
        <f aca="false">AK4/AK$20</f>
        <v>0.0661217659532695</v>
      </c>
      <c r="AL27" s="117" t="n">
        <f aca="false">AL4/AL$20</f>
        <v>0.0670600034945158</v>
      </c>
      <c r="AM27" s="117" t="n">
        <f aca="false">AM4/AM$20</f>
        <v>0.06373923461373</v>
      </c>
      <c r="AN27" s="178" t="n">
        <f aca="false">AN4/AN$20</f>
        <v>0.0647502732704388</v>
      </c>
      <c r="AO27" s="177" t="n">
        <f aca="false">AO4/AO$20</f>
        <v>0.0614599858636349</v>
      </c>
      <c r="AP27" s="117" t="n">
        <f aca="false">AP4/AP$20</f>
        <v>0.0557628322752532</v>
      </c>
      <c r="AQ27" s="117" t="n">
        <f aca="false">AQ4/AQ$20</f>
        <v>0.0559808128531069</v>
      </c>
    </row>
    <row r="28" customFormat="false" ht="12.8" hidden="false" customHeight="false" outlineLevel="0" collapsed="false">
      <c r="A28" s="139" t="s">
        <v>187</v>
      </c>
      <c r="B28" s="118" t="n">
        <f aca="false">B5/B$20</f>
        <v>0.0484915153296496</v>
      </c>
      <c r="C28" s="118" t="n">
        <f aca="false">C5/C$20</f>
        <v>0.0487623590168036</v>
      </c>
      <c r="D28" s="117" t="n">
        <f aca="false">D5/D$20</f>
        <v>0.0487623590168036</v>
      </c>
      <c r="E28" s="79" t="n">
        <f aca="false">E5/E$20</f>
        <v>0.0480631018597804</v>
      </c>
      <c r="F28" s="117" t="n">
        <f aca="false">F5/F$20</f>
        <v>0.0501799891635826</v>
      </c>
      <c r="G28" s="79" t="n">
        <f aca="false">G5/G$20</f>
        <v>0.0525484070337995</v>
      </c>
      <c r="H28" s="117" t="n">
        <f aca="false">H5/H$20</f>
        <v>0.0532886957616781</v>
      </c>
      <c r="I28" s="176" t="n">
        <f aca="false">I5/I$20</f>
        <v>0.0593031644376706</v>
      </c>
      <c r="J28" s="177" t="n">
        <f aca="false">J5/J$20</f>
        <v>0.0528168869007893</v>
      </c>
      <c r="K28" s="79" t="n">
        <f aca="false">K5/K$20</f>
        <v>0.0543583382388673</v>
      </c>
      <c r="L28" s="117" t="n">
        <f aca="false">L5/L$20</f>
        <v>0.0526126360706785</v>
      </c>
      <c r="M28" s="79" t="n">
        <f aca="false">M5/M$20</f>
        <v>0.0525776411596595</v>
      </c>
      <c r="N28" s="79" t="n">
        <f aca="false">N5/N$20</f>
        <v>0.0532651810203432</v>
      </c>
      <c r="O28" s="117" t="n">
        <f aca="false">O5/O$20</f>
        <v>0.0583323209116544</v>
      </c>
      <c r="P28" s="178" t="n">
        <f aca="false">P5/P$20</f>
        <v>0.0590980283218708</v>
      </c>
      <c r="Q28" s="177" t="n">
        <f aca="false">Q5/Q$20</f>
        <v>0.0586752922620582</v>
      </c>
      <c r="R28" s="117" t="n">
        <f aca="false">R5/R$20</f>
        <v>0.0535594693739994</v>
      </c>
      <c r="S28" s="79" t="n">
        <f aca="false">S5/S$20</f>
        <v>0.0548320465851613</v>
      </c>
      <c r="T28" s="117" t="n">
        <f aca="false">T5/T$20</f>
        <v>0.0494380426863677</v>
      </c>
      <c r="U28" s="117" t="n">
        <f aca="false">U5/U$20</f>
        <v>0.040888440485443</v>
      </c>
      <c r="V28" s="79" t="n">
        <f aca="false">V5/V$20</f>
        <v>0.0360494033964628</v>
      </c>
      <c r="W28" s="79" t="n">
        <f aca="false">W5/W$20</f>
        <v>0.0331084398806278</v>
      </c>
      <c r="X28" s="176" t="n">
        <f aca="false">X5/X$20</f>
        <v>0.0342255734628725</v>
      </c>
      <c r="Y28" s="177" t="n">
        <f aca="false">Y5/Y$20</f>
        <v>0.0397211002676194</v>
      </c>
      <c r="Z28" s="117" t="n">
        <f aca="false">Z5/Z$20</f>
        <v>0.0361205222637992</v>
      </c>
      <c r="AA28" s="79" t="n">
        <f aca="false">AA5/AA$20</f>
        <v>0.0400803383630573</v>
      </c>
      <c r="AB28" s="117" t="n">
        <f aca="false">AB5/AB$20</f>
        <v>0.0412268094759502</v>
      </c>
      <c r="AC28" s="178" t="n">
        <f aca="false">AC5/AC$20</f>
        <v>0.028041655487741</v>
      </c>
      <c r="AD28" s="177" t="n">
        <f aca="false">AD5/AD$20</f>
        <v>0.0312192050024075</v>
      </c>
      <c r="AE28" s="117" t="n">
        <f aca="false">AE5/AE$20</f>
        <v>0.0354744387051036</v>
      </c>
      <c r="AF28" s="79" t="n">
        <f aca="false">AF5/AF$20</f>
        <v>0.0380323429596692</v>
      </c>
      <c r="AG28" s="117" t="n">
        <f aca="false">AG5/AG$20</f>
        <v>0.0390886772024616</v>
      </c>
      <c r="AH28" s="117" t="n">
        <f aca="false">AH5/AH$20</f>
        <v>0.0382034822174433</v>
      </c>
      <c r="AI28" s="176" t="n">
        <f aca="false">AI5/AI$20</f>
        <v>0.0432985450445112</v>
      </c>
      <c r="AJ28" s="177" t="n">
        <f aca="false">AJ5/AJ$20</f>
        <v>0.0432185788461598</v>
      </c>
      <c r="AK28" s="117" t="n">
        <f aca="false">AK5/AK$20</f>
        <v>0.0519768854875716</v>
      </c>
      <c r="AL28" s="117" t="n">
        <f aca="false">AL5/AL$20</f>
        <v>0.0489057149251059</v>
      </c>
      <c r="AM28" s="117" t="n">
        <f aca="false">AM5/AM$20</f>
        <v>0.0510227912470392</v>
      </c>
      <c r="AN28" s="178" t="n">
        <f aca="false">AN5/AN$20</f>
        <v>0.0528713608062691</v>
      </c>
      <c r="AO28" s="177" t="n">
        <f aca="false">AO5/AO$20</f>
        <v>0.0564353158354949</v>
      </c>
      <c r="AP28" s="117" t="n">
        <f aca="false">AP5/AP$20</f>
        <v>0.0675006376464724</v>
      </c>
      <c r="AQ28" s="117" t="n">
        <f aca="false">AQ5/AQ$20</f>
        <v>0.0650925759736521</v>
      </c>
    </row>
    <row r="29" customFormat="false" ht="12.8" hidden="false" customHeight="false" outlineLevel="0" collapsed="false">
      <c r="A29" s="139" t="s">
        <v>188</v>
      </c>
      <c r="B29" s="118" t="n">
        <f aca="false">B6/B$20</f>
        <v>0.0435488425272528</v>
      </c>
      <c r="C29" s="118" t="n">
        <f aca="false">C6/C$20</f>
        <v>0.0431602223466006</v>
      </c>
      <c r="D29" s="117" t="n">
        <f aca="false">D6/D$20</f>
        <v>0.0431602223466006</v>
      </c>
      <c r="E29" s="79" t="n">
        <f aca="false">E6/E$20</f>
        <v>0.0435905881240874</v>
      </c>
      <c r="F29" s="117" t="n">
        <f aca="false">F6/F$20</f>
        <v>0.0447345182029872</v>
      </c>
      <c r="G29" s="79" t="n">
        <f aca="false">G6/G$20</f>
        <v>0.0478576290752493</v>
      </c>
      <c r="H29" s="117" t="n">
        <f aca="false">H6/H$20</f>
        <v>0.0481669342869467</v>
      </c>
      <c r="I29" s="176" t="n">
        <f aca="false">I6/I$20</f>
        <v>0.0461415202667926</v>
      </c>
      <c r="J29" s="177" t="n">
        <f aca="false">J6/J$20</f>
        <v>0.0469269472001963</v>
      </c>
      <c r="K29" s="79" t="n">
        <f aca="false">K6/K$20</f>
        <v>0.0446246695474509</v>
      </c>
      <c r="L29" s="117" t="n">
        <f aca="false">L6/L$20</f>
        <v>0.0444907360494861</v>
      </c>
      <c r="M29" s="79" t="n">
        <f aca="false">M6/M$20</f>
        <v>0.0444611433610086</v>
      </c>
      <c r="N29" s="79" t="n">
        <f aca="false">N6/N$20</f>
        <v>0.0449221412021508</v>
      </c>
      <c r="O29" s="117" t="n">
        <f aca="false">O6/O$20</f>
        <v>0.0473200631672042</v>
      </c>
      <c r="P29" s="178" t="n">
        <f aca="false">P6/P$20</f>
        <v>0.0466814285628691</v>
      </c>
      <c r="Q29" s="177" t="n">
        <f aca="false">Q6/Q$20</f>
        <v>0.0452328669422705</v>
      </c>
      <c r="R29" s="117" t="n">
        <f aca="false">R6/R$20</f>
        <v>0.0435686210700426</v>
      </c>
      <c r="S29" s="79" t="n">
        <f aca="false">S6/S$20</f>
        <v>0.0433296300547191</v>
      </c>
      <c r="T29" s="117" t="n">
        <f aca="false">T6/T$20</f>
        <v>0.0378962940310431</v>
      </c>
      <c r="U29" s="117" t="n">
        <f aca="false">U6/U$20</f>
        <v>0.0378113992829216</v>
      </c>
      <c r="V29" s="79" t="n">
        <f aca="false">V6/V$20</f>
        <v>0.0381980978432556</v>
      </c>
      <c r="W29" s="79" t="n">
        <f aca="false">W6/W$20</f>
        <v>0.0383146382681769</v>
      </c>
      <c r="X29" s="176" t="n">
        <f aca="false">X6/X$20</f>
        <v>0.0382581732464445</v>
      </c>
      <c r="Y29" s="177" t="n">
        <f aca="false">Y6/Y$20</f>
        <v>0.0408132296980835</v>
      </c>
      <c r="Z29" s="117" t="n">
        <f aca="false">Z6/Z$20</f>
        <v>0.0401744722407855</v>
      </c>
      <c r="AA29" s="79" t="n">
        <f aca="false">AA6/AA$20</f>
        <v>0.0405889830740987</v>
      </c>
      <c r="AB29" s="117" t="n">
        <f aca="false">AB6/AB$20</f>
        <v>0.0426336308020321</v>
      </c>
      <c r="AC29" s="178" t="n">
        <f aca="false">AC6/AC$20</f>
        <v>0.0418248279248992</v>
      </c>
      <c r="AD29" s="177" t="n">
        <f aca="false">AD6/AD$20</f>
        <v>0.0403424556891506</v>
      </c>
      <c r="AE29" s="117" t="n">
        <f aca="false">AE6/AE$20</f>
        <v>0.0410242571182817</v>
      </c>
      <c r="AF29" s="79" t="n">
        <f aca="false">AF6/AF$20</f>
        <v>0.041694905302668</v>
      </c>
      <c r="AG29" s="117" t="n">
        <f aca="false">AG6/AG$20</f>
        <v>0.0444468206665915</v>
      </c>
      <c r="AH29" s="117" t="n">
        <f aca="false">AH6/AH$20</f>
        <v>0.0473592815828444</v>
      </c>
      <c r="AI29" s="176" t="n">
        <f aca="false">AI6/AI$20</f>
        <v>0.0477751897573928</v>
      </c>
      <c r="AJ29" s="177" t="n">
        <f aca="false">AJ6/AJ$20</f>
        <v>0.0492209222130256</v>
      </c>
      <c r="AK29" s="117" t="n">
        <f aca="false">AK6/AK$20</f>
        <v>0.0489554881266514</v>
      </c>
      <c r="AL29" s="117" t="n">
        <f aca="false">AL6/AL$20</f>
        <v>0.0465867561355424</v>
      </c>
      <c r="AM29" s="117" t="n">
        <f aca="false">AM6/AM$20</f>
        <v>0.0494299080367129</v>
      </c>
      <c r="AN29" s="178" t="n">
        <f aca="false">AN6/AN$20</f>
        <v>0.0488925503233361</v>
      </c>
      <c r="AO29" s="177" t="n">
        <f aca="false">AO6/AO$20</f>
        <v>0.0440212901237602</v>
      </c>
      <c r="AP29" s="117" t="n">
        <f aca="false">AP6/AP$20</f>
        <v>0.0417528830444729</v>
      </c>
      <c r="AQ29" s="117" t="n">
        <f aca="false">AQ6/AQ$20</f>
        <v>0.0436964312370426</v>
      </c>
    </row>
    <row r="30" customFormat="false" ht="12.8" hidden="false" customHeight="false" outlineLevel="0" collapsed="false">
      <c r="A30" s="139" t="s">
        <v>190</v>
      </c>
      <c r="B30" s="118" t="n">
        <f aca="false">B7/B$20</f>
        <v>0.0330884783984345</v>
      </c>
      <c r="C30" s="118" t="n">
        <f aca="false">C7/C$20</f>
        <v>0.0328027122122556</v>
      </c>
      <c r="D30" s="117" t="n">
        <f aca="false">D7/D$20</f>
        <v>0.0328027122122556</v>
      </c>
      <c r="E30" s="79" t="n">
        <f aca="false">E7/E$20</f>
        <v>0.0331297996084125</v>
      </c>
      <c r="F30" s="117" t="n">
        <f aca="false">F7/F$20</f>
        <v>0.0339992114679658</v>
      </c>
      <c r="G30" s="79" t="n">
        <f aca="false">G7/G$20</f>
        <v>0.0372746634376923</v>
      </c>
      <c r="H30" s="117" t="n">
        <f aca="false">H7/H$20</f>
        <v>0.0364229159760126</v>
      </c>
      <c r="I30" s="176" t="n">
        <f aca="false">I7/I$20</f>
        <v>0.0371792930648878</v>
      </c>
      <c r="J30" s="177" t="n">
        <f aca="false">J7/J$20</f>
        <v>0.0341730694508558</v>
      </c>
      <c r="K30" s="79" t="n">
        <f aca="false">K7/K$20</f>
        <v>0.0325044531486396</v>
      </c>
      <c r="L30" s="117" t="n">
        <f aca="false">L7/L$20</f>
        <v>0.0343110830699151</v>
      </c>
      <c r="M30" s="79" t="n">
        <f aca="false">M7/M$20</f>
        <v>0.0342882613033459</v>
      </c>
      <c r="N30" s="79" t="n">
        <f aca="false">N7/N$20</f>
        <v>0.0350145302861098</v>
      </c>
      <c r="O30" s="117" t="n">
        <f aca="false">O7/O$20</f>
        <v>0.0367469370587673</v>
      </c>
      <c r="P30" s="178" t="n">
        <f aca="false">P7/P$20</f>
        <v>0.0385258437107726</v>
      </c>
      <c r="Q30" s="177" t="n">
        <f aca="false">Q7/Q$20</f>
        <v>0.038829812667492</v>
      </c>
      <c r="R30" s="117" t="n">
        <f aca="false">R7/R$20</f>
        <v>0.0408861166445342</v>
      </c>
      <c r="S30" s="79" t="n">
        <f aca="false">S7/S$20</f>
        <v>0.0406643047239124</v>
      </c>
      <c r="T30" s="117" t="n">
        <f aca="false">T7/T$20</f>
        <v>0.0368429794132045</v>
      </c>
      <c r="U30" s="117" t="n">
        <f aca="false">U7/U$20</f>
        <v>0.0334854228857606</v>
      </c>
      <c r="V30" s="79" t="n">
        <f aca="false">V7/V$20</f>
        <v>0.037928228561261</v>
      </c>
      <c r="W30" s="79" t="n">
        <f aca="false">W7/W$20</f>
        <v>0.0380439456289323</v>
      </c>
      <c r="X30" s="176" t="n">
        <f aca="false">X7/X$20</f>
        <v>0.0379878795321657</v>
      </c>
      <c r="Y30" s="177" t="n">
        <f aca="false">Y7/Y$20</f>
        <v>0.0405139318571597</v>
      </c>
      <c r="Z30" s="117" t="n">
        <f aca="false">Z7/Z$20</f>
        <v>0.0413779010766033</v>
      </c>
      <c r="AA30" s="79" t="n">
        <f aca="false">AA7/AA$20</f>
        <v>0.038518642532573</v>
      </c>
      <c r="AB30" s="117" t="n">
        <f aca="false">AB7/AB$20</f>
        <v>0.0417493635715868</v>
      </c>
      <c r="AC30" s="178" t="n">
        <f aca="false">AC7/AC$20</f>
        <v>0.0425956295789693</v>
      </c>
      <c r="AD30" s="177" t="n">
        <f aca="false">AD7/AD$20</f>
        <v>0.0436565131534698</v>
      </c>
      <c r="AE30" s="117" t="n">
        <f aca="false">AE7/AE$20</f>
        <v>0.0436379963189551</v>
      </c>
      <c r="AF30" s="79" t="n">
        <f aca="false">AF7/AF$20</f>
        <v>0.0443513728687652</v>
      </c>
      <c r="AG30" s="117" t="n">
        <f aca="false">AG7/AG$20</f>
        <v>0.0436520645831901</v>
      </c>
      <c r="AH30" s="117" t="n">
        <f aca="false">AH7/AH$20</f>
        <v>0.053314035715663</v>
      </c>
      <c r="AI30" s="176" t="n">
        <f aca="false">AI7/AI$20</f>
        <v>0.0486021860637779</v>
      </c>
      <c r="AJ30" s="177" t="n">
        <f aca="false">AJ7/AJ$20</f>
        <v>0.0520738109941614</v>
      </c>
      <c r="AK30" s="117" t="n">
        <f aca="false">AK7/AK$20</f>
        <v>0.0518940516069626</v>
      </c>
      <c r="AL30" s="117" t="n">
        <f aca="false">AL7/AL$20</f>
        <v>0.0527392714343653</v>
      </c>
      <c r="AM30" s="117" t="n">
        <f aca="false">AM7/AM$20</f>
        <v>0.0545220097295272</v>
      </c>
      <c r="AN30" s="178" t="n">
        <f aca="false">AN7/AN$20</f>
        <v>0.0583877582207488</v>
      </c>
      <c r="AO30" s="177" t="n">
        <f aca="false">AO7/AO$20</f>
        <v>0.0621908810688011</v>
      </c>
      <c r="AP30" s="117" t="n">
        <f aca="false">AP7/AP$20</f>
        <v>0.0596014397644333</v>
      </c>
      <c r="AQ30" s="117" t="n">
        <f aca="false">AQ7/AQ$20</f>
        <v>0.0585722203918276</v>
      </c>
    </row>
    <row r="31" customFormat="false" ht="12.8" hidden="false" customHeight="false" outlineLevel="0" collapsed="false">
      <c r="A31" s="139" t="s">
        <v>191</v>
      </c>
      <c r="B31" s="118" t="n">
        <f aca="false">B8/B$20</f>
        <v>0.0278709996569528</v>
      </c>
      <c r="C31" s="118" t="n">
        <f aca="false">C8/C$20</f>
        <v>0.0301149003309894</v>
      </c>
      <c r="D31" s="117" t="n">
        <f aca="false">D8/D$20</f>
        <v>0.0301149003309894</v>
      </c>
      <c r="E31" s="79" t="n">
        <f aca="false">E8/E$20</f>
        <v>0.0295915065259426</v>
      </c>
      <c r="F31" s="117" t="n">
        <f aca="false">F8/F$20</f>
        <v>0.0306748125241502</v>
      </c>
      <c r="G31" s="79" t="n">
        <f aca="false">G8/G$20</f>
        <v>0.0324843201309841</v>
      </c>
      <c r="H31" s="117" t="n">
        <f aca="false">H8/H$20</f>
        <v>0.0317750601155141</v>
      </c>
      <c r="I31" s="176" t="n">
        <f aca="false">I8/I$20</f>
        <v>0.0324349174285539</v>
      </c>
      <c r="J31" s="177" t="n">
        <f aca="false">J8/J$20</f>
        <v>0.0352078814531223</v>
      </c>
      <c r="K31" s="79" t="n">
        <f aca="false">K8/K$20</f>
        <v>0.0311050927026449</v>
      </c>
      <c r="L31" s="117" t="n">
        <f aca="false">L8/L$20</f>
        <v>0.0366628405588559</v>
      </c>
      <c r="M31" s="79" t="n">
        <f aca="false">M8/M$20</f>
        <v>0.0366384545379514</v>
      </c>
      <c r="N31" s="79" t="n">
        <f aca="false">N8/N$20</f>
        <v>0.037293811655333</v>
      </c>
      <c r="O31" s="117" t="n">
        <f aca="false">O8/O$20</f>
        <v>0.0393978477316474</v>
      </c>
      <c r="P31" s="178" t="n">
        <f aca="false">P8/P$20</f>
        <v>0.0323944698543436</v>
      </c>
      <c r="Q31" s="177" t="n">
        <f aca="false">Q8/Q$20</f>
        <v>0.0314750362115537</v>
      </c>
      <c r="R31" s="117" t="n">
        <f aca="false">R8/R$20</f>
        <v>0.0291441019857176</v>
      </c>
      <c r="S31" s="79" t="n">
        <f aca="false">S8/S$20</f>
        <v>0.0291504437992744</v>
      </c>
      <c r="T31" s="117" t="n">
        <f aca="false">T8/T$20</f>
        <v>0.0261833666256947</v>
      </c>
      <c r="U31" s="117" t="n">
        <f aca="false">U8/U$20</f>
        <v>0.0247411922036715</v>
      </c>
      <c r="V31" s="79" t="n">
        <f aca="false">V8/V$20</f>
        <v>0.0245156085313292</v>
      </c>
      <c r="W31" s="79" t="n">
        <f aca="false">W8/W$20</f>
        <v>0.0245904043875828</v>
      </c>
      <c r="X31" s="176" t="n">
        <f aca="false">X8/X$20</f>
        <v>0.0245541650341421</v>
      </c>
      <c r="Y31" s="177" t="n">
        <f aca="false">Y8/Y$20</f>
        <v>0.0267053846078889</v>
      </c>
      <c r="Z31" s="117" t="n">
        <f aca="false">Z8/Z$20</f>
        <v>0.0251940427074396</v>
      </c>
      <c r="AA31" s="79" t="n">
        <f aca="false">AA8/AA$20</f>
        <v>0.025993996468323</v>
      </c>
      <c r="AB31" s="117" t="n">
        <f aca="false">AB8/AB$20</f>
        <v>0.0256136720465415</v>
      </c>
      <c r="AC31" s="178" t="n">
        <f aca="false">AC8/AC$20</f>
        <v>0.0243394331908438</v>
      </c>
      <c r="AD31" s="177" t="n">
        <f aca="false">AD8/AD$20</f>
        <v>0.0267658247385225</v>
      </c>
      <c r="AE31" s="117" t="n">
        <f aca="false">AE8/AE$20</f>
        <v>0.0279656973148241</v>
      </c>
      <c r="AF31" s="79" t="n">
        <f aca="false">AF8/AF$20</f>
        <v>0.0267634503542667</v>
      </c>
      <c r="AG31" s="117" t="n">
        <f aca="false">AG8/AG$20</f>
        <v>0.0204804814634591</v>
      </c>
      <c r="AH31" s="117" t="n">
        <f aca="false">AH8/AH$20</f>
        <v>0.029171518064154</v>
      </c>
      <c r="AI31" s="176" t="n">
        <f aca="false">AI8/AI$20</f>
        <v>0.0299894496894792</v>
      </c>
      <c r="AJ31" s="177" t="n">
        <f aca="false">AJ8/AJ$20</f>
        <v>0.0303091847180039</v>
      </c>
      <c r="AK31" s="117" t="n">
        <f aca="false">AK8/AK$20</f>
        <v>0.0327146771105181</v>
      </c>
      <c r="AL31" s="117" t="n">
        <f aca="false">AL8/AL$20</f>
        <v>0.0325687111309255</v>
      </c>
      <c r="AM31" s="117" t="n">
        <f aca="false">AM8/AM$20</f>
        <v>0.032820031676382</v>
      </c>
      <c r="AN31" s="178" t="n">
        <f aca="false">AN8/AN$20</f>
        <v>0.0303719218018353</v>
      </c>
      <c r="AO31" s="177" t="n">
        <f aca="false">AO8/AO$20</f>
        <v>0.0321786648725275</v>
      </c>
      <c r="AP31" s="117" t="n">
        <f aca="false">AP8/AP$20</f>
        <v>0.0305873988935127</v>
      </c>
      <c r="AQ31" s="117" t="n">
        <f aca="false">AQ8/AQ$20</f>
        <v>0.0307273500320506</v>
      </c>
    </row>
    <row r="32" customFormat="false" ht="12.8" hidden="false" customHeight="false" outlineLevel="0" collapsed="false">
      <c r="A32" s="139" t="s">
        <v>192</v>
      </c>
      <c r="B32" s="118" t="n">
        <f aca="false">B9/B$20</f>
        <v>0.0233159916957141</v>
      </c>
      <c r="C32" s="118" t="n">
        <f aca="false">C9/C$20</f>
        <v>0.0231074935419489</v>
      </c>
      <c r="D32" s="179" t="n">
        <f aca="false">D9/D$20</f>
        <v>0.0231074935419489</v>
      </c>
      <c r="E32" s="118" t="n">
        <f aca="false">E9/E$20</f>
        <v>0.0233379064982143</v>
      </c>
      <c r="F32" s="179" t="n">
        <f aca="false">F9/F$20</f>
        <v>0.0239503536885542</v>
      </c>
      <c r="G32" s="118" t="n">
        <f aca="false">G9/G$20</f>
        <v>0.0256425535408794</v>
      </c>
      <c r="H32" s="179" t="n">
        <f aca="false">H9/H$20</f>
        <v>0.0250628484590315</v>
      </c>
      <c r="I32" s="176" t="n">
        <f aca="false">I9/I$20</f>
        <v>0.0260392568117196</v>
      </c>
      <c r="J32" s="177" t="n">
        <f aca="false">J9/J$20</f>
        <v>0.0264781597313831</v>
      </c>
      <c r="K32" s="118" t="n">
        <f aca="false">K9/K$20</f>
        <v>0.0266718712059845</v>
      </c>
      <c r="L32" s="179" t="n">
        <f aca="false">L9/L$20</f>
        <v>0.0265902683766802</v>
      </c>
      <c r="M32" s="118" t="n">
        <f aca="false">M9/M$20</f>
        <v>0.0265725820536729</v>
      </c>
      <c r="N32" s="118" t="n">
        <f aca="false">N9/N$20</f>
        <v>0.0271354231370045</v>
      </c>
      <c r="O32" s="179" t="n">
        <f aca="false">O9/O$20</f>
        <v>0.0285738728554418</v>
      </c>
      <c r="P32" s="178" t="n">
        <f aca="false">P9/P$20</f>
        <v>0.028980720718424</v>
      </c>
      <c r="Q32" s="177" t="n">
        <f aca="false">Q9/Q$20</f>
        <v>0.0291818485965394</v>
      </c>
      <c r="R32" s="179" t="n">
        <f aca="false">R9/R$20</f>
        <v>0.030360129396735</v>
      </c>
      <c r="S32" s="118" t="n">
        <f aca="false">S9/S$20</f>
        <v>0.0301935921510826</v>
      </c>
      <c r="T32" s="179" t="n">
        <f aca="false">T9/T$20</f>
        <v>0.028116120759057</v>
      </c>
      <c r="U32" s="179" t="n">
        <f aca="false">U9/U$20</f>
        <v>0.0262445008400537</v>
      </c>
      <c r="V32" s="118" t="n">
        <f aca="false">V9/V$20</f>
        <v>0.0276757509880676</v>
      </c>
      <c r="W32" s="118" t="n">
        <f aca="false">W9/W$20</f>
        <v>0.0277601882758456</v>
      </c>
      <c r="X32" s="176" t="n">
        <f aca="false">X9/X$20</f>
        <v>0.0277192775507249</v>
      </c>
      <c r="Y32" s="177" t="n">
        <f aca="false">Y9/Y$20</f>
        <v>0.0297444422708649</v>
      </c>
      <c r="Z32" s="179" t="n">
        <f aca="false">Z9/Z$20</f>
        <v>0.0307556908691474</v>
      </c>
      <c r="AA32" s="118" t="n">
        <f aca="false">AA9/AA$20</f>
        <v>0.0314494179240236</v>
      </c>
      <c r="AB32" s="179" t="n">
        <f aca="false">AB9/AB$20</f>
        <v>0.0362406779380062</v>
      </c>
      <c r="AC32" s="178" t="n">
        <f aca="false">AC9/AC$20</f>
        <v>0.0380963053658418</v>
      </c>
      <c r="AD32" s="177" t="n">
        <f aca="false">AD9/AD$20</f>
        <v>0.0366173198903789</v>
      </c>
      <c r="AE32" s="179" t="n">
        <f aca="false">AE9/AE$20</f>
        <v>0.0372278942110564</v>
      </c>
      <c r="AF32" s="118" t="n">
        <f aca="false">AF9/AF$20</f>
        <v>0.0384567511494268</v>
      </c>
      <c r="AG32" s="179" t="n">
        <f aca="false">AG9/AG$20</f>
        <v>0.0374138856280944</v>
      </c>
      <c r="AH32" s="179" t="n">
        <f aca="false">AH9/AH$20</f>
        <v>0.0341865901174237</v>
      </c>
      <c r="AI32" s="176" t="n">
        <f aca="false">AI9/AI$20</f>
        <v>0.0431392703686607</v>
      </c>
      <c r="AJ32" s="177" t="n">
        <f aca="false">AJ9/AJ$20</f>
        <v>0.0426470346232682</v>
      </c>
      <c r="AK32" s="179" t="n">
        <f aca="false">AK9/AK$20</f>
        <v>0.045007930964266</v>
      </c>
      <c r="AL32" s="179" t="n">
        <f aca="false">AL9/AL$20</f>
        <v>0.0457409937038934</v>
      </c>
      <c r="AM32" s="179" t="n">
        <f aca="false">AM9/AM$20</f>
        <v>0.0464071494049569</v>
      </c>
      <c r="AN32" s="178" t="n">
        <f aca="false">AN9/AN$20</f>
        <v>0.0452477507618619</v>
      </c>
      <c r="AO32" s="177" t="n">
        <f aca="false">AO9/AO$20</f>
        <v>0.0416362380425859</v>
      </c>
      <c r="AP32" s="179" t="n">
        <f aca="false">AP9/AP$20</f>
        <v>0.0365421586744401</v>
      </c>
      <c r="AQ32" s="179" t="n">
        <f aca="false">AQ9/AQ$20</f>
        <v>0.0364917339918649</v>
      </c>
    </row>
    <row r="33" customFormat="false" ht="12.8" hidden="false" customHeight="false" outlineLevel="0" collapsed="false">
      <c r="A33" s="139" t="s">
        <v>193</v>
      </c>
      <c r="B33" s="118" t="n">
        <f aca="false">B10/B$20</f>
        <v>0.0206916430541389</v>
      </c>
      <c r="C33" s="118" t="n">
        <f aca="false">C10/C$20</f>
        <v>0.0205069954356251</v>
      </c>
      <c r="D33" s="117" t="n">
        <f aca="false">D10/D$20</f>
        <v>0.0205069954356251</v>
      </c>
      <c r="E33" s="79" t="n">
        <f aca="false">E10/E$20</f>
        <v>0.0207114779094107</v>
      </c>
      <c r="F33" s="117" t="n">
        <f aca="false">F10/F$20</f>
        <v>0.0212550008022792</v>
      </c>
      <c r="G33" s="79" t="n">
        <f aca="false">G10/G$20</f>
        <v>0.0241612522979948</v>
      </c>
      <c r="H33" s="117" t="n">
        <f aca="false">H10/H$20</f>
        <v>0.0243174071556697</v>
      </c>
      <c r="I33" s="176" t="n">
        <f aca="false">I10/I$20</f>
        <v>0.0248223949947958</v>
      </c>
      <c r="J33" s="177" t="n">
        <f aca="false">J10/J$20</f>
        <v>0.0252407871829843</v>
      </c>
      <c r="K33" s="79" t="n">
        <f aca="false">K10/K$20</f>
        <v>0.0254190172338402</v>
      </c>
      <c r="L33" s="117" t="n">
        <f aca="false">L10/L$20</f>
        <v>0.0253427262959469</v>
      </c>
      <c r="M33" s="79" t="n">
        <f aca="false">M10/M$20</f>
        <v>0.0253258697664525</v>
      </c>
      <c r="N33" s="79" t="n">
        <f aca="false">N10/N$20</f>
        <v>0.0258623038979521</v>
      </c>
      <c r="O33" s="117" t="n">
        <f aca="false">O10/O$20</f>
        <v>0.0272332655215215</v>
      </c>
      <c r="P33" s="178" t="n">
        <f aca="false">P10/P$20</f>
        <v>0.0267455036701778</v>
      </c>
      <c r="Q33" s="177" t="n">
        <f aca="false">Q10/Q$20</f>
        <v>0.026171384202657</v>
      </c>
      <c r="R33" s="117" t="n">
        <f aca="false">R10/R$20</f>
        <v>0.0267238866587415</v>
      </c>
      <c r="S33" s="79" t="n">
        <f aca="false">S10/S$20</f>
        <v>0.0265772956340751</v>
      </c>
      <c r="T33" s="117" t="n">
        <f aca="false">T10/T$20</f>
        <v>0.0240797614161364</v>
      </c>
      <c r="U33" s="117" t="n">
        <f aca="false">U10/U$20</f>
        <v>0.0206269294437068</v>
      </c>
      <c r="V33" s="79" t="n">
        <f aca="false">V10/V$20</f>
        <v>0.020837881803875</v>
      </c>
      <c r="W33" s="79" t="n">
        <f aca="false">W10/W$20</f>
        <v>0.0209014571057093</v>
      </c>
      <c r="X33" s="176" t="n">
        <f aca="false">X10/X$20</f>
        <v>0.0208706542250596</v>
      </c>
      <c r="Y33" s="177" t="n">
        <f aca="false">Y10/Y$20</f>
        <v>0.0222644923308196</v>
      </c>
      <c r="Z33" s="117" t="n">
        <f aca="false">Z10/Z$20</f>
        <v>0.0247455654494254</v>
      </c>
      <c r="AA33" s="79" t="n">
        <f aca="false">AA10/AA$20</f>
        <v>0.0253037277847639</v>
      </c>
      <c r="AB33" s="117" t="n">
        <f aca="false">AB10/AB$20</f>
        <v>0.0274268531353419</v>
      </c>
      <c r="AC33" s="178" t="n">
        <f aca="false">AC10/AC$20</f>
        <v>0.0279827996579306</v>
      </c>
      <c r="AD33" s="177" t="n">
        <f aca="false">AD10/AD$20</f>
        <v>0.0299833615971717</v>
      </c>
      <c r="AE33" s="117" t="n">
        <f aca="false">AE10/AE$20</f>
        <v>0.0399111485633304</v>
      </c>
      <c r="AF33" s="79" t="n">
        <f aca="false">AF10/AF$20</f>
        <v>0.0405636000932532</v>
      </c>
      <c r="AG33" s="117" t="n">
        <f aca="false">AG10/AG$20</f>
        <v>0.0411217358056514</v>
      </c>
      <c r="AH33" s="117" t="n">
        <f aca="false">AH10/AH$20</f>
        <v>0.04181984516682</v>
      </c>
      <c r="AI33" s="176" t="n">
        <f aca="false">AI10/AI$20</f>
        <v>0.0381238424117092</v>
      </c>
      <c r="AJ33" s="177" t="n">
        <f aca="false">AJ10/AJ$20</f>
        <v>0.035406046349283</v>
      </c>
      <c r="AK33" s="117" t="n">
        <f aca="false">AK10/AK$20</f>
        <v>0.0366237163360889</v>
      </c>
      <c r="AL33" s="117" t="n">
        <f aca="false">AL10/AL$20</f>
        <v>0.0372202219131612</v>
      </c>
      <c r="AM33" s="117" t="n">
        <f aca="false">AM10/AM$20</f>
        <v>0.0357626992183089</v>
      </c>
      <c r="AN33" s="178" t="n">
        <f aca="false">AN10/AN$20</f>
        <v>0.0353739191651099</v>
      </c>
      <c r="AO33" s="177" t="n">
        <f aca="false">AO10/AO$20</f>
        <v>0.0376480011782441</v>
      </c>
      <c r="AP33" s="117" t="n">
        <f aca="false">AP10/AP$20</f>
        <v>0.0357080082304306</v>
      </c>
      <c r="AQ33" s="117" t="n">
        <f aca="false">AQ10/AQ$20</f>
        <v>0.0366921875473186</v>
      </c>
    </row>
    <row r="34" customFormat="false" ht="12.8" hidden="false" customHeight="false" outlineLevel="0" collapsed="false">
      <c r="A34" s="139" t="s">
        <v>194</v>
      </c>
      <c r="B34" s="118" t="n">
        <f aca="false">B11/B$20</f>
        <v>0.0194595128741366</v>
      </c>
      <c r="C34" s="118" t="n">
        <f aca="false">C11/C$20</f>
        <v>0.0192858605111876</v>
      </c>
      <c r="D34" s="117" t="n">
        <f aca="false">D11/D$20</f>
        <v>0.0192858605111876</v>
      </c>
      <c r="E34" s="79" t="n">
        <f aca="false">E11/E$20</f>
        <v>0.0194781666185739</v>
      </c>
      <c r="F34" s="117" t="n">
        <f aca="false">F11/F$20</f>
        <v>0.0199893242247383</v>
      </c>
      <c r="G34" s="79" t="n">
        <f aca="false">G11/G$20</f>
        <v>0.0220428615743131</v>
      </c>
      <c r="H34" s="117" t="n">
        <f aca="false">H11/H$20</f>
        <v>0.0221853252127632</v>
      </c>
      <c r="I34" s="176" t="n">
        <f aca="false">I11/I$20</f>
        <v>0.0213521821110393</v>
      </c>
      <c r="J34" s="177" t="n">
        <f aca="false">J11/J$20</f>
        <v>0.0217120823623208</v>
      </c>
      <c r="K34" s="79" t="n">
        <f aca="false">K11/K$20</f>
        <v>0.0212285393689732</v>
      </c>
      <c r="L34" s="117" t="n">
        <f aca="false">L11/L$20</f>
        <v>0.0211648254510169</v>
      </c>
      <c r="M34" s="79" t="n">
        <f aca="false">M11/M$20</f>
        <v>0.0211507478217874</v>
      </c>
      <c r="N34" s="79" t="n">
        <f aca="false">N11/N$20</f>
        <v>0.0215987475605122</v>
      </c>
      <c r="O34" s="117" t="n">
        <f aca="false">O11/O$20</f>
        <v>0.0227436979152627</v>
      </c>
      <c r="P34" s="178" t="n">
        <f aca="false">P11/P$20</f>
        <v>0.0223544180163696</v>
      </c>
      <c r="Q34" s="177" t="n">
        <f aca="false">Q11/Q$20</f>
        <v>0.022530794403439</v>
      </c>
      <c r="R34" s="117" t="n">
        <f aca="false">R11/R$20</f>
        <v>0.0230064405958239</v>
      </c>
      <c r="S34" s="79" t="n">
        <f aca="false">S11/S$20</f>
        <v>0.0228802412243052</v>
      </c>
      <c r="T34" s="117" t="n">
        <f aca="false">T11/T$20</f>
        <v>0.0207301283550662</v>
      </c>
      <c r="U34" s="117" t="n">
        <f aca="false">U11/U$20</f>
        <v>0.0188409603539475</v>
      </c>
      <c r="V34" s="79" t="n">
        <f aca="false">V11/V$20</f>
        <v>0.0190336475430586</v>
      </c>
      <c r="W34" s="79" t="n">
        <f aca="false">W11/W$20</f>
        <v>0.0190917182192889</v>
      </c>
      <c r="X34" s="176" t="n">
        <f aca="false">X11/X$20</f>
        <v>0.0190635823857567</v>
      </c>
      <c r="Y34" s="177" t="n">
        <f aca="false">Y11/Y$20</f>
        <v>0.02033673593787</v>
      </c>
      <c r="Z34" s="117" t="n">
        <f aca="false">Z11/Z$20</f>
        <v>0.0202727821330117</v>
      </c>
      <c r="AA34" s="79" t="n">
        <f aca="false">AA11/AA$20</f>
        <v>0.0207300561218522</v>
      </c>
      <c r="AB34" s="117" t="n">
        <f aca="false">AB11/AB$20</f>
        <v>0.0255764037099645</v>
      </c>
      <c r="AC34" s="178" t="n">
        <f aca="false">AC11/AC$20</f>
        <v>0.0260948413386895</v>
      </c>
      <c r="AD34" s="177" t="n">
        <f aca="false">AD11/AD$20</f>
        <v>0.0279604283075018</v>
      </c>
      <c r="AE34" s="117" t="n">
        <f aca="false">AE11/AE$20</f>
        <v>0.025920698952111</v>
      </c>
      <c r="AF34" s="79" t="n">
        <f aca="false">AF11/AF$20</f>
        <v>0.026344440194765</v>
      </c>
      <c r="AG34" s="117" t="n">
        <f aca="false">AG11/AG$20</f>
        <v>0.026706927076157</v>
      </c>
      <c r="AH34" s="117" t="n">
        <f aca="false">AH11/AH$20</f>
        <v>0.0271603212589325</v>
      </c>
      <c r="AI34" s="176" t="n">
        <f aca="false">AI11/AI$20</f>
        <v>0.0247599149015614</v>
      </c>
      <c r="AJ34" s="177" t="n">
        <f aca="false">AJ11/AJ$20</f>
        <v>0.0244773947044585</v>
      </c>
      <c r="AK34" s="117" t="n">
        <f aca="false">AK11/AK$20</f>
        <v>0.0253192110595745</v>
      </c>
      <c r="AL34" s="117" t="n">
        <f aca="false">AL11/AL$20</f>
        <v>0.025731595495537</v>
      </c>
      <c r="AM34" s="117" t="n">
        <f aca="false">AM11/AM$20</f>
        <v>0.025564575538479</v>
      </c>
      <c r="AN34" s="178" t="n">
        <f aca="false">AN11/AN$20</f>
        <v>0.025286660357156</v>
      </c>
      <c r="AO34" s="177" t="n">
        <f aca="false">AO11/AO$20</f>
        <v>0.0283456994534011</v>
      </c>
      <c r="AP34" s="117" t="n">
        <f aca="false">AP11/AP$20</f>
        <v>0.0268850520001648</v>
      </c>
      <c r="AQ34" s="117" t="n">
        <f aca="false">AQ11/AQ$20</f>
        <v>0.02760824241562</v>
      </c>
    </row>
    <row r="35" customFormat="false" ht="12.8" hidden="false" customHeight="false" outlineLevel="0" collapsed="false">
      <c r="A35" s="139" t="s">
        <v>195</v>
      </c>
      <c r="B35" s="118" t="n">
        <f aca="false">B12/B$20</f>
        <v>0.0186522935968833</v>
      </c>
      <c r="C35" s="118" t="n">
        <f aca="false">C12/C$20</f>
        <v>0.0182939690671184</v>
      </c>
      <c r="D35" s="117" t="n">
        <f aca="false">D12/D$20</f>
        <v>0.0182939690671184</v>
      </c>
      <c r="E35" s="79" t="n">
        <f aca="false">E12/E$20</f>
        <v>0.0184560829843019</v>
      </c>
      <c r="F35" s="117" t="n">
        <f aca="false">F12/F$20</f>
        <v>0.0208325662699416</v>
      </c>
      <c r="G35" s="79" t="n">
        <f aca="false">G12/G$20</f>
        <v>0.0209070861382355</v>
      </c>
      <c r="H35" s="117" t="n">
        <f aca="false">H12/H$20</f>
        <v>0.0210211880398456</v>
      </c>
      <c r="I35" s="176" t="n">
        <f aca="false">I12/I$20</f>
        <v>0.0214620164349964</v>
      </c>
      <c r="J35" s="177" t="n">
        <f aca="false">J12/J$20</f>
        <v>0.0233467623981521</v>
      </c>
      <c r="K35" s="79" t="n">
        <f aca="false">K12/K$20</f>
        <v>0.0238412205026394</v>
      </c>
      <c r="L35" s="117" t="n">
        <f aca="false">L12/L$20</f>
        <v>0.0237696650583067</v>
      </c>
      <c r="M35" s="79" t="n">
        <f aca="false">M12/M$20</f>
        <v>0.0237538548390174</v>
      </c>
      <c r="N35" s="79" t="n">
        <f aca="false">N12/N$20</f>
        <v>0.0242569916950403</v>
      </c>
      <c r="O35" s="117" t="n">
        <f aca="false">O12/O$20</f>
        <v>0.0258959827000642</v>
      </c>
      <c r="P35" s="178" t="n">
        <f aca="false">P12/P$20</f>
        <v>0.0254527484659139</v>
      </c>
      <c r="Q35" s="177" t="n">
        <f aca="false">Q12/Q$20</f>
        <v>0.02845214203161</v>
      </c>
      <c r="R35" s="117" t="n">
        <f aca="false">R12/R$20</f>
        <v>0.029052793423665</v>
      </c>
      <c r="S35" s="79" t="n">
        <f aca="false">S12/S$20</f>
        <v>0.0288934274297965</v>
      </c>
      <c r="T35" s="117" t="n">
        <f aca="false">T12/T$20</f>
        <v>0.0261782405773417</v>
      </c>
      <c r="U35" s="117" t="n">
        <f aca="false">U12/U$20</f>
        <v>0.0236950672910649</v>
      </c>
      <c r="V35" s="79" t="n">
        <f aca="false">V12/V$20</f>
        <v>0.0239373976089648</v>
      </c>
      <c r="W35" s="79" t="n">
        <f aca="false">W12/W$20</f>
        <v>0.0240104293735387</v>
      </c>
      <c r="X35" s="176" t="n">
        <f aca="false">X12/X$20</f>
        <v>0.0239750447404674</v>
      </c>
      <c r="Y35" s="177" t="n">
        <f aca="false">Y12/Y$20</f>
        <v>0.0255762082970195</v>
      </c>
      <c r="Z35" s="117" t="n">
        <f aca="false">Z12/Z$20</f>
        <v>0.0283328387235477</v>
      </c>
      <c r="AA35" s="79" t="n">
        <f aca="false">AA12/AA$20</f>
        <v>0.0289719157921654</v>
      </c>
      <c r="AB35" s="117" t="n">
        <f aca="false">AB12/AB$20</f>
        <v>0.0313981712063091</v>
      </c>
      <c r="AC35" s="178" t="n">
        <f aca="false">AC12/AC$20</f>
        <v>0.0311684958306239</v>
      </c>
      <c r="AD35" s="177" t="n">
        <f aca="false">AD12/AD$20</f>
        <v>0.033396811339593</v>
      </c>
      <c r="AE35" s="117" t="n">
        <f aca="false">AE12/AE$20</f>
        <v>0.0363964895584651</v>
      </c>
      <c r="AF35" s="79" t="n">
        <f aca="false">AF12/AF$20</f>
        <v>0.0369914848455228</v>
      </c>
      <c r="AG35" s="117" t="n">
        <f aca="false">AG12/AG$20</f>
        <v>0.0375004699627081</v>
      </c>
      <c r="AH35" s="117" t="n">
        <f aca="false">AH12/AH$20</f>
        <v>0.0381371023571409</v>
      </c>
      <c r="AI35" s="176" t="n">
        <f aca="false">AI12/AI$20</f>
        <v>0.0347715157494998</v>
      </c>
      <c r="AJ35" s="177" t="n">
        <f aca="false">AJ12/AJ$20</f>
        <v>0.0318946602221029</v>
      </c>
      <c r="AK35" s="117" t="n">
        <f aca="false">AK12/AK$20</f>
        <v>0.0301484251405743</v>
      </c>
      <c r="AL35" s="117" t="n">
        <f aca="false">AL12/AL$20</f>
        <v>0.0284274701032283</v>
      </c>
      <c r="AM35" s="117" t="n">
        <f aca="false">AM12/AM$20</f>
        <v>0.0274067277461459</v>
      </c>
      <c r="AN35" s="178" t="n">
        <f aca="false">AN12/AN$20</f>
        <v>0.0271768735192928</v>
      </c>
      <c r="AO35" s="177" t="n">
        <f aca="false">AO12/AO$20</f>
        <v>0.0244950122190345</v>
      </c>
      <c r="AP35" s="117" t="n">
        <f aca="false">AP12/AP$20</f>
        <v>0.0226366350875452</v>
      </c>
      <c r="AQ35" s="117" t="n">
        <f aca="false">AQ12/AQ$20</f>
        <v>0.0221780063634708</v>
      </c>
    </row>
    <row r="36" customFormat="false" ht="12.8" hidden="false" customHeight="false" outlineLevel="0" collapsed="false">
      <c r="A36" s="139" t="s">
        <v>196</v>
      </c>
      <c r="B36" s="118" t="n">
        <f aca="false">B13/B$20</f>
        <v>0.0175541623844773</v>
      </c>
      <c r="C36" s="118" t="n">
        <f aca="false">C13/C$20</f>
        <v>0.0174748352250952</v>
      </c>
      <c r="D36" s="117" t="n">
        <f aca="false">D13/D$20</f>
        <v>0.0174748352250952</v>
      </c>
      <c r="E36" s="79" t="n">
        <f aca="false">E13/E$20</f>
        <v>0.0176490829615342</v>
      </c>
      <c r="F36" s="117" t="n">
        <f aca="false">F13/F$20</f>
        <v>0.0181122406690472</v>
      </c>
      <c r="G36" s="79" t="n">
        <f aca="false">G13/G$20</f>
        <v>0.0199729420254416</v>
      </c>
      <c r="H36" s="117" t="n">
        <f aca="false">H13/H$20</f>
        <v>0.0200353174462756</v>
      </c>
      <c r="I36" s="176" t="n">
        <f aca="false">I13/I$20</f>
        <v>0.0204286826621201</v>
      </c>
      <c r="J36" s="177" t="n">
        <f aca="false">J13/J$20</f>
        <v>0.0207730169313397</v>
      </c>
      <c r="K36" s="79" t="n">
        <f aca="false">K13/K$20</f>
        <v>0.0209196991975172</v>
      </c>
      <c r="L36" s="117" t="n">
        <f aca="false">L13/L$20</f>
        <v>0.0208569122117914</v>
      </c>
      <c r="M36" s="79" t="n">
        <f aca="false">M13/M$20</f>
        <v>0.0208430393888064</v>
      </c>
      <c r="N36" s="79" t="n">
        <f aca="false">N13/N$20</f>
        <v>0.0212845214715721</v>
      </c>
      <c r="O36" s="117" t="n">
        <f aca="false">O13/O$20</f>
        <v>0.0224128146904866</v>
      </c>
      <c r="P36" s="178" t="n">
        <f aca="false">P13/P$20</f>
        <v>0.0220965096097626</v>
      </c>
      <c r="Q36" s="177" t="n">
        <f aca="false">Q13/Q$20</f>
        <v>0.0211051931490891</v>
      </c>
      <c r="R36" s="117" t="n">
        <f aca="false">R13/R$20</f>
        <v>0.0220419644853149</v>
      </c>
      <c r="S36" s="79" t="n">
        <f aca="false">S13/S$20</f>
        <v>0.0219210556444406</v>
      </c>
      <c r="T36" s="117" t="n">
        <f aca="false">T13/T$20</f>
        <v>0.0204285392403276</v>
      </c>
      <c r="U36" s="117" t="n">
        <f aca="false">U13/U$20</f>
        <v>0.0185616980522486</v>
      </c>
      <c r="V36" s="79" t="n">
        <f aca="false">V13/V$20</f>
        <v>0.0187515292156089</v>
      </c>
      <c r="W36" s="79" t="n">
        <f aca="false">W13/W$20</f>
        <v>0.0188087391633838</v>
      </c>
      <c r="X36" s="176" t="n">
        <f aca="false">X13/X$20</f>
        <v>0.0187810203615466</v>
      </c>
      <c r="Y36" s="177" t="n">
        <f aca="false">Y13/Y$20</f>
        <v>0.0200353031244486</v>
      </c>
      <c r="Z36" s="117" t="n">
        <f aca="false">Z13/Z$20</f>
        <v>0.0199833960519684</v>
      </c>
      <c r="AA36" s="79" t="n">
        <f aca="false">AA13/AA$20</f>
        <v>0.020434142632448</v>
      </c>
      <c r="AB36" s="117" t="n">
        <f aca="false">AB13/AB$20</f>
        <v>0.0225115738389164</v>
      </c>
      <c r="AC36" s="178" t="n">
        <f aca="false">AC13/AC$20</f>
        <v>0.025377632406133</v>
      </c>
      <c r="AD36" s="177" t="n">
        <f aca="false">AD13/AD$20</f>
        <v>0.020173679249984</v>
      </c>
      <c r="AE36" s="117" t="n">
        <f aca="false">AE13/AE$20</f>
        <v>0.0181122196874802</v>
      </c>
      <c r="AF36" s="79" t="n">
        <f aca="false">AF13/AF$20</f>
        <v>0.0173697395594021</v>
      </c>
      <c r="AG36" s="117" t="n">
        <f aca="false">AG13/AG$20</f>
        <v>0.0176087388578093</v>
      </c>
      <c r="AH36" s="117" t="n">
        <f aca="false">AH13/AH$20</f>
        <v>0.0207729044773884</v>
      </c>
      <c r="AI36" s="176" t="n">
        <f aca="false">AI13/AI$20</f>
        <v>0.0189370126448429</v>
      </c>
      <c r="AJ36" s="177" t="n">
        <f aca="false">AJ13/AJ$20</f>
        <v>0.00948957689607116</v>
      </c>
      <c r="AK36" s="117" t="n">
        <f aca="false">AK13/AK$20</f>
        <v>0.0109845025723288</v>
      </c>
      <c r="AL36" s="117" t="n">
        <f aca="false">AL13/AL$20</f>
        <v>0.0125613830102417</v>
      </c>
      <c r="AM36" s="117" t="n">
        <f aca="false">AM13/AM$20</f>
        <v>0.0158442166476547</v>
      </c>
      <c r="AN36" s="178" t="n">
        <f aca="false">AN13/AN$20</f>
        <v>0.0156719725070889</v>
      </c>
      <c r="AO36" s="177" t="n">
        <f aca="false">AO13/AO$20</f>
        <v>0.0161414284875508</v>
      </c>
      <c r="AP36" s="117" t="n">
        <f aca="false">AP13/AP$20</f>
        <v>0.0185865839894342</v>
      </c>
      <c r="AQ36" s="117" t="n">
        <f aca="false">AQ13/AQ$20</f>
        <v>0.0190865510118944</v>
      </c>
    </row>
    <row r="37" customFormat="false" ht="12.8" hidden="false" customHeight="false" outlineLevel="0" collapsed="false">
      <c r="A37" s="139" t="s">
        <v>197</v>
      </c>
      <c r="B37" s="118" t="n">
        <f aca="false">B14/B$20</f>
        <v>0.015285574871436</v>
      </c>
      <c r="C37" s="118" t="n">
        <f aca="false">C14/C$20</f>
        <v>0.0138054402817249</v>
      </c>
      <c r="D37" s="117" t="n">
        <f aca="false">D14/D$20</f>
        <v>0.0138054402817249</v>
      </c>
      <c r="E37" s="79" t="n">
        <f aca="false">E14/E$20</f>
        <v>0.0139430991888704</v>
      </c>
      <c r="F37" s="117" t="n">
        <f aca="false">F14/F$20</f>
        <v>0.0152629357559484</v>
      </c>
      <c r="G37" s="79" t="n">
        <f aca="false">G14/G$20</f>
        <v>0.0126231923714673</v>
      </c>
      <c r="H37" s="117" t="n">
        <f aca="false">H14/H$20</f>
        <v>0.0127047764211621</v>
      </c>
      <c r="I37" s="176" t="n">
        <f aca="false">I14/I$20</f>
        <v>0.0129686103714855</v>
      </c>
      <c r="J37" s="177" t="n">
        <f aca="false">J14/J$20</f>
        <v>0.0109893349169281</v>
      </c>
      <c r="K37" s="79" t="n">
        <f aca="false">K14/K$20</f>
        <v>0.0110669327234829</v>
      </c>
      <c r="L37" s="117" t="n">
        <f aca="false">L14/L$20</f>
        <v>0.00954416535372894</v>
      </c>
      <c r="M37" s="79" t="n">
        <f aca="false">M14/M$20</f>
        <v>0.00953781712177844</v>
      </c>
      <c r="N37" s="79" t="n">
        <f aca="false">N14/N$20</f>
        <v>0.00973984021876605</v>
      </c>
      <c r="O37" s="117" t="n">
        <f aca="false">O14/O$20</f>
        <v>0.00856062419476975</v>
      </c>
      <c r="P37" s="178" t="n">
        <f aca="false">P14/P$20</f>
        <v>0.00841410101575914</v>
      </c>
      <c r="Q37" s="177" t="n">
        <f aca="false">Q14/Q$20</f>
        <v>0.0098664960640907</v>
      </c>
      <c r="R37" s="117" t="n">
        <f aca="false">R14/R$20</f>
        <v>0.00977494219324999</v>
      </c>
      <c r="S37" s="79" t="n">
        <f aca="false">S14/S$20</f>
        <v>0.00972132279235738</v>
      </c>
      <c r="T37" s="117" t="n">
        <f aca="false">T14/T$20</f>
        <v>0.0086997150464787</v>
      </c>
      <c r="U37" s="117" t="n">
        <f aca="false">U14/U$20</f>
        <v>0.00746489639087707</v>
      </c>
      <c r="V37" s="79" t="n">
        <f aca="false">V14/V$20</f>
        <v>0.00744201331449298</v>
      </c>
      <c r="W37" s="79" t="n">
        <f aca="false">W14/W$20</f>
        <v>0.00746471851299527</v>
      </c>
      <c r="X37" s="176" t="n">
        <f aca="false">X14/X$20</f>
        <v>0.00727482839056518</v>
      </c>
      <c r="Y37" s="177" t="n">
        <f aca="false">Y14/Y$20</f>
        <v>0.0074214103556279</v>
      </c>
      <c r="Z37" s="117" t="n">
        <f aca="false">Z14/Z$20</f>
        <v>0.00739807192850237</v>
      </c>
      <c r="AA37" s="79" t="n">
        <f aca="false">AA14/AA$20</f>
        <v>0.00704620428040364</v>
      </c>
      <c r="AB37" s="117" t="n">
        <f aca="false">AB14/AB$20</f>
        <v>0.00774284504216573</v>
      </c>
      <c r="AC37" s="178" t="n">
        <f aca="false">AC14/AC$20</f>
        <v>0.0089634572990466</v>
      </c>
      <c r="AD37" s="177" t="n">
        <f aca="false">AD14/AD$20</f>
        <v>0.00869507282916191</v>
      </c>
      <c r="AE37" s="117" t="n">
        <f aca="false">AE14/AE$20</f>
        <v>0.0080458853877326</v>
      </c>
      <c r="AF37" s="79" t="n">
        <f aca="false">AF14/AF$20</f>
        <v>0.00817741631129096</v>
      </c>
      <c r="AG37" s="117" t="n">
        <f aca="false">AG14/AG$20</f>
        <v>0.0082899336437759</v>
      </c>
      <c r="AH37" s="117" t="n">
        <f aca="false">AH14/AH$20</f>
        <v>0.00900362703915166</v>
      </c>
      <c r="AI37" s="176" t="n">
        <f aca="false">AI14/AI$20</f>
        <v>0.00820789405138112</v>
      </c>
      <c r="AJ37" s="177" t="n">
        <f aca="false">AJ14/AJ$20</f>
        <v>0.00811423880844452</v>
      </c>
      <c r="AK37" s="117" t="n">
        <f aca="false">AK14/AK$20</f>
        <v>0.00839330032707179</v>
      </c>
      <c r="AL37" s="117" t="n">
        <f aca="false">AL14/AL$20</f>
        <v>0.00877556623574538</v>
      </c>
      <c r="AM37" s="117" t="n">
        <f aca="false">AM14/AM$20</f>
        <v>0.00871860534126421</v>
      </c>
      <c r="AN37" s="178" t="n">
        <f aca="false">AN14/AN$20</f>
        <v>0.00877623373734112</v>
      </c>
      <c r="AO37" s="177" t="n">
        <f aca="false">AO14/AO$20</f>
        <v>0.0086336089666617</v>
      </c>
      <c r="AP37" s="117" t="n">
        <f aca="false">AP14/AP$20</f>
        <v>0.00694800574618135</v>
      </c>
      <c r="AQ37" s="117" t="n">
        <f aca="false">AQ14/AQ$20</f>
        <v>0.00731327514702716</v>
      </c>
    </row>
    <row r="38" customFormat="false" ht="12.8" hidden="false" customHeight="false" outlineLevel="0" collapsed="false">
      <c r="A38" s="139" t="s">
        <v>198</v>
      </c>
      <c r="B38" s="118" t="n">
        <f aca="false">B15/B$20</f>
        <v>0.00991280733812396</v>
      </c>
      <c r="C38" s="118" t="n">
        <f aca="false">C15/C$20</f>
        <v>0.00982434765113914</v>
      </c>
      <c r="D38" s="117" t="n">
        <f aca="false">D15/D$20</f>
        <v>0.00982434765113914</v>
      </c>
      <c r="E38" s="79" t="n">
        <f aca="false">E15/E$20</f>
        <v>0.00992230968157608</v>
      </c>
      <c r="F38" s="117" t="n">
        <f aca="false">F15/F$20</f>
        <v>0.0101826968198409</v>
      </c>
      <c r="G38" s="79" t="n">
        <f aca="false">G15/G$20</f>
        <v>0.0112287826206336</v>
      </c>
      <c r="H38" s="117" t="n">
        <f aca="false">H15/H$20</f>
        <v>0.0113013545606292</v>
      </c>
      <c r="I38" s="176" t="n">
        <f aca="false">I15/I$20</f>
        <v>0.0115360443276029</v>
      </c>
      <c r="J38" s="177" t="n">
        <f aca="false">J15/J$20</f>
        <v>0.0082113425359351</v>
      </c>
      <c r="K38" s="79" t="n">
        <f aca="false">K15/K$20</f>
        <v>0.0118133205774528</v>
      </c>
      <c r="L38" s="117" t="n">
        <f aca="false">L15/L$20</f>
        <v>0.0117778648673364</v>
      </c>
      <c r="M38" s="79" t="n">
        <f aca="false">M15/M$20</f>
        <v>0.0117700309064515</v>
      </c>
      <c r="N38" s="79" t="n">
        <f aca="false">N15/N$20</f>
        <v>0.0120193351303637</v>
      </c>
      <c r="O38" s="117" t="n">
        <f aca="false">O15/O$20</f>
        <v>0.0126564805010765</v>
      </c>
      <c r="P38" s="178" t="n">
        <f aca="false">P15/P$20</f>
        <v>0.013061845511261</v>
      </c>
      <c r="Q38" s="177" t="n">
        <f aca="false">Q15/Q$20</f>
        <v>0.0131649034892432</v>
      </c>
      <c r="R38" s="117" t="n">
        <f aca="false">R15/R$20</f>
        <v>0.0134428269439447</v>
      </c>
      <c r="S38" s="79" t="n">
        <f aca="false">S15/S$20</f>
        <v>0.0133690877531866</v>
      </c>
      <c r="T38" s="117" t="n">
        <f aca="false">T15/T$20</f>
        <v>0.0124011605878628</v>
      </c>
      <c r="U38" s="117" t="n">
        <f aca="false">U15/U$20</f>
        <v>0.0112710240369427</v>
      </c>
      <c r="V38" s="79" t="n">
        <f aca="false">V15/V$20</f>
        <v>0.0113862932110868</v>
      </c>
      <c r="W38" s="79" t="n">
        <f aca="false">W15/W$20</f>
        <v>0.0114210322039692</v>
      </c>
      <c r="X38" s="176" t="n">
        <f aca="false">X15/X$20</f>
        <v>0.0114042008084308</v>
      </c>
      <c r="Y38" s="177" t="n">
        <f aca="false">Y15/Y$20</f>
        <v>0.0113170471579499</v>
      </c>
      <c r="Z38" s="117" t="n">
        <f aca="false">Z15/Z$20</f>
        <v>0.0112814579548583</v>
      </c>
      <c r="AA38" s="79" t="n">
        <f aca="false">AA15/AA$20</f>
        <v>0.011541691102564</v>
      </c>
      <c r="AB38" s="117" t="n">
        <f aca="false">AB15/AB$20</f>
        <v>0.012510104024835</v>
      </c>
      <c r="AC38" s="178" t="n">
        <f aca="false">AC15/AC$20</f>
        <v>0.0127636857534974</v>
      </c>
      <c r="AD38" s="177" t="n">
        <f aca="false">AD15/AD$20</f>
        <v>0.0129858916418933</v>
      </c>
      <c r="AE38" s="117" t="n">
        <f aca="false">AE15/AE$20</f>
        <v>0.0125145086721395</v>
      </c>
      <c r="AF38" s="79" t="n">
        <f aca="false">AF15/AF$20</f>
        <v>0.0127190908659196</v>
      </c>
      <c r="AG38" s="117" t="n">
        <f aca="false">AG15/AG$20</f>
        <v>0.0128940994653828</v>
      </c>
      <c r="AH38" s="117" t="n">
        <f aca="false">AH15/AH$20</f>
        <v>0.0131129980931831</v>
      </c>
      <c r="AI38" s="176" t="n">
        <f aca="false">AI15/AI$20</f>
        <v>0.0119540823466796</v>
      </c>
      <c r="AJ38" s="177" t="n">
        <f aca="false">AJ15/AJ$20</f>
        <v>0.0118176816476386</v>
      </c>
      <c r="AK38" s="117" t="n">
        <f aca="false">AK15/AK$20</f>
        <v>0.0122241104285874</v>
      </c>
      <c r="AL38" s="117" t="n">
        <f aca="false">AL15/AL$20</f>
        <v>0.012423209558192</v>
      </c>
      <c r="AM38" s="117" t="n">
        <f aca="false">AM15/AM$20</f>
        <v>0.0123425723537368</v>
      </c>
      <c r="AN38" s="178" t="n">
        <f aca="false">AN15/AN$20</f>
        <v>0.0122083949554648</v>
      </c>
      <c r="AO38" s="177" t="n">
        <f aca="false">AO15/AO$20</f>
        <v>0.0125740990186318</v>
      </c>
      <c r="AP38" s="117" t="n">
        <f aca="false">AP15/AP$20</f>
        <v>0.0112573401109115</v>
      </c>
      <c r="AQ38" s="117" t="n">
        <f aca="false">AQ15/AQ$20</f>
        <v>0.0115601552392468</v>
      </c>
    </row>
    <row r="39" customFormat="false" ht="12.8" hidden="false" customHeight="false" outlineLevel="0" collapsed="false">
      <c r="A39" s="139" t="s">
        <v>28</v>
      </c>
      <c r="B39" s="118" t="n">
        <f aca="false">B16/B$20</f>
        <v>0.00783548225867202</v>
      </c>
      <c r="C39" s="118" t="n">
        <f aca="false">C16/C$20</f>
        <v>0.00776556015847024</v>
      </c>
      <c r="D39" s="117" t="n">
        <f aca="false">D16/D$20</f>
        <v>0.00776556015847024</v>
      </c>
      <c r="E39" s="79" t="n">
        <f aca="false">E16/E$20</f>
        <v>0.00784299329373961</v>
      </c>
      <c r="F39" s="117" t="n">
        <f aca="false">F16/F$20</f>
        <v>0.00804881377755089</v>
      </c>
      <c r="G39" s="79" t="n">
        <f aca="false">G16/G$20</f>
        <v>0.00887568213618793</v>
      </c>
      <c r="H39" s="117" t="n">
        <f aca="false">H16/H$20</f>
        <v>0.00876289266548905</v>
      </c>
      <c r="I39" s="176" t="n">
        <f aca="false">I16/I$20</f>
        <v>0.00868433730233407</v>
      </c>
      <c r="J39" s="177" t="n">
        <f aca="false">J16/J$20</f>
        <v>0.00883071555824581</v>
      </c>
      <c r="K39" s="79" t="n">
        <f aca="false">K16/K$20</f>
        <v>0.00889307093851309</v>
      </c>
      <c r="L39" s="117" t="n">
        <f aca="false">L16/L$20</f>
        <v>0.00886637987030972</v>
      </c>
      <c r="M39" s="79" t="n">
        <f aca="false">M16/M$20</f>
        <v>0.00886048246242837</v>
      </c>
      <c r="N39" s="79" t="n">
        <f aca="false">N16/N$20</f>
        <v>0.00588130318742583</v>
      </c>
      <c r="O39" s="117" t="n">
        <f aca="false">O16/O$20</f>
        <v>0.00619307127268043</v>
      </c>
      <c r="P39" s="178" t="n">
        <f aca="false">P16/P$20</f>
        <v>0.00961445060664997</v>
      </c>
      <c r="Q39" s="177" t="n">
        <f aca="false">Q16/Q$20</f>
        <v>0.00969030863437479</v>
      </c>
      <c r="R39" s="117" t="n">
        <f aca="false">R16/R$20</f>
        <v>0.00989488013427146</v>
      </c>
      <c r="S39" s="79" t="n">
        <f aca="false">S16/S$20</f>
        <v>0.00984060282661942</v>
      </c>
      <c r="T39" s="117" t="n">
        <f aca="false">T16/T$20</f>
        <v>0.00891585703521108</v>
      </c>
      <c r="U39" s="117" t="n">
        <f aca="false">U16/U$20</f>
        <v>0.00810334147693893</v>
      </c>
      <c r="V39" s="79" t="n">
        <f aca="false">V16/V$20</f>
        <v>0.00818621464594228</v>
      </c>
      <c r="W39" s="79" t="n">
        <f aca="false">W16/W$20</f>
        <v>0.00821119036429479</v>
      </c>
      <c r="X39" s="176" t="n">
        <f aca="false">X16/X$20</f>
        <v>0.00819908937461239</v>
      </c>
      <c r="Y39" s="177" t="n">
        <f aca="false">Y16/Y$20</f>
        <v>0.00874666220484715</v>
      </c>
      <c r="Z39" s="117" t="n">
        <f aca="false">Z16/Z$20</f>
        <v>0.00707723717650098</v>
      </c>
      <c r="AA39" s="79" t="n">
        <f aca="false">AA16/AA$20</f>
        <v>0.00723687172751797</v>
      </c>
      <c r="AB39" s="117" t="n">
        <f aca="false">AB16/AB$20</f>
        <v>0.00784408604606696</v>
      </c>
      <c r="AC39" s="178" t="n">
        <f aca="false">AC16/AC$20</f>
        <v>0.00800308687414875</v>
      </c>
      <c r="AD39" s="177" t="n">
        <f aca="false">AD16/AD$20</f>
        <v>0.00857524803002239</v>
      </c>
      <c r="AE39" s="117" t="n">
        <f aca="false">AE16/AE$20</f>
        <v>0.0101480263862265</v>
      </c>
      <c r="AF39" s="79" t="n">
        <f aca="false">AF16/AF$20</f>
        <v>0.0106329095587175</v>
      </c>
      <c r="AG39" s="117" t="n">
        <f aca="false">AG16/AG$20</f>
        <v>0.0114978275225741</v>
      </c>
      <c r="AH39" s="117" t="n">
        <f aca="false">AH16/AH$20</f>
        <v>0.0117295628229208</v>
      </c>
      <c r="AI39" s="176" t="n">
        <f aca="false">AI16/AI$20</f>
        <v>0.0106929139224567</v>
      </c>
      <c r="AJ39" s="177" t="n">
        <f aca="false">AJ16/AJ$20</f>
        <v>0.00938538173866352</v>
      </c>
      <c r="AK39" s="117" t="n">
        <f aca="false">AK16/AK$20</f>
        <v>0.0100487970636614</v>
      </c>
      <c r="AL39" s="117" t="n">
        <f aca="false">AL16/AL$20</f>
        <v>0.0102470844957683</v>
      </c>
      <c r="AM39" s="117" t="n">
        <f aca="false">AM16/AM$20</f>
        <v>0.0129664720189483</v>
      </c>
      <c r="AN39" s="178" t="n">
        <f aca="false">AN16/AN$20</f>
        <v>0.0132337512552681</v>
      </c>
      <c r="AO39" s="177" t="n">
        <f aca="false">AO16/AO$20</f>
        <v>0.0126140390746681</v>
      </c>
      <c r="AP39" s="117" t="n">
        <f aca="false">AP16/AP$20</f>
        <v>0.0116317060482947</v>
      </c>
      <c r="AQ39" s="117" t="n">
        <f aca="false">AQ16/AQ$20</f>
        <v>0.010408858199866</v>
      </c>
    </row>
    <row r="40" customFormat="false" ht="12.8" hidden="false" customHeight="false" outlineLevel="0" collapsed="false">
      <c r="A40" s="139" t="s">
        <v>199</v>
      </c>
      <c r="B40" s="118" t="n">
        <f aca="false">B17/B$20</f>
        <v>0.00439330533359404</v>
      </c>
      <c r="C40" s="118" t="n">
        <f aca="false">C17/C$20</f>
        <v>0.00435410045435223</v>
      </c>
      <c r="D40" s="117" t="n">
        <f aca="false">D17/D$20</f>
        <v>0.00435410045435223</v>
      </c>
      <c r="E40" s="79" t="n">
        <f aca="false">E17/E$20</f>
        <v>0.00379875479414997</v>
      </c>
      <c r="F40" s="117" t="n">
        <f aca="false">F17/F$20</f>
        <v>0.0038984439715252</v>
      </c>
      <c r="G40" s="79" t="n">
        <f aca="false">G17/G$20</f>
        <v>0.00429893776564978</v>
      </c>
      <c r="H40" s="117" t="n">
        <f aca="false">H17/H$20</f>
        <v>0.00432672192214418</v>
      </c>
      <c r="I40" s="176" t="n">
        <f aca="false">I17/I$20</f>
        <v>0.00441657286472108</v>
      </c>
      <c r="J40" s="177" t="n">
        <f aca="false">J17/J$20</f>
        <v>0.00449101610783086</v>
      </c>
      <c r="K40" s="79" t="n">
        <f aca="false">K17/K$20</f>
        <v>0.00452272803596887</v>
      </c>
      <c r="L40" s="117" t="n">
        <f aca="false">L17/L$20</f>
        <v>0.00450915382259443</v>
      </c>
      <c r="M40" s="79" t="n">
        <f aca="false">M17/M$20</f>
        <v>0.00450615459182826</v>
      </c>
      <c r="N40" s="79" t="n">
        <f aca="false">N17/N$20</f>
        <v>0.00460160067708266</v>
      </c>
      <c r="O40" s="117" t="n">
        <f aca="false">O17/O$20</f>
        <v>0.00484553168803064</v>
      </c>
      <c r="P40" s="178" t="n">
        <f aca="false">P17/P$20</f>
        <v>0.00476259583069436</v>
      </c>
      <c r="Q40" s="177" t="n">
        <f aca="false">Q17/Q$20</f>
        <v>0.00480017271795997</v>
      </c>
      <c r="R40" s="117" t="n">
        <f aca="false">R17/R$20</f>
        <v>0.00490150886417855</v>
      </c>
      <c r="S40" s="79" t="n">
        <f aca="false">S17/S$20</f>
        <v>0.00487462216105834</v>
      </c>
      <c r="T40" s="117" t="n">
        <f aca="false">T17/T$20</f>
        <v>0.00441654185769006</v>
      </c>
      <c r="U40" s="117" t="n">
        <f aca="false">U17/U$20</f>
        <v>0.00401405570756883</v>
      </c>
      <c r="V40" s="79" t="n">
        <f aca="false">V17/V$20</f>
        <v>0.00405510760177679</v>
      </c>
      <c r="W40" s="79" t="n">
        <f aca="false">W17/W$20</f>
        <v>0.00406747952576504</v>
      </c>
      <c r="X40" s="176" t="n">
        <f aca="false">X17/X$20</f>
        <v>0.00406148520270213</v>
      </c>
      <c r="Y40" s="177" t="n">
        <f aca="false">Y17/Y$20</f>
        <v>0.00433272983070758</v>
      </c>
      <c r="Z40" s="117" t="n">
        <f aca="false">Z17/Z$20</f>
        <v>0.00341639777927196</v>
      </c>
      <c r="AA40" s="79" t="n">
        <f aca="false">AA17/AA$20</f>
        <v>0.00349345823549072</v>
      </c>
      <c r="AB40" s="117" t="n">
        <f aca="false">AB17/AB$20</f>
        <v>0.0037865790674901</v>
      </c>
      <c r="AC40" s="178" t="n">
        <f aca="false">AC17/AC$20</f>
        <v>0.00386333360636082</v>
      </c>
      <c r="AD40" s="177" t="n">
        <f aca="false">AD17/AD$20</f>
        <v>0.00413953320990142</v>
      </c>
      <c r="AE40" s="117" t="n">
        <f aca="false">AE17/AE$20</f>
        <v>0.00345580756118836</v>
      </c>
      <c r="AF40" s="79" t="n">
        <f aca="false">AF17/AF$20</f>
        <v>0.0035123017241373</v>
      </c>
      <c r="AG40" s="117" t="n">
        <f aca="false">AG17/AG$20</f>
        <v>0.00356062931390873</v>
      </c>
      <c r="AH40" s="117" t="n">
        <f aca="false">AH17/AH$20</f>
        <v>0.00362107687544744</v>
      </c>
      <c r="AI40" s="176" t="n">
        <f aca="false">AI17/AI$20</f>
        <v>0.00330104914567621</v>
      </c>
      <c r="AJ40" s="177" t="n">
        <f aca="false">AJ17/AJ$20</f>
        <v>0.00326338289928601</v>
      </c>
      <c r="AK40" s="117" t="n">
        <f aca="false">AK17/AK$20</f>
        <v>0.00337561580359606</v>
      </c>
      <c r="AL40" s="117" t="n">
        <f aca="false">AL17/AL$20</f>
        <v>0.00343059585079881</v>
      </c>
      <c r="AM40" s="117" t="n">
        <f aca="false">AM17/AM$20</f>
        <v>0.00340832836366289</v>
      </c>
      <c r="AN40" s="178" t="n">
        <f aca="false">AN17/AN$20</f>
        <v>0.00337127606863181</v>
      </c>
      <c r="AO40" s="177" t="n">
        <f aca="false">AO17/AO$20</f>
        <v>0.00347226308296529</v>
      </c>
      <c r="AP40" s="117" t="n">
        <f aca="false">AP17/AP$20</f>
        <v>0.00329333815513145</v>
      </c>
      <c r="AQ40" s="117" t="n">
        <f aca="false">AQ17/AQ$20</f>
        <v>0.00338192680984669</v>
      </c>
    </row>
    <row r="41" customFormat="false" ht="12.8" hidden="false" customHeight="false" outlineLevel="0" collapsed="false">
      <c r="A41" s="139" t="s">
        <v>200</v>
      </c>
      <c r="B41" s="118" t="n">
        <f aca="false">B18/B$20</f>
        <v>0.00437710176537349</v>
      </c>
      <c r="C41" s="118" t="n">
        <f aca="false">C18/C$20</f>
        <v>0.00433804148316902</v>
      </c>
      <c r="D41" s="117" t="n">
        <f aca="false">D18/D$20</f>
        <v>0.00433804148316902</v>
      </c>
      <c r="E41" s="79" t="n">
        <f aca="false">E18/E$20</f>
        <v>0.00438129762259948</v>
      </c>
      <c r="F41" s="117" t="n">
        <f aca="false">F18/F$20</f>
        <v>0.00449627423454232</v>
      </c>
      <c r="G41" s="79" t="n">
        <f aca="false">G18/G$20</f>
        <v>0.00495818415059324</v>
      </c>
      <c r="H41" s="117" t="n">
        <f aca="false">H18/H$20</f>
        <v>0.00499022903513865</v>
      </c>
      <c r="I41" s="176" t="n">
        <f aca="false">I18/I$20</f>
        <v>0.00482924267234441</v>
      </c>
      <c r="J41" s="177" t="n">
        <f aca="false">J18/J$20</f>
        <v>0.00493306466449201</v>
      </c>
      <c r="K41" s="79" t="n">
        <f aca="false">K18/K$20</f>
        <v>0.0046517590199517</v>
      </c>
      <c r="L41" s="117" t="n">
        <f aca="false">L18/L$20</f>
        <v>0.00463779754161361</v>
      </c>
      <c r="M41" s="79" t="n">
        <f aca="false">M18/M$20</f>
        <v>0.00463471274441632</v>
      </c>
      <c r="N41" s="79" t="n">
        <f aca="false">N18/N$20</f>
        <v>0.00473288185484484</v>
      </c>
      <c r="O41" s="117" t="n">
        <f aca="false">O18/O$20</f>
        <v>0.00462087605991593</v>
      </c>
      <c r="P41" s="178" t="n">
        <f aca="false">P18/P$20</f>
        <v>0.00463690132064118</v>
      </c>
      <c r="Q41" s="177" t="n">
        <f aca="false">Q18/Q$20</f>
        <v>0.00479331946467678</v>
      </c>
      <c r="R41" s="117" t="n">
        <f aca="false">R18/R$20</f>
        <v>0.00489451093229365</v>
      </c>
      <c r="S41" s="79" t="n">
        <f aca="false">S18/S$20</f>
        <v>0.00496501586789265</v>
      </c>
      <c r="T41" s="117" t="n">
        <f aca="false">T18/T$20</f>
        <v>0.00418972450202195</v>
      </c>
      <c r="U41" s="117" t="n">
        <f aca="false">U18/U$20</f>
        <v>0.00370770044109921</v>
      </c>
      <c r="V41" s="79" t="n">
        <f aca="false">V18/V$20</f>
        <v>0.00374561922881703</v>
      </c>
      <c r="W41" s="79" t="n">
        <f aca="false">W18/W$20</f>
        <v>0.00375704691975365</v>
      </c>
      <c r="X41" s="176" t="n">
        <f aca="false">X18/X$20</f>
        <v>0.00423819247690472</v>
      </c>
      <c r="Y41" s="177" t="n">
        <f aca="false">Y18/Y$20</f>
        <v>0.00352613331939799</v>
      </c>
      <c r="Z41" s="117" t="n">
        <f aca="false">Z18/Z$20</f>
        <v>0.0041188558683529</v>
      </c>
      <c r="AA41" s="79" t="n">
        <f aca="false">AA18/AA$20</f>
        <v>0.00551277618830593</v>
      </c>
      <c r="AB41" s="117" t="n">
        <f aca="false">AB18/AB$20</f>
        <v>0.00597532917563701</v>
      </c>
      <c r="AC41" s="178" t="n">
        <f aca="false">AC18/AC$20</f>
        <v>0.00609645001513417</v>
      </c>
      <c r="AD41" s="177" t="n">
        <f aca="false">AD18/AD$20</f>
        <v>0.004990677829523</v>
      </c>
      <c r="AE41" s="117" t="n">
        <f aca="false">AE18/AE$20</f>
        <v>0.00507389472618839</v>
      </c>
      <c r="AF41" s="79" t="n">
        <f aca="false">AF18/AF$20</f>
        <v>0.00515684073240306</v>
      </c>
      <c r="AG41" s="117" t="n">
        <f aca="false">AG18/AG$20</f>
        <v>0.00547413234701567</v>
      </c>
      <c r="AH41" s="117" t="n">
        <f aca="false">AH18/AH$20</f>
        <v>0.00556706478191552</v>
      </c>
      <c r="AI41" s="176" t="n">
        <f aca="false">AI18/AI$20</f>
        <v>0.00507505227709244</v>
      </c>
      <c r="AJ41" s="177" t="n">
        <f aca="false">AJ18/AJ$20</f>
        <v>0.00589514416408898</v>
      </c>
      <c r="AK41" s="117" t="n">
        <f aca="false">AK18/AK$20</f>
        <v>0.00518969149340553</v>
      </c>
      <c r="AL41" s="117" t="n">
        <f aca="false">AL18/AL$20</f>
        <v>0.00527421813976476</v>
      </c>
      <c r="AM41" s="117" t="n">
        <f aca="false">AM18/AM$20</f>
        <v>0.00537098357408167</v>
      </c>
      <c r="AN41" s="178" t="n">
        <f aca="false">AN18/AN$20</f>
        <v>0.00546808563524265</v>
      </c>
      <c r="AO41" s="177" t="n">
        <f aca="false">AO18/AO$20</f>
        <v>0.00429731345702734</v>
      </c>
      <c r="AP41" s="117" t="n">
        <f aca="false">AP18/AP$20</f>
        <v>0.00602520485256624</v>
      </c>
      <c r="AQ41" s="117" t="n">
        <f aca="false">AQ18/AQ$20</f>
        <v>0.00597930318205548</v>
      </c>
    </row>
    <row r="42" customFormat="false" ht="12.8" hidden="false" customHeight="false" outlineLevel="0" collapsed="false">
      <c r="B42" s="118"/>
      <c r="C42" s="118"/>
      <c r="K42" s="40"/>
    </row>
    <row r="43" customFormat="false" ht="12.8" hidden="false" customHeight="false" outlineLevel="0" collapsed="false">
      <c r="A43" s="1" t="s">
        <v>205</v>
      </c>
      <c r="B43" s="44"/>
      <c r="C43" s="44"/>
      <c r="K43" s="40"/>
    </row>
    <row r="44" customFormat="false" ht="12.8" hidden="false" customHeight="false" outlineLevel="0" collapsed="false">
      <c r="A44" s="139" t="s">
        <v>183</v>
      </c>
      <c r="B44" s="82" t="n">
        <f aca="false">Ratio!B8*B25</f>
        <v>0.798563113207225</v>
      </c>
      <c r="C44" s="82" t="n">
        <f aca="false">Ratio!C8*C25</f>
        <v>0.788547405801925</v>
      </c>
      <c r="D44" s="57" t="n">
        <f aca="false">Ratio!D8*D25</f>
        <v>0.789706974360395</v>
      </c>
      <c r="E44" s="94" t="n">
        <f aca="false">Ratio!E8*E25</f>
        <v>0.765765427930216</v>
      </c>
      <c r="F44" s="53" t="n">
        <f aca="false">Ratio!F8*F25</f>
        <v>0.76127548529447</v>
      </c>
      <c r="G44" s="94" t="n">
        <f aca="false">Ratio!G8*G25</f>
        <v>0.633998645641952</v>
      </c>
      <c r="H44" s="53" t="n">
        <f aca="false">Ratio!H8*H25</f>
        <v>0.600193878100097</v>
      </c>
      <c r="I44" s="66" t="n">
        <f aca="false">Ratio!I8*I25</f>
        <v>0.575970768035222</v>
      </c>
      <c r="J44" s="67" t="n">
        <f aca="false">Ratio!J8*J25</f>
        <v>0.573453541649772</v>
      </c>
      <c r="K44" s="94" t="n">
        <f aca="false">Ratio!K8*K25</f>
        <v>0.592973949783331</v>
      </c>
      <c r="L44" s="53" t="n">
        <f aca="false">Ratio!L8*L25</f>
        <v>0.555050058171119</v>
      </c>
      <c r="M44" s="94" t="n">
        <f aca="false">Ratio!M8*M25</f>
        <v>0.555105913487366</v>
      </c>
      <c r="N44" s="94" t="n">
        <f aca="false">Ratio!N8*N25</f>
        <v>0.566865932956407</v>
      </c>
      <c r="O44" s="53" t="n">
        <f aca="false">Ratio!O8*O25</f>
        <v>0.608968696687424</v>
      </c>
      <c r="P44" s="68" t="n">
        <f aca="false">Ratio!P8*P25</f>
        <v>0.776991204147474</v>
      </c>
      <c r="Q44" s="67" t="n">
        <f aca="false">Ratio!Q8*Q25</f>
        <v>0.770213321002178</v>
      </c>
      <c r="R44" s="53" t="n">
        <f aca="false">Ratio!R8*R25</f>
        <v>0.756952622997143</v>
      </c>
      <c r="S44" s="94" t="n">
        <f aca="false">Ratio!S8*S25</f>
        <v>0.788659617229521</v>
      </c>
      <c r="T44" s="53" t="n">
        <f aca="false">Ratio!T8*T25</f>
        <v>0.90103837329055</v>
      </c>
      <c r="U44" s="53" t="n">
        <f aca="false">Ratio!U8*U25</f>
        <v>1.06108630062853</v>
      </c>
      <c r="V44" s="94" t="n">
        <f aca="false">Ratio!V8*V25</f>
        <v>0.979171071009259</v>
      </c>
      <c r="W44" s="94" t="n">
        <f aca="false">Ratio!W8*W25</f>
        <v>0.973712652987442</v>
      </c>
      <c r="X44" s="66" t="n">
        <f aca="false">Ratio!X8*X25</f>
        <v>1.08030852651338</v>
      </c>
      <c r="Y44" s="67" t="n">
        <f aca="false">Ratio!Y8*Y25</f>
        <v>1.04443781150679</v>
      </c>
      <c r="Z44" s="53" t="n">
        <f aca="false">Ratio!Z8*Z25</f>
        <v>1.00447435584909</v>
      </c>
      <c r="AA44" s="94" t="n">
        <f aca="false">Ratio!AA8*AA25</f>
        <v>1.00342206279816</v>
      </c>
      <c r="AB44" s="53" t="n">
        <f aca="false">Ratio!AB8*AB25</f>
        <v>0.927895657792463</v>
      </c>
      <c r="AC44" s="68" t="n">
        <f aca="false">Ratio!AC8*AC25</f>
        <v>0.904440166251851</v>
      </c>
      <c r="AD44" s="67" t="n">
        <f aca="false">Ratio!AD8*AD25</f>
        <v>0.888508138276101</v>
      </c>
      <c r="AE44" s="53" t="n">
        <f aca="false">Ratio!AE8*AE25</f>
        <v>0.825327247500383</v>
      </c>
      <c r="AF44" s="94" t="n">
        <f aca="false">Ratio!AF8*AF25</f>
        <v>0.806133747933124</v>
      </c>
      <c r="AG44" s="53" t="n">
        <f aca="false">Ratio!AG8*AG25</f>
        <v>0.774242193650734</v>
      </c>
      <c r="AH44" s="53" t="n">
        <f aca="false">Ratio!AH8*AH25</f>
        <v>0.626681905171497</v>
      </c>
      <c r="AI44" s="66" t="n">
        <f aca="false">Ratio!AI8*AI25</f>
        <v>0.911680794976298</v>
      </c>
      <c r="AJ44" s="67" t="n">
        <f aca="false">Ratio!AJ8*AJ25</f>
        <v>0.944059448203861</v>
      </c>
      <c r="AK44" s="53" t="n">
        <f aca="false">Ratio!AK8*AK25</f>
        <v>0.840936718077743</v>
      </c>
      <c r="AL44" s="63" t="n">
        <f aca="false">Ratio!AL8*AL25</f>
        <v>0.776255788683413</v>
      </c>
      <c r="AM44" s="53" t="n">
        <f aca="false">Ratio!AM8*AM25</f>
        <v>0.719357037546944</v>
      </c>
      <c r="AN44" s="68" t="n">
        <f aca="false">Ratio!AN8*AN25</f>
        <v>0.607403723943192</v>
      </c>
      <c r="AO44" s="67" t="n">
        <f aca="false">Ratio!AO8*AO25</f>
        <v>0.564675747420982</v>
      </c>
      <c r="AP44" s="63" t="n">
        <f aca="false">Ratio!AP8*AP25</f>
        <v>0.564099753458734</v>
      </c>
      <c r="AQ44" s="63" t="n">
        <f aca="false">Ratio!AQ8*AQ25</f>
        <v>0.557823589735341</v>
      </c>
    </row>
    <row r="45" customFormat="false" ht="12.8" hidden="false" customHeight="false" outlineLevel="0" collapsed="false">
      <c r="A45" s="139" t="s">
        <v>31</v>
      </c>
      <c r="B45" s="65" t="n">
        <f aca="false">Ratio!B10*B26</f>
        <v>0.0122444023973227</v>
      </c>
      <c r="C45" s="65" t="n">
        <f aca="false">Ratio!C10*C26</f>
        <v>0.0107212521525028</v>
      </c>
      <c r="D45" s="53" t="n">
        <f aca="false">Ratio!D10*D26</f>
        <v>0.0107185725093755</v>
      </c>
      <c r="E45" s="94" t="n">
        <f aca="false">Ratio!E10*E26</f>
        <v>0.00978231954802222</v>
      </c>
      <c r="F45" s="53" t="n">
        <f aca="false">Ratio!F10*F26</f>
        <v>0.00855827204589368</v>
      </c>
      <c r="G45" s="94" t="n">
        <f aca="false">Ratio!G10*G26</f>
        <v>0.00838096656943668</v>
      </c>
      <c r="H45" s="53" t="n">
        <f aca="false">Ratio!H10*H26</f>
        <v>0.0075182707117437</v>
      </c>
      <c r="I45" s="66" t="n">
        <f aca="false">Ratio!I10*I26</f>
        <v>0.00696805767910602</v>
      </c>
      <c r="J45" s="67" t="n">
        <f aca="false">Ratio!J10*J26</f>
        <v>0.00725496172047757</v>
      </c>
      <c r="K45" s="94" t="n">
        <f aca="false">Ratio!K10*K26</f>
        <v>0.00844136603842242</v>
      </c>
      <c r="L45" s="53" t="n">
        <f aca="false">Ratio!L10*L26</f>
        <v>0.00838296770938963</v>
      </c>
      <c r="M45" s="94" t="n">
        <f aca="false">Ratio!M10*M26</f>
        <v>0.00837315580557081</v>
      </c>
      <c r="N45" s="94" t="n">
        <f aca="false">Ratio!N10*N26</f>
        <v>0.00779945310900241</v>
      </c>
      <c r="O45" s="53" t="n">
        <f aca="false">Ratio!O10*O26</f>
        <v>0.00504544315201984</v>
      </c>
      <c r="P45" s="68" t="n">
        <f aca="false">Ratio!P10*P26</f>
        <v>0.0120689792504052</v>
      </c>
      <c r="Q45" s="67" t="n">
        <f aca="false">Ratio!Q10*Q26</f>
        <v>0.0134927769522023</v>
      </c>
      <c r="R45" s="53" t="n">
        <f aca="false">Ratio!R10*R26</f>
        <v>0.0152915953317181</v>
      </c>
      <c r="S45" s="94" t="n">
        <f aca="false">Ratio!S10*S26</f>
        <v>0.0154736155781448</v>
      </c>
      <c r="T45" s="53" t="n">
        <f aca="false">Ratio!T10*T26</f>
        <v>0.011981532070671</v>
      </c>
      <c r="U45" s="53" t="n">
        <f aca="false">Ratio!U10*U26</f>
        <v>0.0203403578595617</v>
      </c>
      <c r="V45" s="94" t="n">
        <f aca="false">Ratio!V10*V26</f>
        <v>0.0187849677344678</v>
      </c>
      <c r="W45" s="94" t="n">
        <f aca="false">Ratio!W10*W26</f>
        <v>0.0188422797014378</v>
      </c>
      <c r="X45" s="66" t="n">
        <f aca="false">Ratio!X10*X26</f>
        <v>0.0208990810427007</v>
      </c>
      <c r="Y45" s="67" t="n">
        <f aca="false">Ratio!Y10*Y26</f>
        <v>0.0232320321070769</v>
      </c>
      <c r="Z45" s="53" t="n">
        <f aca="false">Ratio!Z10*Z26</f>
        <v>0.0217395400381668</v>
      </c>
      <c r="AA45" s="94" t="n">
        <f aca="false">Ratio!AA10*AA26</f>
        <v>0.0230587835933085</v>
      </c>
      <c r="AB45" s="53" t="n">
        <f aca="false">Ratio!AB10*AB26</f>
        <v>0.0209275469896005</v>
      </c>
      <c r="AC45" s="68" t="n">
        <f aca="false">Ratio!AC10*AC26</f>
        <v>0.0104030635212592</v>
      </c>
      <c r="AD45" s="67" t="n">
        <f aca="false">Ratio!AD10*AD26</f>
        <v>0.0118408533896043</v>
      </c>
      <c r="AE45" s="53" t="n">
        <f aca="false">Ratio!AE10*AE26</f>
        <v>0.0117110670403213</v>
      </c>
      <c r="AF45" s="94" t="n">
        <f aca="false">Ratio!AF10*AF26</f>
        <v>0.0104366741083552</v>
      </c>
      <c r="AG45" s="53" t="n">
        <f aca="false">Ratio!AG10*AG26</f>
        <v>0.0100197014228255</v>
      </c>
      <c r="AH45" s="53" t="n">
        <f aca="false">Ratio!AH10*AH26</f>
        <v>0.00791416227562739</v>
      </c>
      <c r="AI45" s="66" t="n">
        <f aca="false">Ratio!AI10*AI26</f>
        <v>0.0164708612506536</v>
      </c>
      <c r="AJ45" s="67" t="n">
        <f aca="false">Ratio!AJ10*AJ26</f>
        <v>0.0162519635580269</v>
      </c>
      <c r="AK45" s="53" t="n">
        <f aca="false">Ratio!AK10*AK26</f>
        <v>0.0152349013079356</v>
      </c>
      <c r="AL45" s="63" t="n">
        <f aca="false">Ratio!AL10*AL26</f>
        <v>0.0133576589016665</v>
      </c>
      <c r="AM45" s="53" t="n">
        <f aca="false">Ratio!AM10*AM26</f>
        <v>0.0120371344980351</v>
      </c>
      <c r="AN45" s="68" t="n">
        <f aca="false">Ratio!AN10*AN26</f>
        <v>0.0128026638176152</v>
      </c>
      <c r="AO45" s="67" t="n">
        <f aca="false">Ratio!AO10*AO26</f>
        <v>0.0122257633235334</v>
      </c>
      <c r="AP45" s="63" t="n">
        <f aca="false">Ratio!AP10*AP26</f>
        <v>0.0154538357500602</v>
      </c>
      <c r="AQ45" s="63" t="n">
        <f aca="false">Ratio!AQ10*AQ26</f>
        <v>0.0132964834720883</v>
      </c>
    </row>
    <row r="46" customFormat="false" ht="12.8" hidden="false" customHeight="false" outlineLevel="0" collapsed="false">
      <c r="A46" s="139" t="s">
        <v>29</v>
      </c>
      <c r="B46" s="65" t="n">
        <f aca="false">Ratio!B12*B27</f>
        <v>0.167704869093549</v>
      </c>
      <c r="C46" s="65" t="n">
        <f aca="false">Ratio!C12*C27</f>
        <v>0.15131909386353</v>
      </c>
      <c r="D46" s="53" t="n">
        <f aca="false">Ratio!D12*D27</f>
        <v>0.15131909386353</v>
      </c>
      <c r="E46" s="94" t="n">
        <f aca="false">Ratio!E12*E27</f>
        <v>0.165398630503934</v>
      </c>
      <c r="F46" s="53" t="n">
        <f aca="false">Ratio!F12*F27</f>
        <v>0.103399183732812</v>
      </c>
      <c r="G46" s="94" t="n">
        <f aca="false">Ratio!G12*G27</f>
        <v>0.113795075906509</v>
      </c>
      <c r="H46" s="53" t="n">
        <f aca="false">Ratio!H12*H27</f>
        <v>0.103425946798866</v>
      </c>
      <c r="I46" s="66" t="n">
        <f aca="false">Ratio!I12*I27</f>
        <v>0.0956463642691422</v>
      </c>
      <c r="J46" s="67" t="n">
        <f aca="false">Ratio!J12*J27</f>
        <v>0.0865405848345978</v>
      </c>
      <c r="K46" s="94" t="n">
        <f aca="false">Ratio!K12*K27</f>
        <v>0.0762690425384826</v>
      </c>
      <c r="L46" s="53" t="n">
        <f aca="false">Ratio!L12*L27</f>
        <v>0.0725842206691526</v>
      </c>
      <c r="M46" s="94" t="n">
        <f aca="false">Ratio!M12*M27</f>
        <v>0.0725359418043513</v>
      </c>
      <c r="N46" s="94" t="n">
        <f aca="false">Ratio!N12*N27</f>
        <v>0.0656142574320395</v>
      </c>
      <c r="O46" s="53" t="n">
        <f aca="false">Ratio!O12*O27</f>
        <v>0.0690409035821819</v>
      </c>
      <c r="P46" s="68" t="n">
        <f aca="false">Ratio!P12*P27</f>
        <v>0.079446328464453</v>
      </c>
      <c r="Q46" s="67" t="n">
        <f aca="false">Ratio!Q12*Q27</f>
        <v>0.0912791452023115</v>
      </c>
      <c r="R46" s="53" t="n">
        <f aca="false">Ratio!R12*R27</f>
        <v>0.100696639273529</v>
      </c>
      <c r="S46" s="94" t="n">
        <f aca="false">Ratio!S12*S27</f>
        <v>0.100144278618805</v>
      </c>
      <c r="T46" s="53" t="n">
        <f aca="false">Ratio!T12*T27</f>
        <v>0.0810555291746586</v>
      </c>
      <c r="U46" s="53" t="n">
        <f aca="false">Ratio!U12*U27</f>
        <v>0.0726505185423252</v>
      </c>
      <c r="V46" s="94" t="n">
        <f aca="false">Ratio!V12*V27</f>
        <v>0.0901642332211506</v>
      </c>
      <c r="W46" s="94" t="n">
        <f aca="false">Ratio!W12*W27</f>
        <v>0.0904393196428728</v>
      </c>
      <c r="X46" s="66" t="n">
        <f aca="false">Ratio!X12*X27</f>
        <v>0.0903060374724044</v>
      </c>
      <c r="Y46" s="67" t="n">
        <f aca="false">Ratio!Y12*Y27</f>
        <v>0.118067533629391</v>
      </c>
      <c r="Z46" s="53" t="n">
        <f aca="false">Ratio!Z12*Z27</f>
        <v>0.127482995182249</v>
      </c>
      <c r="AA46" s="94" t="n">
        <f aca="false">Ratio!AA12*AA27</f>
        <v>0.126291403784108</v>
      </c>
      <c r="AB46" s="53" t="n">
        <f aca="false">Ratio!AB12*AB27</f>
        <v>0.146678560065283</v>
      </c>
      <c r="AC46" s="68" t="n">
        <f aca="false">Ratio!AC12*AC27</f>
        <v>0.137317765331874</v>
      </c>
      <c r="AD46" s="67" t="n">
        <f aca="false">Ratio!AD12*AD27</f>
        <v>0.159459937143269</v>
      </c>
      <c r="AE46" s="53" t="n">
        <f aca="false">Ratio!AE12*AE27</f>
        <v>0.118726274493955</v>
      </c>
      <c r="AF46" s="94" t="n">
        <f aca="false">Ratio!AF12*AF27</f>
        <v>0.109489676648821</v>
      </c>
      <c r="AG46" s="53" t="n">
        <f aca="false">Ratio!AG12*AG27</f>
        <v>0.103841056027289</v>
      </c>
      <c r="AH46" s="53" t="n">
        <f aca="false">Ratio!AH12*AH27</f>
        <v>0.124580228056652</v>
      </c>
      <c r="AI46" s="66" t="n">
        <f aca="false">Ratio!AI12*AI27</f>
        <v>0.112213885507304</v>
      </c>
      <c r="AJ46" s="67" t="n">
        <f aca="false">Ratio!AJ12*AJ27</f>
        <v>0.0947994791192833</v>
      </c>
      <c r="AK46" s="53" t="n">
        <f aca="false">Ratio!AK12*AK27</f>
        <v>0.100070693807708</v>
      </c>
      <c r="AL46" s="63" t="n">
        <f aca="false">Ratio!AL12*AL27</f>
        <v>0.101281149015659</v>
      </c>
      <c r="AM46" s="53" t="n">
        <f aca="false">Ratio!AM12*AM27</f>
        <v>0.0920965356336467</v>
      </c>
      <c r="AN46" s="68" t="n">
        <f aca="false">Ratio!AN12*AN27</f>
        <v>0.111085830314316</v>
      </c>
      <c r="AO46" s="67" t="n">
        <f aca="false">Ratio!AO12*AO27</f>
        <v>0.0971722057447781</v>
      </c>
      <c r="AP46" s="63" t="n">
        <f aca="false">Ratio!AP12*AP27</f>
        <v>0.0843379604813771</v>
      </c>
      <c r="AQ46" s="63" t="n">
        <f aca="false">Ratio!AQ12*AQ27</f>
        <v>0.0827720988654195</v>
      </c>
    </row>
    <row r="47" customFormat="false" ht="12.8" hidden="false" customHeight="false" outlineLevel="0" collapsed="false">
      <c r="A47" s="139" t="s">
        <v>187</v>
      </c>
      <c r="B47" s="65" t="n">
        <f aca="false">Ratio!B15*B28</f>
        <v>0.0118241559053448</v>
      </c>
      <c r="C47" s="65" t="n">
        <f aca="false">Ratio!C15*C28</f>
        <v>0.0120642685050219</v>
      </c>
      <c r="D47" s="53" t="n">
        <f aca="false">Ratio!D15*D28</f>
        <v>0.0120642685050219</v>
      </c>
      <c r="E47" s="94" t="n">
        <f aca="false">Ratio!E15*E28</f>
        <v>0.0116050259229218</v>
      </c>
      <c r="F47" s="53" t="n">
        <f aca="false">Ratio!F15*F28</f>
        <v>0.0123263250051059</v>
      </c>
      <c r="G47" s="94" t="n">
        <f aca="false">Ratio!G15*G28</f>
        <v>0.0122580598505731</v>
      </c>
      <c r="H47" s="53" t="n">
        <f aca="false">Ratio!H15*H28</f>
        <v>0.00933167717074269</v>
      </c>
      <c r="I47" s="66" t="n">
        <f aca="false">Ratio!I15*I28</f>
        <v>0.0113218877370092</v>
      </c>
      <c r="J47" s="67" t="n">
        <f aca="false">Ratio!J15*J28</f>
        <v>0.00883180546905272</v>
      </c>
      <c r="K47" s="94" t="n">
        <f aca="false">Ratio!K15*K28</f>
        <v>0.00928924415942349</v>
      </c>
      <c r="L47" s="53" t="n">
        <f aca="false">Ratio!L15*L28</f>
        <v>0.00872837870467855</v>
      </c>
      <c r="M47" s="94" t="n">
        <f aca="false">Ratio!M15*M28</f>
        <v>0.00872257308726566</v>
      </c>
      <c r="N47" s="94" t="n">
        <f aca="false">Ratio!N15*N28</f>
        <v>0.00876650317180994</v>
      </c>
      <c r="O47" s="53" t="n">
        <f aca="false">Ratio!O15*O28</f>
        <v>0.00998448301789455</v>
      </c>
      <c r="P47" s="68" t="n">
        <f aca="false">Ratio!P15*P28</f>
        <v>0.0163806730717247</v>
      </c>
      <c r="Q47" s="67" t="n">
        <f aca="false">Ratio!Q15*Q28</f>
        <v>0.0160207611326886</v>
      </c>
      <c r="R47" s="53" t="n">
        <f aca="false">Ratio!R15*R28</f>
        <v>0.0130729086213548</v>
      </c>
      <c r="S47" s="94" t="n">
        <f aca="false">Ratio!S15*S28</f>
        <v>0.0137770882413049</v>
      </c>
      <c r="T47" s="53" t="n">
        <f aca="false">Ratio!T15*T28</f>
        <v>0.0123614572705219</v>
      </c>
      <c r="U47" s="53" t="n">
        <f aca="false">Ratio!U15*U28</f>
        <v>0.0166425376673626</v>
      </c>
      <c r="V47" s="94" t="n">
        <f aca="false">Ratio!V15*V28</f>
        <v>0.012805473201031</v>
      </c>
      <c r="W47" s="94" t="n">
        <f aca="false">Ratio!W15*W28</f>
        <v>0.0107684676708001</v>
      </c>
      <c r="X47" s="66" t="n">
        <f aca="false">Ratio!X15*X28</f>
        <v>0.0115244031584964</v>
      </c>
      <c r="Y47" s="67" t="n">
        <f aca="false">Ratio!Y15*Y28</f>
        <v>0.0145506629646455</v>
      </c>
      <c r="Z47" s="53" t="n">
        <f aca="false">Ratio!Z15*Z28</f>
        <v>0.0120702476350723</v>
      </c>
      <c r="AA47" s="94" t="n">
        <f aca="false">Ratio!AA15*AA28</f>
        <v>0.0145339536808918</v>
      </c>
      <c r="AB47" s="53" t="n">
        <f aca="false">Ratio!AB15*AB28</f>
        <v>0.0141869484818253</v>
      </c>
      <c r="AC47" s="68" t="n">
        <f aca="false">Ratio!AC15*AC28</f>
        <v>0.00484646990444725</v>
      </c>
      <c r="AD47" s="67" t="n">
        <f aca="false">Ratio!AD15*AD28</f>
        <v>0.00560625362705477</v>
      </c>
      <c r="AE47" s="53" t="n">
        <f aca="false">Ratio!AE15*AE28</f>
        <v>0.00711997076349245</v>
      </c>
      <c r="AF47" s="94" t="n">
        <f aca="false">Ratio!AF15*AF28</f>
        <v>0.00805213486404308</v>
      </c>
      <c r="AG47" s="53" t="n">
        <f aca="false">Ratio!AG15*AG28</f>
        <v>0.00668379746497289</v>
      </c>
      <c r="AH47" s="53" t="n">
        <f aca="false">Ratio!AH15*AH28</f>
        <v>0.00627792686975325</v>
      </c>
      <c r="AI47" s="66" t="n">
        <f aca="false">Ratio!AI15*AI28</f>
        <v>0.00884591399796967</v>
      </c>
      <c r="AJ47" s="67" t="n">
        <f aca="false">Ratio!AJ15*AJ28</f>
        <v>0.00891499342320632</v>
      </c>
      <c r="AK47" s="53" t="n">
        <f aca="false">Ratio!AK15*AK28</f>
        <v>0.0124656689841308</v>
      </c>
      <c r="AL47" s="63" t="n">
        <f aca="false">Ratio!AL15*AL28</f>
        <v>0.0125137829598246</v>
      </c>
      <c r="AM47" s="53" t="n">
        <f aca="false">Ratio!AM15*AM28</f>
        <v>0.0137096368274995</v>
      </c>
      <c r="AN47" s="68" t="n">
        <f aca="false">Ratio!AN15*AN28</f>
        <v>0.0148828331001024</v>
      </c>
      <c r="AO47" s="67" t="n">
        <f aca="false">Ratio!AO15*AO28</f>
        <v>0.0164637305277632</v>
      </c>
      <c r="AP47" s="63" t="n">
        <f aca="false">Ratio!AP15*AP28</f>
        <v>0.02483238182686</v>
      </c>
      <c r="AQ47" s="63" t="n">
        <f aca="false">Ratio!AQ15*AQ28</f>
        <v>0.0224873181868862</v>
      </c>
    </row>
    <row r="48" customFormat="false" ht="12.8" hidden="false" customHeight="false" outlineLevel="0" collapsed="false">
      <c r="A48" s="139" t="s">
        <v>188</v>
      </c>
      <c r="B48" s="65" t="n">
        <f aca="false">Ratio!B16*B29</f>
        <v>0.0320670040862239</v>
      </c>
      <c r="C48" s="65" t="n">
        <f aca="false">Ratio!C16*C29</f>
        <v>0.0317808452769935</v>
      </c>
      <c r="D48" s="53" t="n">
        <f aca="false">Ratio!D16*D29</f>
        <v>0.0317808452769935</v>
      </c>
      <c r="E48" s="94" t="n">
        <f aca="false">Ratio!E16*E29</f>
        <v>0.0320977432780507</v>
      </c>
      <c r="F48" s="53" t="n">
        <f aca="false">Ratio!F16*F29</f>
        <v>0.0329400713029913</v>
      </c>
      <c r="G48" s="94" t="n">
        <f aca="false">Ratio!G16*G29</f>
        <v>0.0341878274933298</v>
      </c>
      <c r="H48" s="53" t="n">
        <f aca="false">Ratio!H16*H29</f>
        <v>0.0379888749439224</v>
      </c>
      <c r="I48" s="66" t="n">
        <f aca="false">Ratio!I16*I29</f>
        <v>0.0341519734725422</v>
      </c>
      <c r="J48" s="67" t="n">
        <f aca="false">Ratio!J16*J29</f>
        <v>0.0347390067734459</v>
      </c>
      <c r="K48" s="94" t="n">
        <f aca="false">Ratio!K16*K29</f>
        <v>0.0311937048257315</v>
      </c>
      <c r="L48" s="53" t="n">
        <f aca="false">Ratio!L16*L29</f>
        <v>0.0311000821268037</v>
      </c>
      <c r="M48" s="94" t="n">
        <f aca="false">Ratio!M16*M29</f>
        <v>0.0310793961340843</v>
      </c>
      <c r="N48" s="94" t="n">
        <f aca="false">Ratio!N16*N29</f>
        <v>0.0310691501697286</v>
      </c>
      <c r="O48" s="53" t="n">
        <f aca="false">Ratio!O16*O29</f>
        <v>0.0327390896075205</v>
      </c>
      <c r="P48" s="68" t="n">
        <f aca="false">Ratio!P16*P29</f>
        <v>0.0376669968393279</v>
      </c>
      <c r="Q48" s="67" t="n">
        <f aca="false">Ratio!Q16*Q29</f>
        <v>0.0350887431759504</v>
      </c>
      <c r="R48" s="53" t="n">
        <f aca="false">Ratio!R16*R29</f>
        <v>0.0318811724477973</v>
      </c>
      <c r="S48" s="94" t="n">
        <f aca="false">Ratio!S16*S29</f>
        <v>0.0317062916830205</v>
      </c>
      <c r="T48" s="53" t="n">
        <f aca="false">Ratio!T16*T29</f>
        <v>0.0267687183903393</v>
      </c>
      <c r="U48" s="53" t="n">
        <f aca="false">Ratio!U16*U29</f>
        <v>0.0382838375119358</v>
      </c>
      <c r="V48" s="94" t="n">
        <f aca="false">Ratio!V16*V29</f>
        <v>0.0386753677152788</v>
      </c>
      <c r="W48" s="94" t="n">
        <f aca="false">Ratio!W16*W29</f>
        <v>0.0387933642659453</v>
      </c>
      <c r="X48" s="66" t="n">
        <f aca="false">Ratio!X16*X29</f>
        <v>0.0387361937364726</v>
      </c>
      <c r="Y48" s="67" t="n">
        <f aca="false">Ratio!Y16*Y29</f>
        <v>0.0413231745910148</v>
      </c>
      <c r="Z48" s="53" t="n">
        <f aca="false">Ratio!Z16*Z29</f>
        <v>0.040166131735784</v>
      </c>
      <c r="AA48" s="94" t="n">
        <f aca="false">Ratio!AA16*AA29</f>
        <v>0.0400948750234909</v>
      </c>
      <c r="AB48" s="53" t="n">
        <f aca="false">Ratio!AB16*AB29</f>
        <v>0.0408117942815561</v>
      </c>
      <c r="AC48" s="68" t="n">
        <f aca="false">Ratio!AC16*AC29</f>
        <v>0.0345642312033149</v>
      </c>
      <c r="AD48" s="67" t="n">
        <f aca="false">Ratio!AD16*AD29</f>
        <v>0.0300119405780086</v>
      </c>
      <c r="AE48" s="53" t="n">
        <f aca="false">Ratio!AE16*AE29</f>
        <v>0.030525933262372</v>
      </c>
      <c r="AF48" s="94" t="n">
        <f aca="false">Ratio!AF16*AF29</f>
        <v>0.0310249590377828</v>
      </c>
      <c r="AG48" s="53" t="n">
        <f aca="false">Ratio!AG16*AG29</f>
        <v>0.0372039343283179</v>
      </c>
      <c r="AH48" s="53" t="n">
        <f aca="false">Ratio!AH16*AH29</f>
        <v>0.0415342810101757</v>
      </c>
      <c r="AI48" s="66" t="n">
        <f aca="false">Ratio!AI16*AI29</f>
        <v>0.0463646602492619</v>
      </c>
      <c r="AJ48" s="67" t="n">
        <f aca="false">Ratio!AJ16*AJ29</f>
        <v>0.0497812376735407</v>
      </c>
      <c r="AK48" s="53" t="n">
        <f aca="false">Ratio!AK16*AK29</f>
        <v>0.0476084442011644</v>
      </c>
      <c r="AL48" s="63" t="n">
        <f aca="false">Ratio!AL16*AL29</f>
        <v>0.0444990078197793</v>
      </c>
      <c r="AM48" s="53" t="n">
        <f aca="false">Ratio!AM16*AM29</f>
        <v>0.05042351529127</v>
      </c>
      <c r="AN48" s="68" t="n">
        <f aca="false">Ratio!AN16*AN29</f>
        <v>0.0498753559692415</v>
      </c>
      <c r="AO48" s="67" t="n">
        <f aca="false">Ratio!AO16*AO29</f>
        <v>0.0392561633921341</v>
      </c>
      <c r="AP48" s="63" t="n">
        <f aca="false">Ratio!AP16*AP29</f>
        <v>0.0372333022107824</v>
      </c>
      <c r="AQ48" s="63" t="n">
        <f aca="false">Ratio!AQ16*AQ29</f>
        <v>0.0397120838015373</v>
      </c>
    </row>
    <row r="49" customFormat="false" ht="12.8" hidden="false" customHeight="false" outlineLevel="0" collapsed="false">
      <c r="A49" s="139" t="s">
        <v>190</v>
      </c>
      <c r="B49" s="65" t="n">
        <f aca="false">Ratio!B18*B30</f>
        <v>0.0214044006461146</v>
      </c>
      <c r="C49" s="65" t="n">
        <f aca="false">Ratio!C18*C30</f>
        <v>0.021225695505166</v>
      </c>
      <c r="D49" s="53" t="n">
        <f aca="false">Ratio!D18*D30</f>
        <v>0.021225695505166</v>
      </c>
      <c r="E49" s="94" t="n">
        <f aca="false">Ratio!E18*E30</f>
        <v>0.0214373443904619</v>
      </c>
      <c r="F49" s="53" t="n">
        <f aca="false">Ratio!F18*F30</f>
        <v>0.0219999159022335</v>
      </c>
      <c r="G49" s="94" t="n">
        <f aca="false">Ratio!G18*G30</f>
        <v>0.0239795446354434</v>
      </c>
      <c r="H49" s="53" t="n">
        <f aca="false">Ratio!H18*H30</f>
        <v>0.0258622965223814</v>
      </c>
      <c r="I49" s="66" t="n">
        <f aca="false">Ratio!I18*I30</f>
        <v>0.0263993663321712</v>
      </c>
      <c r="J49" s="67" t="n">
        <f aca="false">Ratio!J18*J30</f>
        <v>0.0219330996901317</v>
      </c>
      <c r="K49" s="94" t="n">
        <f aca="false">Ratio!K18*K30</f>
        <v>0.0208621415266071</v>
      </c>
      <c r="L49" s="53" t="n">
        <f aca="false">Ratio!L18*L30</f>
        <v>0.0220216801575602</v>
      </c>
      <c r="M49" s="94" t="n">
        <f aca="false">Ratio!M18*M30</f>
        <v>0.0220070325976743</v>
      </c>
      <c r="N49" s="94" t="n">
        <f aca="false">Ratio!N18*N30</f>
        <v>0.022473169536989</v>
      </c>
      <c r="O49" s="53" t="n">
        <f aca="false">Ratio!O18*O30</f>
        <v>0.023505933319888</v>
      </c>
      <c r="P49" s="68" t="n">
        <f aca="false">Ratio!P18*P30</f>
        <v>0.0288565156037456</v>
      </c>
      <c r="Q49" s="67" t="n">
        <f aca="false">Ratio!Q18*Q30</f>
        <v>0.0290841935491912</v>
      </c>
      <c r="R49" s="53" t="n">
        <f aca="false">Ratio!R18*R30</f>
        <v>0.0315794988709613</v>
      </c>
      <c r="S49" s="94" t="n">
        <f aca="false">Ratio!S18*S30</f>
        <v>0.0314100800714153</v>
      </c>
      <c r="T49" s="53" t="n">
        <f aca="false">Ratio!T18*T30</f>
        <v>0.0284583971445047</v>
      </c>
      <c r="U49" s="53" t="n">
        <f aca="false">Ratio!U18*U30</f>
        <v>0.0273951566316429</v>
      </c>
      <c r="V49" s="94" t="n">
        <f aca="false">Ratio!V18*V30</f>
        <v>0.0347911146856888</v>
      </c>
      <c r="W49" s="94" t="n">
        <f aca="false">Ratio!W18*W30</f>
        <v>0.0348972605808482</v>
      </c>
      <c r="X49" s="66" t="n">
        <f aca="false">Ratio!X18*X30</f>
        <v>0.0348458318145551</v>
      </c>
      <c r="Y49" s="67" t="n">
        <f aca="false">Ratio!Y18*Y30</f>
        <v>0.0371529056431556</v>
      </c>
      <c r="Z49" s="53" t="n">
        <f aca="false">Ratio!Z18*Z30</f>
        <v>0.0388766476461996</v>
      </c>
      <c r="AA49" s="94" t="n">
        <f aca="false">Ratio!AA18*AA30</f>
        <v>0.0329463051460406</v>
      </c>
      <c r="AB49" s="53" t="n">
        <f aca="false">Ratio!AB18*AB30</f>
        <v>0.0357086157093585</v>
      </c>
      <c r="AC49" s="68" t="n">
        <f aca="false">Ratio!AC18*AC30</f>
        <v>0.0310754654178485</v>
      </c>
      <c r="AD49" s="67" t="n">
        <f aca="false">Ratio!AD18*AD30</f>
        <v>0.0304646708755864</v>
      </c>
      <c r="AE49" s="53" t="n">
        <f aca="false">Ratio!AE18*AE30</f>
        <v>0.0299396062810973</v>
      </c>
      <c r="AF49" s="94" t="n">
        <f aca="false">Ratio!AF18*AF30</f>
        <v>0.0304290470169957</v>
      </c>
      <c r="AG49" s="53" t="n">
        <f aca="false">Ratio!AG18*AG30</f>
        <v>0.0290769498842931</v>
      </c>
      <c r="AH49" s="53" t="n">
        <f aca="false">Ratio!AH18*AH30</f>
        <v>0.0436956306281767</v>
      </c>
      <c r="AI49" s="66" t="n">
        <f aca="false">Ratio!AI18*AI30</f>
        <v>0.0398338475310891</v>
      </c>
      <c r="AJ49" s="67" t="n">
        <f aca="false">Ratio!AJ18*AJ30</f>
        <v>0.0462554947866706</v>
      </c>
      <c r="AK49" s="53" t="n">
        <f aca="false">Ratio!AK18*AK30</f>
        <v>0.0444093878433775</v>
      </c>
      <c r="AL49" s="63" t="n">
        <f aca="false">Ratio!AL18*AL30</f>
        <v>0.0468991864418865</v>
      </c>
      <c r="AM49" s="53" t="n">
        <f aca="false">Ratio!AM18*AM30</f>
        <v>0.0485506359047091</v>
      </c>
      <c r="AN49" s="68" t="n">
        <f aca="false">Ratio!AN18*AN30</f>
        <v>0.058494616696716</v>
      </c>
      <c r="AO49" s="67" t="n">
        <f aca="false">Ratio!AO18*AO30</f>
        <v>0.0644328603716702</v>
      </c>
      <c r="AP49" s="63" t="n">
        <f aca="false">Ratio!AP18*AP30</f>
        <v>0.0623941383144102</v>
      </c>
      <c r="AQ49" s="63" t="n">
        <f aca="false">Ratio!AQ18*AQ30</f>
        <v>0.0586794164616172</v>
      </c>
    </row>
    <row r="50" customFormat="false" ht="12.8" hidden="false" customHeight="false" outlineLevel="0" collapsed="false">
      <c r="A50" s="139" t="s">
        <v>191</v>
      </c>
      <c r="B50" s="65" t="n">
        <f aca="false">Ratio!B20*B31</f>
        <v>0.412710509259852</v>
      </c>
      <c r="C50" s="65" t="n">
        <f aca="false">Ratio!C20*C31</f>
        <v>0.486179048627705</v>
      </c>
      <c r="D50" s="53" t="n">
        <f aca="false">Ratio!D20*D31</f>
        <v>0.486179048627705</v>
      </c>
      <c r="E50" s="94" t="n">
        <f aca="false">Ratio!E20*E31</f>
        <v>0.464791819695701</v>
      </c>
      <c r="F50" s="53" t="n">
        <f aca="false">Ratio!F20*F31</f>
        <v>0.486673974514517</v>
      </c>
      <c r="G50" s="94" t="n">
        <f aca="false">Ratio!G20*G31</f>
        <v>0.494939358009844</v>
      </c>
      <c r="H50" s="53" t="n">
        <f aca="false">Ratio!H20*H31</f>
        <v>0.470521380770237</v>
      </c>
      <c r="I50" s="66" t="n">
        <f aca="false">Ratio!I20*I31</f>
        <v>0.480292470829992</v>
      </c>
      <c r="J50" s="67" t="n">
        <f aca="false">Ratio!J20*J31</f>
        <v>1.34865786984431</v>
      </c>
      <c r="K50" s="94" t="n">
        <f aca="false">Ratio!K20*K31</f>
        <v>1.23574589515456</v>
      </c>
      <c r="L50" s="53" t="n">
        <f aca="false">Ratio!L20*L31</f>
        <v>1.45654459732441</v>
      </c>
      <c r="M50" s="94" t="n">
        <f aca="false">Ratio!M20*M31</f>
        <v>1.45557578731249</v>
      </c>
      <c r="N50" s="94" t="n">
        <f aca="false">Ratio!N20*N31</f>
        <v>1.47683248014139</v>
      </c>
      <c r="O50" s="53" t="n">
        <f aca="false">Ratio!O20*O31</f>
        <v>1.56520120604456</v>
      </c>
      <c r="P50" s="68" t="n">
        <f aca="false">Ratio!P20*P31</f>
        <v>1.07662545482856</v>
      </c>
      <c r="Q50" s="67" t="n">
        <f aca="false">Ratio!Q20*Q31</f>
        <v>1.23204976090471</v>
      </c>
      <c r="R50" s="53" t="n">
        <f aca="false">Ratio!R20*R31</f>
        <v>1.03448500476741</v>
      </c>
      <c r="S50" s="94" t="n">
        <f aca="false">Ratio!S20*S31</f>
        <v>1.04064360496528</v>
      </c>
      <c r="T50" s="53" t="n">
        <f aca="false">Ratio!T20*T31</f>
        <v>0.926661797328712</v>
      </c>
      <c r="U50" s="53" t="n">
        <f aca="false">Ratio!U20*U31</f>
        <v>0.910354382123669</v>
      </c>
      <c r="V50" s="94" t="n">
        <f aca="false">Ratio!V20*V31</f>
        <v>0.884780636031085</v>
      </c>
      <c r="W50" s="94" t="n">
        <f aca="false">Ratio!W20*W31</f>
        <v>0.488261151824121</v>
      </c>
      <c r="X50" s="66" t="n">
        <f aca="false">Ratio!X20*X31</f>
        <v>0.487541591943226</v>
      </c>
      <c r="Y50" s="67" t="n">
        <f aca="false">Ratio!Y20*Y31</f>
        <v>0.540607753471597</v>
      </c>
      <c r="Z50" s="53" t="n">
        <f aca="false">Ratio!Z20*Z31</f>
        <v>0.482667675600386</v>
      </c>
      <c r="AA50" s="94" t="n">
        <f aca="false">Ratio!AA20*AA31</f>
        <v>0.502471552355146</v>
      </c>
      <c r="AB50" s="53" t="n">
        <f aca="false">Ratio!AB20*AB31</f>
        <v>0.450108881886883</v>
      </c>
      <c r="AC50" s="68" t="n">
        <f aca="false">Ratio!AC20*AC31</f>
        <v>0.398363585016174</v>
      </c>
      <c r="AD50" s="67" t="n">
        <f aca="false">Ratio!AD20*AD31</f>
        <v>0.157273902833343</v>
      </c>
      <c r="AE50" s="53" t="n">
        <f aca="false">Ratio!AE20*AE31</f>
        <v>0.16887477868765</v>
      </c>
      <c r="AF50" s="94" t="n">
        <f aca="false">Ratio!AF20*AF31</f>
        <v>0.152179245022634</v>
      </c>
      <c r="AG50" s="53" t="n">
        <f aca="false">Ratio!AG20*AG31</f>
        <v>0.0879056113962841</v>
      </c>
      <c r="AH50" s="53" t="n">
        <f aca="false">Ratio!AH20*AH31</f>
        <v>0.150606933854298</v>
      </c>
      <c r="AI50" s="66" t="n">
        <f aca="false">Ratio!AI20*AI31</f>
        <v>0.174602177128401</v>
      </c>
      <c r="AJ50" s="67" t="n">
        <f aca="false">Ratio!AJ20*AJ31</f>
        <v>0.18040356995231</v>
      </c>
      <c r="AK50" s="53" t="n">
        <f aca="false">Ratio!AK20*AK31</f>
        <v>0.203187467245304</v>
      </c>
      <c r="AL50" s="63" t="n">
        <f aca="false">Ratio!AL20*AL31</f>
        <v>0.198150986224893</v>
      </c>
      <c r="AM50" s="53" t="n">
        <f aca="false">Ratio!AM20*AM31</f>
        <v>0.20253552724097</v>
      </c>
      <c r="AN50" s="68" t="n">
        <f aca="false">Ratio!AN20*AN31</f>
        <v>0.153122451320812</v>
      </c>
      <c r="AO50" s="67" t="n">
        <f aca="false">Ratio!AO20*AO31</f>
        <v>0.166882986550117</v>
      </c>
      <c r="AP50" s="63" t="n">
        <f aca="false">Ratio!AP20*AP31</f>
        <v>0.158978140370302</v>
      </c>
      <c r="AQ50" s="63" t="n">
        <f aca="false">Ratio!AQ20*AQ31</f>
        <v>0.156233677528179</v>
      </c>
    </row>
    <row r="51" customFormat="false" ht="12.8" hidden="false" customHeight="false" outlineLevel="0" collapsed="false">
      <c r="A51" s="139" t="s">
        <v>192</v>
      </c>
      <c r="B51" s="65" t="n">
        <f aca="false">Ratio!B21*B32</f>
        <v>0.00486235246754979</v>
      </c>
      <c r="C51" s="65" t="n">
        <f aca="false">Ratio!C21*C32</f>
        <v>0.0048187819747917</v>
      </c>
      <c r="D51" s="53" t="n">
        <f aca="false">Ratio!D21*D32</f>
        <v>0.0048187819747917</v>
      </c>
      <c r="E51" s="94" t="n">
        <f aca="false">Ratio!E21*E32</f>
        <v>0.00486683174697467</v>
      </c>
      <c r="F51" s="53" t="n">
        <f aca="false">Ratio!F21*F32</f>
        <v>0.00499455003351076</v>
      </c>
      <c r="G51" s="94" t="n">
        <f aca="false">Ratio!G21*G32</f>
        <v>0.00519188645973677</v>
      </c>
      <c r="H51" s="53" t="n">
        <f aca="false">Ratio!H21*H32</f>
        <v>0.00478530964829356</v>
      </c>
      <c r="I51" s="66" t="n">
        <f aca="false">Ratio!I21*I32</f>
        <v>0.00506034285739421</v>
      </c>
      <c r="J51" s="67" t="n">
        <f aca="false">Ratio!J21*J32</f>
        <v>0.00514563712176851</v>
      </c>
      <c r="K51" s="94" t="n">
        <f aca="false">Ratio!K21*K32</f>
        <v>0.00518459301691274</v>
      </c>
      <c r="L51" s="53" t="n">
        <f aca="false">Ratio!L21*L32</f>
        <v>0.00516842910744242</v>
      </c>
      <c r="M51" s="94" t="n">
        <f aca="false">Ratio!M21*M32</f>
        <v>0.00516499136453062</v>
      </c>
      <c r="N51" s="94" t="n">
        <f aca="false">Ratio!N21*N32</f>
        <v>0.00527439245055</v>
      </c>
      <c r="O51" s="53" t="n">
        <f aca="false">Ratio!O21*O32</f>
        <v>0.00555398817666475</v>
      </c>
      <c r="P51" s="68" t="n">
        <f aca="false">Ratio!P21*P32</f>
        <v>0.00593319216649641</v>
      </c>
      <c r="Q51" s="67" t="n">
        <f aca="false">Ratio!Q21*Q32</f>
        <v>0.00596873797843975</v>
      </c>
      <c r="R51" s="53" t="n">
        <f aca="false">Ratio!R21*R32</f>
        <v>0.00632690367865389</v>
      </c>
      <c r="S51" s="94" t="n">
        <f aca="false">Ratio!S21*S32</f>
        <v>0.00629219812459046</v>
      </c>
      <c r="T51" s="53" t="n">
        <f aca="false">Ratio!T21*T32</f>
        <v>0.00602202047517382</v>
      </c>
      <c r="U51" s="53" t="n">
        <f aca="false">Ratio!U21*U32</f>
        <v>0.00801866861933042</v>
      </c>
      <c r="V51" s="94" t="n">
        <f aca="false">Ratio!V21*V32</f>
        <v>0.00882684445310792</v>
      </c>
      <c r="W51" s="94" t="n">
        <f aca="false">Ratio!W21*W32</f>
        <v>0.00885377469993593</v>
      </c>
      <c r="X51" s="66" t="n">
        <f aca="false">Ratio!X21*X32</f>
        <v>0.00884072672131883</v>
      </c>
      <c r="Y51" s="67" t="n">
        <f aca="false">Ratio!Y21*Y32</f>
        <v>0.00954243209482207</v>
      </c>
      <c r="Z51" s="53" t="n">
        <f aca="false">Ratio!Z21*Z32</f>
        <v>0.0102344919494727</v>
      </c>
      <c r="AA51" s="94" t="n">
        <f aca="false">Ratio!AA21*AA32</f>
        <v>0.0104653417128049</v>
      </c>
      <c r="AB51" s="53" t="n">
        <f aca="false">Ratio!AB21*AB32</f>
        <v>0.0128212196995757</v>
      </c>
      <c r="AC51" s="68" t="n">
        <f aca="false">Ratio!AC21*AC32</f>
        <v>0.0115757619135733</v>
      </c>
      <c r="AD51" s="67" t="n">
        <f aca="false">Ratio!AD21*AD32</f>
        <v>0.00998085660907404</v>
      </c>
      <c r="AE51" s="53" t="n">
        <f aca="false">Ratio!AE21*AE32</f>
        <v>0.0101472820810121</v>
      </c>
      <c r="AF51" s="94" t="n">
        <f aca="false">Ratio!AF21*AF32</f>
        <v>0.0106540739940559</v>
      </c>
      <c r="AG51" s="53" t="n">
        <f aca="false">Ratio!AG21*AG32</f>
        <v>0.00994720818187081</v>
      </c>
      <c r="AH51" s="53" t="n">
        <f aca="false">Ratio!AH21*AH32</f>
        <v>0.00869144026844358</v>
      </c>
      <c r="AI51" s="66" t="n">
        <f aca="false">Ratio!AI21*AI32</f>
        <v>0.0151813895958295</v>
      </c>
      <c r="AJ51" s="67" t="n">
        <f aca="false">Ratio!AJ21*AJ32</f>
        <v>0.0150081640739341</v>
      </c>
      <c r="AK51" s="53" t="n">
        <f aca="false">Ratio!AK21*AK32</f>
        <v>0.0161600615558407</v>
      </c>
      <c r="AL51" s="63" t="n">
        <f aca="false">Ratio!AL21*AL32</f>
        <v>0.0164232671452306</v>
      </c>
      <c r="AM51" s="53" t="n">
        <f aca="false">Ratio!AM21*AM32</f>
        <v>0.0170155613353049</v>
      </c>
      <c r="AN51" s="68" t="n">
        <f aca="false">Ratio!AN21*AN32</f>
        <v>0.0175766186539672</v>
      </c>
      <c r="AO51" s="67" t="n">
        <f aca="false">Ratio!AO21*AO32</f>
        <v>0.0144499385276801</v>
      </c>
      <c r="AP51" s="63" t="n">
        <f aca="false">Ratio!AP21*AP32</f>
        <v>0.0117351252518607</v>
      </c>
      <c r="AQ51" s="63" t="n">
        <f aca="false">Ratio!AQ21*AQ32</f>
        <v>0.0113962102522691</v>
      </c>
    </row>
    <row r="52" customFormat="false" ht="12.8" hidden="false" customHeight="false" outlineLevel="0" collapsed="false">
      <c r="A52" s="139" t="s">
        <v>193</v>
      </c>
      <c r="B52" s="65" t="n">
        <f aca="false">Ratio!B22*B33</f>
        <v>0.0175497882043672</v>
      </c>
      <c r="C52" s="65" t="n">
        <f aca="false">Ratio!C22*C33</f>
        <v>0.0173931777994381</v>
      </c>
      <c r="D52" s="53" t="n">
        <f aca="false">Ratio!D22*D33</f>
        <v>0.0173931777994381</v>
      </c>
      <c r="E52" s="94" t="n">
        <f aca="false">Ratio!E22*E33</f>
        <v>0.0175666113009272</v>
      </c>
      <c r="F52" s="53" t="n">
        <f aca="false">Ratio!F22*F33</f>
        <v>0.0180276047381864</v>
      </c>
      <c r="G52" s="94" t="n">
        <f aca="false">Ratio!G22*G33</f>
        <v>0.0211244201007327</v>
      </c>
      <c r="H52" s="53" t="n">
        <f aca="false">Ratio!H22*H33</f>
        <v>0.0243319520345522</v>
      </c>
      <c r="I52" s="66" t="n">
        <f aca="false">Ratio!I22*I33</f>
        <v>0.0248372419201469</v>
      </c>
      <c r="J52" s="67" t="n">
        <f aca="false">Ratio!J22*J33</f>
        <v>0.0252558843596744</v>
      </c>
      <c r="K52" s="94" t="n">
        <f aca="false">Ratio!K22*K33</f>
        <v>0.0254342210145974</v>
      </c>
      <c r="L52" s="53" t="n">
        <f aca="false">Ratio!L22*L33</f>
        <v>0.0253578844450936</v>
      </c>
      <c r="M52" s="94" t="n">
        <f aca="false">Ratio!M22*M33</f>
        <v>0.0253410178332669</v>
      </c>
      <c r="N52" s="94" t="n">
        <f aca="false">Ratio!N22*N33</f>
        <v>0.0258777728200872</v>
      </c>
      <c r="O52" s="53" t="n">
        <f aca="false">Ratio!O22*O33</f>
        <v>0.0272495544517537</v>
      </c>
      <c r="P52" s="68" t="n">
        <f aca="false">Ratio!P22*P33</f>
        <v>0.0288900488256101</v>
      </c>
      <c r="Q52" s="67" t="n">
        <f aca="false">Ratio!Q22*Q33</f>
        <v>0.027446499527024</v>
      </c>
      <c r="R52" s="53" t="n">
        <f aca="false">Ratio!R22*R33</f>
        <v>0.0280259208630214</v>
      </c>
      <c r="S52" s="94" t="n">
        <f aca="false">Ratio!S22*S33</f>
        <v>0.0278721876688572</v>
      </c>
      <c r="T52" s="53" t="n">
        <f aca="false">Ratio!T22*T33</f>
        <v>0.0252529692430919</v>
      </c>
      <c r="U52" s="53" t="n">
        <f aca="false">Ratio!U22*U33</f>
        <v>0.0215380207461491</v>
      </c>
      <c r="V52" s="94" t="n">
        <f aca="false">Ratio!V22*V33</f>
        <v>0.0217582908703162</v>
      </c>
      <c r="W52" s="94" t="n">
        <f aca="false">Ratio!W22*W33</f>
        <v>0.0218246742927052</v>
      </c>
      <c r="X52" s="66" t="n">
        <f aca="false">Ratio!X22*X33</f>
        <v>0.0217925108490727</v>
      </c>
      <c r="Y52" s="67" t="n">
        <f aca="false">Ratio!Y22*Y33</f>
        <v>0.0232479147724033</v>
      </c>
      <c r="Z52" s="53" t="n">
        <f aca="false">Ratio!Z22*Z33</f>
        <v>0.0288085282344559</v>
      </c>
      <c r="AA52" s="94" t="n">
        <f aca="false">Ratio!AA22*AA33</f>
        <v>0.0294583349818456</v>
      </c>
      <c r="AB52" s="53" t="n">
        <f aca="false">Ratio!AB22*AB33</f>
        <v>0.0319300552879515</v>
      </c>
      <c r="AC52" s="68" t="n">
        <f aca="false">Ratio!AC22*AC33</f>
        <v>0.0306010163257064</v>
      </c>
      <c r="AD52" s="67" t="n">
        <f aca="false">Ratio!AD22*AD33</f>
        <v>0.0327887612730192</v>
      </c>
      <c r="AE52" s="53" t="n">
        <f aca="false">Ratio!AE22*AE33</f>
        <v>0.0571440346157892</v>
      </c>
      <c r="AF52" s="94" t="n">
        <f aca="false">Ratio!AF22*AF33</f>
        <v>0.0580782024900079</v>
      </c>
      <c r="AG52" s="53" t="n">
        <f aca="false">Ratio!AG22*AG33</f>
        <v>0.0588773307440841</v>
      </c>
      <c r="AH52" s="53" t="n">
        <f aca="false">Ratio!AH22*AH33</f>
        <v>0.0577351234120671</v>
      </c>
      <c r="AI52" s="66" t="n">
        <f aca="false">Ratio!AI22*AI33</f>
        <v>0.0526325417466771</v>
      </c>
      <c r="AJ52" s="67" t="n">
        <f aca="false">Ratio!AJ22*AJ33</f>
        <v>0.0459197839454125</v>
      </c>
      <c r="AK52" s="53" t="n">
        <f aca="false">Ratio!AK22*AK33</f>
        <v>0.0474990380129051</v>
      </c>
      <c r="AL52" s="63" t="n">
        <f aca="false">Ratio!AL22*AL33</f>
        <v>0.0482726744407394</v>
      </c>
      <c r="AM52" s="53" t="n">
        <f aca="false">Ratio!AM22*AM33</f>
        <v>0.0448571992251346</v>
      </c>
      <c r="AN52" s="68" t="n">
        <f aca="false">Ratio!AN22*AN33</f>
        <v>0.0464111533432098</v>
      </c>
      <c r="AO52" s="67" t="n">
        <f aca="false">Ratio!AO22*AO33</f>
        <v>0.0510412785338552</v>
      </c>
      <c r="AP52" s="63" t="n">
        <f aca="false">Ratio!AP22*AP33</f>
        <v>0.048411133046602</v>
      </c>
      <c r="AQ52" s="63" t="n">
        <f aca="false">Ratio!AQ22*AQ33</f>
        <v>0.0497775280084565</v>
      </c>
    </row>
    <row r="53" customFormat="false" ht="12.8" hidden="false" customHeight="false" outlineLevel="0" collapsed="false">
      <c r="A53" s="139" t="s">
        <v>194</v>
      </c>
      <c r="B53" s="65" t="n">
        <f aca="false">Ratio!B23*B34</f>
        <v>0.0175486762446056</v>
      </c>
      <c r="C53" s="65" t="n">
        <f aca="false">Ratio!C23*C34</f>
        <v>0.0173920757625579</v>
      </c>
      <c r="D53" s="53" t="n">
        <f aca="false">Ratio!D23*D34</f>
        <v>0.0173920757625579</v>
      </c>
      <c r="E53" s="94" t="n">
        <f aca="false">Ratio!E23*E34</f>
        <v>0.0175654982752492</v>
      </c>
      <c r="F53" s="53" t="n">
        <f aca="false">Ratio!F23*F34</f>
        <v>0.019233075860822</v>
      </c>
      <c r="G53" s="94" t="n">
        <f aca="false">Ratio!G23*G34</f>
        <v>0.0212089225269401</v>
      </c>
      <c r="H53" s="53" t="n">
        <f aca="false">Ratio!H23*H34</f>
        <v>0.0213459963937159</v>
      </c>
      <c r="I53" s="66" t="n">
        <f aca="false">Ratio!I23*I34</f>
        <v>0.0193705943701411</v>
      </c>
      <c r="J53" s="67" t="n">
        <f aca="false">Ratio!J23*J34</f>
        <v>0.0196970941042213</v>
      </c>
      <c r="K53" s="94" t="n">
        <f aca="false">Ratio!K23*K34</f>
        <v>0.0186975012465545</v>
      </c>
      <c r="L53" s="53" t="n">
        <f aca="false">Ratio!L23*L34</f>
        <v>0.0186413838171024</v>
      </c>
      <c r="M53" s="94" t="n">
        <f aca="false">Ratio!M23*M34</f>
        <v>0.0186289846366646</v>
      </c>
      <c r="N53" s="94" t="n">
        <f aca="false">Ratio!N23*N34</f>
        <v>0.0190235702239097</v>
      </c>
      <c r="O53" s="53" t="n">
        <f aca="false">Ratio!O23*O34</f>
        <v>0.0200320103390351</v>
      </c>
      <c r="P53" s="68" t="n">
        <f aca="false">Ratio!P23*P34</f>
        <v>0.0197087697506873</v>
      </c>
      <c r="Q53" s="67" t="n">
        <f aca="false">Ratio!Q23*Q34</f>
        <v>0.0198642719695177</v>
      </c>
      <c r="R53" s="53" t="n">
        <f aca="false">Ratio!R23*R34</f>
        <v>0.0202836253734686</v>
      </c>
      <c r="S53" s="94" t="n">
        <f aca="false">Ratio!S23*S34</f>
        <v>0.0201723617139038</v>
      </c>
      <c r="T53" s="53" t="n">
        <f aca="false">Ratio!T23*T34</f>
        <v>0.0182767149810392</v>
      </c>
      <c r="U53" s="53" t="n">
        <f aca="false">Ratio!U23*U34</f>
        <v>0.0174268074206348</v>
      </c>
      <c r="V53" s="94" t="n">
        <f aca="false">Ratio!V23*V34</f>
        <v>0.0176050320160896</v>
      </c>
      <c r="W53" s="94" t="n">
        <f aca="false">Ratio!W23*W34</f>
        <v>0.0176587440600852</v>
      </c>
      <c r="X53" s="66" t="n">
        <f aca="false">Ratio!X23*X34</f>
        <v>0.017632720028222</v>
      </c>
      <c r="Y53" s="67" t="n">
        <f aca="false">Ratio!Y23*Y34</f>
        <v>0.0188103140230487</v>
      </c>
      <c r="Z53" s="53" t="n">
        <f aca="false">Ratio!Z23*Z34</f>
        <v>0.0187511604225875</v>
      </c>
      <c r="AA53" s="94" t="n">
        <f aca="false">Ratio!AA23*AA34</f>
        <v>0.0191741126284351</v>
      </c>
      <c r="AB53" s="53" t="n">
        <f aca="false">Ratio!AB23*AB34</f>
        <v>0.0269278575436378</v>
      </c>
      <c r="AC53" s="68" t="n">
        <f aca="false">Ratio!AC23*AC34</f>
        <v>0.0286240997492929</v>
      </c>
      <c r="AD53" s="67" t="n">
        <f aca="false">Ratio!AD23*AD34</f>
        <v>0.0306705098727791</v>
      </c>
      <c r="AE53" s="53" t="n">
        <f aca="false">Ratio!AE23*AE34</f>
        <v>0.0259265574983769</v>
      </c>
      <c r="AF53" s="94" t="n">
        <f aca="false">Ratio!AF23*AF34</f>
        <v>0.0263503945142073</v>
      </c>
      <c r="AG53" s="53" t="n">
        <f aca="false">Ratio!AG23*AG34</f>
        <v>0.0267129633241835</v>
      </c>
      <c r="AH53" s="53" t="n">
        <f aca="false">Ratio!AH23*AH34</f>
        <v>0.0268350397489494</v>
      </c>
      <c r="AI53" s="66" t="n">
        <f aca="false">Ratio!AI23*AI34</f>
        <v>0.0244633814979447</v>
      </c>
      <c r="AJ53" s="67" t="n">
        <f aca="false">Ratio!AJ23*AJ34</f>
        <v>0.0241842448615678</v>
      </c>
      <c r="AK53" s="53" t="n">
        <f aca="false">Ratio!AK23*AK34</f>
        <v>0.0250159793294884</v>
      </c>
      <c r="AL53" s="63" t="n">
        <f aca="false">Ratio!AL23*AL34</f>
        <v>0.0254234249051648</v>
      </c>
      <c r="AM53" s="53" t="n">
        <f aca="false">Ratio!AM23*AM34</f>
        <v>0.0252584052375479</v>
      </c>
      <c r="AN53" s="68" t="n">
        <f aca="false">Ratio!AN23*AN34</f>
        <v>0.0273877725102109</v>
      </c>
      <c r="AO53" s="67" t="n">
        <f aca="false">Ratio!AO23*AO34</f>
        <v>0.0334141033918369</v>
      </c>
      <c r="AP53" s="63" t="n">
        <f aca="false">Ratio!AP23*AP34</f>
        <v>0.0316922822350969</v>
      </c>
      <c r="AQ53" s="63" t="n">
        <f aca="false">Ratio!AQ23*AQ34</f>
        <v>0.03254478401773</v>
      </c>
    </row>
    <row r="54" customFormat="false" ht="12.8" hidden="false" customHeight="false" outlineLevel="0" collapsed="false">
      <c r="A54" s="139" t="s">
        <v>195</v>
      </c>
      <c r="B54" s="65" t="n">
        <f aca="false">Ratio!B24*B35</f>
        <v>0.00445779842876599</v>
      </c>
      <c r="C54" s="65" t="n">
        <f aca="false">Ratio!C24*C35</f>
        <v>0.00432677951671594</v>
      </c>
      <c r="D54" s="53" t="n">
        <f aca="false">Ratio!D24*D35</f>
        <v>0.00432677951671594</v>
      </c>
      <c r="E54" s="94" t="n">
        <f aca="false">Ratio!E24*E35</f>
        <v>0.00436032536731082</v>
      </c>
      <c r="F54" s="53" t="n">
        <f aca="false">Ratio!F24*F35</f>
        <v>0.0054134650509848</v>
      </c>
      <c r="G54" s="94" t="n">
        <f aca="false">Ratio!G24*G35</f>
        <v>0.00494432430872586</v>
      </c>
      <c r="H54" s="53" t="n">
        <f aca="false">Ratio!H24*H35</f>
        <v>0.00441670097261349</v>
      </c>
      <c r="I54" s="66" t="n">
        <f aca="false">Ratio!I24*I35</f>
        <v>0.0045102240151582</v>
      </c>
      <c r="J54" s="67" t="n">
        <f aca="false">Ratio!J24*J35</f>
        <v>0.00524869311646647</v>
      </c>
      <c r="K54" s="94" t="n">
        <f aca="false">Ratio!K24*K35</f>
        <v>0.0054349926663153</v>
      </c>
      <c r="L54" s="53" t="n">
        <f aca="false">Ratio!L24*L35</f>
        <v>0.00541868044290627</v>
      </c>
      <c r="M54" s="94" t="n">
        <f aca="false">Ratio!M24*M35</f>
        <v>0.00541507624714453</v>
      </c>
      <c r="N54" s="94" t="n">
        <f aca="false">Ratio!N24*N35</f>
        <v>0.00552977444903962</v>
      </c>
      <c r="O54" s="53" t="n">
        <f aca="false">Ratio!O24*O35</f>
        <v>0.00598502296528124</v>
      </c>
      <c r="P54" s="68" t="n">
        <f aca="false">Ratio!P24*P35</f>
        <v>0.00760584994839547</v>
      </c>
      <c r="Q54" s="67" t="n">
        <f aca="false">Ratio!Q24*Q35</f>
        <v>0.00942964148278177</v>
      </c>
      <c r="R54" s="53" t="n">
        <f aca="false">Ratio!R24*R35</f>
        <v>0.00962871005473392</v>
      </c>
      <c r="S54" s="94" t="n">
        <f aca="false">Ratio!S24*S35</f>
        <v>0.00957589279461139</v>
      </c>
      <c r="T54" s="53" t="n">
        <f aca="false">Ratio!T24*T35</f>
        <v>0.00867602245975341</v>
      </c>
      <c r="U54" s="53" t="n">
        <f aca="false">Ratio!U24*U35</f>
        <v>0.00939390640078055</v>
      </c>
      <c r="V54" s="94" t="n">
        <f aca="false">Ratio!V24*V35</f>
        <v>0.00948997822435716</v>
      </c>
      <c r="W54" s="94" t="n">
        <f aca="false">Ratio!W24*W35</f>
        <v>0.00951893165809354</v>
      </c>
      <c r="X54" s="66" t="n">
        <f aca="false">Ratio!X24*X35</f>
        <v>0.00950490342483239</v>
      </c>
      <c r="Y54" s="67" t="n">
        <f aca="false">Ratio!Y24*Y35</f>
        <v>0.0101396845122979</v>
      </c>
      <c r="Z54" s="53" t="n">
        <f aca="false">Ratio!Z24*Z35</f>
        <v>0.0124824604158814</v>
      </c>
      <c r="AA54" s="94" t="n">
        <f aca="false">Ratio!AA24*AA35</f>
        <v>0.0127640154795852</v>
      </c>
      <c r="AB54" s="53" t="n">
        <f aca="false">Ratio!AB24*AB35</f>
        <v>0.0138308899599994</v>
      </c>
      <c r="AC54" s="68" t="n">
        <f aca="false">Ratio!AC24*AC35</f>
        <v>0.0137558479205976</v>
      </c>
      <c r="AD54" s="67" t="n">
        <f aca="false">Ratio!AD24*AD35</f>
        <v>0.0147392886816487</v>
      </c>
      <c r="AE54" s="53" t="n">
        <f aca="false">Ratio!AE24*AE35</f>
        <v>0.0172188283779593</v>
      </c>
      <c r="AF54" s="94" t="n">
        <f aca="false">Ratio!AF24*AF35</f>
        <v>0.0175003149130023</v>
      </c>
      <c r="AG54" s="53" t="n">
        <f aca="false">Ratio!AG24*AG35</f>
        <v>0.0177411108657458</v>
      </c>
      <c r="AH54" s="53" t="n">
        <f aca="false">Ratio!AH24*AH35</f>
        <v>0.0192182473845275</v>
      </c>
      <c r="AI54" s="66" t="n">
        <f aca="false">Ratio!AI24*AI35</f>
        <v>0.0175247323953189</v>
      </c>
      <c r="AJ54" s="67" t="n">
        <f aca="false">Ratio!AJ24*AJ35</f>
        <v>0.0149150277602611</v>
      </c>
      <c r="AK54" s="53" t="n">
        <f aca="false">Ratio!AK24*AK35</f>
        <v>0.012883456336507</v>
      </c>
      <c r="AL54" s="63" t="n">
        <f aca="false">Ratio!AL24*AL35</f>
        <v>0.0112710143968753</v>
      </c>
      <c r="AM54" s="53" t="n">
        <f aca="false">Ratio!AM24*AM35</f>
        <v>0.0105445750475165</v>
      </c>
      <c r="AN54" s="68" t="n">
        <f aca="false">Ratio!AN24*AN35</f>
        <v>0.0141005990044998</v>
      </c>
      <c r="AO54" s="67" t="n">
        <f aca="false">Ratio!AO24*AO35</f>
        <v>0.0111218130718625</v>
      </c>
      <c r="AP54" s="63" t="n">
        <f aca="false">Ratio!AP24*AP35</f>
        <v>0.01001429331533</v>
      </c>
      <c r="AQ54" s="63" t="n">
        <f aca="false">Ratio!AQ24*AQ35</f>
        <v>0.00936081573752688</v>
      </c>
    </row>
    <row r="55" customFormat="false" ht="12.8" hidden="false" customHeight="false" outlineLevel="0" collapsed="false">
      <c r="A55" s="139" t="s">
        <v>196</v>
      </c>
      <c r="B55" s="65" t="n">
        <f aca="false">Ratio!B25*B36</f>
        <v>0.00893001865327557</v>
      </c>
      <c r="C55" s="65" t="n">
        <f aca="false">Ratio!C25*C36</f>
        <v>0.00892917356762898</v>
      </c>
      <c r="D55" s="53" t="n">
        <f aca="false">Ratio!D25*D36</f>
        <v>0.00892917356762898</v>
      </c>
      <c r="E55" s="94" t="n">
        <f aca="false">Ratio!E25*E36</f>
        <v>0.00726943523998807</v>
      </c>
      <c r="F55" s="53" t="n">
        <f aca="false">Ratio!F25*F36</f>
        <v>0.00746020407302065</v>
      </c>
      <c r="G55" s="94" t="n">
        <f aca="false">Ratio!G25*G36</f>
        <v>0.00822660355342123</v>
      </c>
      <c r="H55" s="53" t="n">
        <f aca="false">Ratio!H25*H36</f>
        <v>0.00822490926914397</v>
      </c>
      <c r="I55" s="66" t="n">
        <f aca="false">Ratio!I25*I36</f>
        <v>0.00837708589541802</v>
      </c>
      <c r="J55" s="67" t="n">
        <f aca="false">Ratio!J25*J36</f>
        <v>0.00851828529616729</v>
      </c>
      <c r="K55" s="94" t="n">
        <f aca="false">Ratio!K25*K36</f>
        <v>0.00857843454628912</v>
      </c>
      <c r="L55" s="53" t="n">
        <f aca="false">Ratio!L25*L36</f>
        <v>0.00855268780670543</v>
      </c>
      <c r="M55" s="94" t="n">
        <f aca="false">Ratio!M25*M36</f>
        <v>0.00854699904881148</v>
      </c>
      <c r="N55" s="94" t="n">
        <f aca="false">Ratio!N25*N36</f>
        <v>0.00872803535887538</v>
      </c>
      <c r="O55" s="53" t="n">
        <f aca="false">Ratio!O25*O36</f>
        <v>0.00919070881493675</v>
      </c>
      <c r="P55" s="68" t="n">
        <f aca="false">Ratio!P25*P36</f>
        <v>0.0115751833909824</v>
      </c>
      <c r="Q55" s="67" t="n">
        <f aca="false">Ratio!Q25*Q36</f>
        <v>0.0104772197000962</v>
      </c>
      <c r="R55" s="53" t="n">
        <f aca="false">Ratio!R25*R36</f>
        <v>0.0111916741563402</v>
      </c>
      <c r="S55" s="94" t="n">
        <f aca="false">Ratio!S25*S36</f>
        <v>0.01113028342365</v>
      </c>
      <c r="T55" s="53" t="n">
        <f aca="false">Ratio!T25*T36</f>
        <v>0.0106688234533241</v>
      </c>
      <c r="U55" s="53" t="n">
        <f aca="false">Ratio!U25*U36</f>
        <v>0.00872452071516452</v>
      </c>
      <c r="V55" s="94" t="n">
        <f aca="false">Ratio!V25*V36</f>
        <v>0.00881374670690616</v>
      </c>
      <c r="W55" s="94" t="n">
        <f aca="false">Ratio!W25*W36</f>
        <v>0.00884063699318655</v>
      </c>
      <c r="X55" s="66" t="n">
        <f aca="false">Ratio!X25*X36</f>
        <v>0.00882760837586139</v>
      </c>
      <c r="Y55" s="67" t="n">
        <f aca="false">Ratio!Y25*Y36</f>
        <v>0.00941715659051334</v>
      </c>
      <c r="Z55" s="53" t="n">
        <f aca="false">Ratio!Z25*Z36</f>
        <v>0.00939797845416998</v>
      </c>
      <c r="AA55" s="94" t="n">
        <f aca="false">Ratio!AA25*AA36</f>
        <v>0.00960995977309202</v>
      </c>
      <c r="AB55" s="53" t="n">
        <f aca="false">Ratio!AB25*AB36</f>
        <v>0.0107604137788308</v>
      </c>
      <c r="AC55" s="68" t="n">
        <f aca="false">Ratio!AC25*AC36</f>
        <v>0.0123927937289918</v>
      </c>
      <c r="AD55" s="67" t="n">
        <f aca="false">Ratio!AD25*AD36</f>
        <v>0.00730883369879127</v>
      </c>
      <c r="AE55" s="53" t="n">
        <f aca="false">Ratio!AE25*AE36</f>
        <v>0.00579481125052889</v>
      </c>
      <c r="AF55" s="94" t="n">
        <f aca="false">Ratio!AF25*AF36</f>
        <v>0.00524372958395329</v>
      </c>
      <c r="AG55" s="53" t="n">
        <f aca="false">Ratio!AG25*AG36</f>
        <v>0.00531588079193865</v>
      </c>
      <c r="AH55" s="53" t="n">
        <f aca="false">Ratio!AH25*AH36</f>
        <v>0.00545862129263952</v>
      </c>
      <c r="AI55" s="66" t="n">
        <f aca="false">Ratio!AI25*AI36</f>
        <v>0.00497619293222298</v>
      </c>
      <c r="AJ55" s="67" t="n">
        <f aca="false">Ratio!AJ25*AJ36</f>
        <v>0.00126401412495095</v>
      </c>
      <c r="AK55" s="53" t="n">
        <f aca="false">Ratio!AK25*AK36</f>
        <v>0.00163732178467055</v>
      </c>
      <c r="AL55" s="63" t="n">
        <f aca="false">Ratio!AL25*AL36</f>
        <v>0.00210684031285717</v>
      </c>
      <c r="AM55" s="53" t="n">
        <f aca="false">Ratio!AM25*AM36</f>
        <v>0.00337385471777509</v>
      </c>
      <c r="AN55" s="68" t="n">
        <f aca="false">Ratio!AN25*AN36</f>
        <v>0.00265026214355403</v>
      </c>
      <c r="AO55" s="67" t="n">
        <f aca="false">Ratio!AO25*AO36</f>
        <v>0.00272965109172378</v>
      </c>
      <c r="AP55" s="63" t="n">
        <f aca="false">Ratio!AP25*AP36</f>
        <v>0.0038159147167593</v>
      </c>
      <c r="AQ55" s="63" t="n">
        <f aca="false">Ratio!AQ25*AQ36</f>
        <v>0.00391856034115079</v>
      </c>
    </row>
    <row r="56" customFormat="false" ht="12.8" hidden="false" customHeight="false" outlineLevel="0" collapsed="false">
      <c r="A56" s="139" t="s">
        <v>197</v>
      </c>
      <c r="B56" s="65" t="n">
        <f aca="false">Ratio!B26*B37</f>
        <v>0.0144054667164507</v>
      </c>
      <c r="C56" s="65" t="n">
        <f aca="false">Ratio!C26*C37</f>
        <v>0.01185652022794</v>
      </c>
      <c r="D56" s="53" t="n">
        <f aca="false">Ratio!D26*D37</f>
        <v>0.01185652022794</v>
      </c>
      <c r="E56" s="94" t="n">
        <f aca="false">Ratio!E26*E37</f>
        <v>0.0119747457668449</v>
      </c>
      <c r="F56" s="53" t="n">
        <f aca="false">Ratio!F26*F37</f>
        <v>0.0139821444559229</v>
      </c>
      <c r="G56" s="94" t="n">
        <f aca="false">Ratio!G26*G37</f>
        <v>0.00867293661856496</v>
      </c>
      <c r="H56" s="53" t="n">
        <f aca="false">Ratio!H26*H37</f>
        <v>0.0106209095719262</v>
      </c>
      <c r="I56" s="66" t="n">
        <f aca="false">Ratio!I26*I37</f>
        <v>0.0108414688667534</v>
      </c>
      <c r="J56" s="67" t="n">
        <f aca="false">Ratio!J26*J37</f>
        <v>0.00765569896307472</v>
      </c>
      <c r="K56" s="94" t="n">
        <f aca="false">Ratio!K26*K37</f>
        <v>0.00770975732526583</v>
      </c>
      <c r="L56" s="53" t="n">
        <f aca="false">Ratio!L26*L37</f>
        <v>0.00575131958498537</v>
      </c>
      <c r="M56" s="94" t="n">
        <f aca="false">Ratio!M26*M37</f>
        <v>0.00574749413672523</v>
      </c>
      <c r="N56" s="94" t="n">
        <f aca="false">Ratio!N26*N37</f>
        <v>0.00586923337229602</v>
      </c>
      <c r="O56" s="53" t="n">
        <f aca="false">Ratio!O26*O37</f>
        <v>0.00430582195887907</v>
      </c>
      <c r="P56" s="68" t="n">
        <f aca="false">Ratio!P26*P37</f>
        <v>0.00421218139982581</v>
      </c>
      <c r="Q56" s="67" t="n">
        <f aca="false">Ratio!Q26*Q37</f>
        <v>0.005746512819224</v>
      </c>
      <c r="R56" s="53" t="n">
        <f aca="false">Ratio!R26*R37</f>
        <v>0.00552374922094217</v>
      </c>
      <c r="S56" s="94" t="n">
        <f aca="false">Ratio!S26*S37</f>
        <v>0.00549344928483488</v>
      </c>
      <c r="T56" s="53" t="n">
        <f aca="false">Ratio!T26*T37</f>
        <v>0.00485582531617251</v>
      </c>
      <c r="U56" s="53" t="n">
        <f aca="false">Ratio!U26*U37</f>
        <v>0.00436412847387529</v>
      </c>
      <c r="V56" s="94" t="n">
        <f aca="false">Ratio!V26*V37</f>
        <v>0.00429350384948024</v>
      </c>
      <c r="W56" s="94" t="n">
        <f aca="false">Ratio!W26*W37</f>
        <v>0.00430660310811539</v>
      </c>
      <c r="X56" s="66" t="n">
        <f aca="false">Ratio!X26*X37</f>
        <v>0.00409632102525952</v>
      </c>
      <c r="Y56" s="67" t="n">
        <f aca="false">Ratio!Y26*Y37</f>
        <v>0.00399617626910812</v>
      </c>
      <c r="Z56" s="53" t="n">
        <f aca="false">Ratio!Z26*Z37</f>
        <v>0.00398360932237317</v>
      </c>
      <c r="AA56" s="94" t="n">
        <f aca="false">Ratio!AA26*AA37</f>
        <v>0.00353397095798975</v>
      </c>
      <c r="AB56" s="53" t="n">
        <f aca="false">Ratio!AB26*AB37</f>
        <v>0.00393697065614385</v>
      </c>
      <c r="AC56" s="68" t="n">
        <f aca="false">Ratio!AC26*AC37</f>
        <v>0.00620547049709887</v>
      </c>
      <c r="AD56" s="67" t="n">
        <f aca="false">Ratio!AD26*AD37</f>
        <v>0.00544980416069274</v>
      </c>
      <c r="AE56" s="53" t="n">
        <f aca="false">Ratio!AE26*AE37</f>
        <v>0.00458986820043038</v>
      </c>
      <c r="AF56" s="94" t="n">
        <f aca="false">Ratio!AF26*AF37</f>
        <v>0.00466490153415574</v>
      </c>
      <c r="AG56" s="53" t="n">
        <f aca="false">Ratio!AG26*AG37</f>
        <v>0.00472908834536204</v>
      </c>
      <c r="AH56" s="53" t="n">
        <f aca="false">Ratio!AH26*AH37</f>
        <v>0.00533601628777668</v>
      </c>
      <c r="AI56" s="66" t="n">
        <f aca="false">Ratio!AI26*AI37</f>
        <v>0.00486442365460772</v>
      </c>
      <c r="AJ56" s="67" t="n">
        <f aca="false">Ratio!AJ26*AJ37</f>
        <v>0.00480891870092935</v>
      </c>
      <c r="AK56" s="53" t="n">
        <f aca="false">Ratio!AK26*AK37</f>
        <v>0.00497430502826295</v>
      </c>
      <c r="AL56" s="63" t="n">
        <f aca="false">Ratio!AL26*AL37</f>
        <v>0.00535057723048798</v>
      </c>
      <c r="AM56" s="53" t="n">
        <f aca="false">Ratio!AM26*AM37</f>
        <v>0.00531584742994271</v>
      </c>
      <c r="AN56" s="68" t="n">
        <f aca="false">Ratio!AN26*AN37</f>
        <v>0.00550487237125568</v>
      </c>
      <c r="AO56" s="67" t="n">
        <f aca="false">Ratio!AO26*AO37</f>
        <v>0.0051724623247974</v>
      </c>
      <c r="AP56" s="63" t="n">
        <f aca="false">Ratio!AP26*AP37</f>
        <v>0.00353190669308269</v>
      </c>
      <c r="AQ56" s="63" t="n">
        <f aca="false">Ratio!AQ26*AQ37</f>
        <v>0.00381052514107304</v>
      </c>
    </row>
    <row r="57" customFormat="false" ht="12.8" hidden="false" customHeight="false" outlineLevel="0" collapsed="false">
      <c r="A57" s="139" t="s">
        <v>198</v>
      </c>
      <c r="B57" s="65" t="n">
        <f aca="false">Ratio!B27*B38</f>
        <v>0.108044950078878</v>
      </c>
      <c r="C57" s="65" t="n">
        <f aca="false">Ratio!C27*C38</f>
        <v>0.107080780985475</v>
      </c>
      <c r="D57" s="53" t="n">
        <f aca="false">Ratio!D27*D38</f>
        <v>0.107080780985475</v>
      </c>
      <c r="E57" s="94" t="n">
        <f aca="false">Ratio!E27*E38</f>
        <v>0.10814852116514</v>
      </c>
      <c r="F57" s="53" t="n">
        <f aca="false">Ratio!F27*F38</f>
        <v>0.110986618829644</v>
      </c>
      <c r="G57" s="94" t="n">
        <f aca="false">Ratio!G27*G38</f>
        <v>0.122388463359617</v>
      </c>
      <c r="H57" s="53" t="n">
        <f aca="false">Ratio!H27*H38</f>
        <v>0.128717095194751</v>
      </c>
      <c r="I57" s="66" t="n">
        <f aca="false">Ratio!I27*I38</f>
        <v>0.13139010088754</v>
      </c>
      <c r="J57" s="67" t="n">
        <f aca="false">Ratio!J27*J38</f>
        <v>0.0654663215142128</v>
      </c>
      <c r="K57" s="94" t="n">
        <f aca="false">Ratio!K27*K38</f>
        <v>0.134548146523194</v>
      </c>
      <c r="L57" s="53" t="n">
        <f aca="false">Ratio!L27*L38</f>
        <v>0.134144322716962</v>
      </c>
      <c r="M57" s="94" t="n">
        <f aca="false">Ratio!M27*M38</f>
        <v>0.134055097599428</v>
      </c>
      <c r="N57" s="94" t="n">
        <f aca="false">Ratio!N27*N38</f>
        <v>0.136894555060001</v>
      </c>
      <c r="O57" s="53" t="n">
        <f aca="false">Ratio!O27*O38</f>
        <v>0.144151340155536</v>
      </c>
      <c r="P57" s="68" t="n">
        <f aca="false">Ratio!P27*P38</f>
        <v>0.120236018564904</v>
      </c>
      <c r="Q57" s="67" t="n">
        <f aca="false">Ratio!Q27*Q38</f>
        <v>0.121184680906932</v>
      </c>
      <c r="R57" s="53" t="n">
        <f aca="false">Ratio!R27*R38</f>
        <v>0.123743003131024</v>
      </c>
      <c r="S57" s="94" t="n">
        <f aca="false">Ratio!S27*S38</f>
        <v>0.123064224109996</v>
      </c>
      <c r="T57" s="53" t="n">
        <f aca="false">Ratio!T27*T38</f>
        <v>0.11687228645752</v>
      </c>
      <c r="U57" s="53" t="n">
        <f aca="false">Ratio!U27*U38</f>
        <v>0.153462671853225</v>
      </c>
      <c r="V57" s="94" t="n">
        <f aca="false">Ratio!V27*V38</f>
        <v>0.155032140198646</v>
      </c>
      <c r="W57" s="94" t="n">
        <f aca="false">Ratio!W27*W38</f>
        <v>0.155505135256394</v>
      </c>
      <c r="X57" s="66" t="n">
        <f aca="false">Ratio!X27*X38</f>
        <v>0.15527596433795</v>
      </c>
      <c r="Y57" s="67" t="n">
        <f aca="false">Ratio!Y27*Y38</f>
        <v>0.143338891166427</v>
      </c>
      <c r="Z57" s="53" t="n">
        <f aca="false">Ratio!Z27*Z38</f>
        <v>0.142888127213831</v>
      </c>
      <c r="AA57" s="94" t="n">
        <f aca="false">Ratio!AA27*AA38</f>
        <v>0.146257267317882</v>
      </c>
      <c r="AB57" s="53" t="n">
        <f aca="false">Ratio!AB27*AB38</f>
        <v>0.158529076222491</v>
      </c>
      <c r="AC57" s="68" t="n">
        <f aca="false">Ratio!AC27*AC38</f>
        <v>0.179392700422867</v>
      </c>
      <c r="AD57" s="67" t="n">
        <f aca="false">Ratio!AD27*AD38</f>
        <v>0.173303347369472</v>
      </c>
      <c r="AE57" s="53" t="n">
        <f aca="false">Ratio!AE27*AE38</f>
        <v>0.15831027088463</v>
      </c>
      <c r="AF57" s="94" t="n">
        <f aca="false">Ratio!AF27*AF38</f>
        <v>0.160898264018359</v>
      </c>
      <c r="AG57" s="53" t="n">
        <f aca="false">Ratio!AG27*AG38</f>
        <v>0.163112147081132</v>
      </c>
      <c r="AH57" s="53" t="n">
        <f aca="false">Ratio!AH27*AH38</f>
        <v>0.192827420432139</v>
      </c>
      <c r="AI57" s="66" t="n">
        <f aca="false">Ratio!AI27*AI38</f>
        <v>0.175785495137218</v>
      </c>
      <c r="AJ57" s="67" t="n">
        <f aca="false">Ratio!AJ27*AJ38</f>
        <v>0.173779714708189</v>
      </c>
      <c r="AK57" s="53" t="n">
        <f aca="false">Ratio!AK27*AK38</f>
        <v>0.179756274215238</v>
      </c>
      <c r="AL57" s="63" t="n">
        <f aca="false">Ratio!AL27*AL38</f>
        <v>0.182684038811795</v>
      </c>
      <c r="AM57" s="53" t="n">
        <f aca="false">Ratio!AM27*AM38</f>
        <v>0.181498263902392</v>
      </c>
      <c r="AN57" s="68" t="n">
        <f aca="false">Ratio!AN27*AN38</f>
        <v>0.0222500356150367</v>
      </c>
      <c r="AO57" s="67" t="n">
        <f aca="false">Ratio!AO27*AO38</f>
        <v>0.022916538333839</v>
      </c>
      <c r="AP57" s="63" t="n">
        <f aca="false">Ratio!AP27*AP38</f>
        <v>0.0193661430564093</v>
      </c>
      <c r="AQ57" s="63" t="n">
        <f aca="false">Ratio!AQ27*AQ38</f>
        <v>0.019887079710824</v>
      </c>
    </row>
    <row r="58" customFormat="false" ht="12.8" hidden="false" customHeight="false" outlineLevel="0" collapsed="false">
      <c r="A58" s="139" t="s">
        <v>28</v>
      </c>
      <c r="B58" s="65" t="n">
        <f aca="false">Ratio!B28*B39</f>
        <v>0.0128725152392293</v>
      </c>
      <c r="C58" s="65" t="n">
        <f aca="false">Ratio!C28*C39</f>
        <v>0.0127576437775001</v>
      </c>
      <c r="D58" s="53" t="n">
        <f aca="false">Ratio!D28*D39</f>
        <v>0.0127576437775001</v>
      </c>
      <c r="E58" s="94" t="n">
        <f aca="false">Ratio!E28*E39</f>
        <v>0.0128848547366818</v>
      </c>
      <c r="F58" s="53" t="n">
        <f aca="false">Ratio!F28*F39</f>
        <v>0.0132229867401681</v>
      </c>
      <c r="G58" s="94" t="n">
        <f aca="false">Ratio!G28*G39</f>
        <v>0.0145814067066751</v>
      </c>
      <c r="H58" s="53" t="n">
        <f aca="false">Ratio!H28*H39</f>
        <v>0.0162164146208138</v>
      </c>
      <c r="I58" s="66" t="n">
        <f aca="false">Ratio!I28*I39</f>
        <v>0.0156029532133742</v>
      </c>
      <c r="J58" s="67" t="n">
        <f aca="false">Ratio!J28*J39</f>
        <v>0.0158659477285495</v>
      </c>
      <c r="K58" s="94" t="n">
        <f aca="false">Ratio!K28*K39</f>
        <v>0.015977980235699</v>
      </c>
      <c r="L58" s="53" t="n">
        <f aca="false">Ratio!L28*L39</f>
        <v>0.0159300249946836</v>
      </c>
      <c r="M58" s="94" t="n">
        <f aca="false">Ratio!M28*M39</f>
        <v>0.0159194292547844</v>
      </c>
      <c r="N58" s="94" t="n">
        <f aca="false">Ratio!N28*N39</f>
        <v>0.00686842322298633</v>
      </c>
      <c r="O58" s="53" t="n">
        <f aca="false">Ratio!O28*O39</f>
        <v>0.00723251857544613</v>
      </c>
      <c r="P58" s="68" t="n">
        <f aca="false">Ratio!P28*P39</f>
        <v>0.029641160990773</v>
      </c>
      <c r="Q58" s="67" t="n">
        <f aca="false">Ratio!Q28*Q39</f>
        <v>0.0298750297893374</v>
      </c>
      <c r="R58" s="53" t="n">
        <f aca="false">Ratio!R28*R39</f>
        <v>0.0305057196759095</v>
      </c>
      <c r="S58" s="94" t="n">
        <f aca="false">Ratio!S28*S39</f>
        <v>0.0303383838103378</v>
      </c>
      <c r="T58" s="53" t="n">
        <f aca="false">Ratio!T28*T39</f>
        <v>0.0274874108322546</v>
      </c>
      <c r="U58" s="53" t="n">
        <f aca="false">Ratio!U28*U39</f>
        <v>0.0435194578243993</v>
      </c>
      <c r="V58" s="94" t="n">
        <f aca="false">Ratio!V28*V39</f>
        <v>0.0439645329077435</v>
      </c>
      <c r="W58" s="94" t="n">
        <f aca="false">Ratio!W28*W39</f>
        <v>0.0440986664284115</v>
      </c>
      <c r="X58" s="66" t="n">
        <f aca="false">Ratio!X28*X39</f>
        <v>0.0440336773727712</v>
      </c>
      <c r="Y58" s="67" t="n">
        <f aca="false">Ratio!Y28*Y39</f>
        <v>0.0469744485051499</v>
      </c>
      <c r="Z58" s="53" t="n">
        <f aca="false">Ratio!Z28*Z39</f>
        <v>0.0308512225029075</v>
      </c>
      <c r="AA58" s="94" t="n">
        <f aca="false">Ratio!AA28*AA39</f>
        <v>0.0315471043745692</v>
      </c>
      <c r="AB58" s="53" t="n">
        <f aca="false">Ratio!AB28*AB39</f>
        <v>0.0341940842031819</v>
      </c>
      <c r="AC58" s="68" t="n">
        <f aca="false">Ratio!AC28*AC39</f>
        <v>0.00986705544397531</v>
      </c>
      <c r="AD58" s="67" t="n">
        <f aca="false">Ratio!AD28*AD39</f>
        <v>0.0105724764817164</v>
      </c>
      <c r="AE58" s="53" t="n">
        <f aca="false">Ratio!AE28*AE39</f>
        <v>0.0145634612779572</v>
      </c>
      <c r="AF58" s="94" t="n">
        <f aca="false">Ratio!AF28*AF39</f>
        <v>0.0157312561709958</v>
      </c>
      <c r="AG58" s="53" t="n">
        <f aca="false">Ratio!AG28*AG39</f>
        <v>0.0181449508666105</v>
      </c>
      <c r="AH58" s="53" t="n">
        <f aca="false">Ratio!AH28*AH39</f>
        <v>0.0199004831375655</v>
      </c>
      <c r="AI58" s="66" t="n">
        <f aca="false">Ratio!AI28*AI39</f>
        <v>0.0181416951695308</v>
      </c>
      <c r="AJ58" s="67" t="n">
        <f aca="false">Ratio!AJ28*AJ39</f>
        <v>0.0141375307921316</v>
      </c>
      <c r="AK58" s="53" t="n">
        <f aca="false">Ratio!AK28*AK39</f>
        <v>0.0156679744192211</v>
      </c>
      <c r="AL58" s="63" t="n">
        <f aca="false">Ratio!AL28*AL39</f>
        <v>0.016031301816969</v>
      </c>
      <c r="AM58" s="53" t="n">
        <f aca="false">Ratio!AM28*AM39</f>
        <v>0.0258368723500079</v>
      </c>
      <c r="AN58" s="68" t="n">
        <f aca="false">Ratio!AN28*AN39</f>
        <v>0.0328674421219043</v>
      </c>
      <c r="AO58" s="67" t="n">
        <f aca="false">Ratio!AO28*AO39</f>
        <v>0.0289927900727985</v>
      </c>
      <c r="AP58" s="63" t="n">
        <f aca="false">Ratio!AP28*AP39</f>
        <v>0.0259923053850426</v>
      </c>
      <c r="AQ58" s="63" t="n">
        <f aca="false">Ratio!AQ28*AQ39</f>
        <v>0.0202691842144336</v>
      </c>
    </row>
    <row r="59" customFormat="false" ht="12.8" hidden="false" customHeight="false" outlineLevel="0" collapsed="false">
      <c r="A59" s="139" t="s">
        <v>199</v>
      </c>
      <c r="B59" s="65" t="n">
        <f aca="false">Ratio!B29*B40</f>
        <v>0.00107391453699497</v>
      </c>
      <c r="C59" s="65" t="n">
        <f aca="false">Ratio!C29*C40</f>
        <v>0.00106433116262375</v>
      </c>
      <c r="D59" s="53" t="n">
        <f aca="false">Ratio!D29*D40</f>
        <v>0.00106433116262375</v>
      </c>
      <c r="E59" s="94" t="n">
        <f aca="false">Ratio!E29*E40</f>
        <v>0.000802145878129775</v>
      </c>
      <c r="F59" s="53" t="n">
        <f aca="false">Ratio!F29*F40</f>
        <v>0.00082319626623296</v>
      </c>
      <c r="G59" s="94" t="n">
        <f aca="false">Ratio!G29*G40</f>
        <v>0.000907764621807874</v>
      </c>
      <c r="H59" s="53" t="n">
        <f aca="false">Ratio!H29*H40</f>
        <v>0.00101354653823107</v>
      </c>
      <c r="I59" s="66" t="n">
        <f aca="false">Ratio!I29*I40</f>
        <v>0.00103459436923207</v>
      </c>
      <c r="J59" s="67" t="n">
        <f aca="false">Ratio!J29*J40</f>
        <v>0.00105203290415673</v>
      </c>
      <c r="K59" s="94" t="n">
        <f aca="false">Ratio!K29*K40</f>
        <v>0.00105946151074696</v>
      </c>
      <c r="L59" s="53" t="n">
        <f aca="false">Ratio!L29*L40</f>
        <v>0.00105628171384241</v>
      </c>
      <c r="M59" s="94" t="n">
        <f aca="false">Ratio!M29*M40</f>
        <v>0.00105557913576711</v>
      </c>
      <c r="N59" s="94" t="n">
        <f aca="false">Ratio!N29*N40</f>
        <v>0.00107793764436509</v>
      </c>
      <c r="O59" s="53" t="n">
        <f aca="false">Ratio!O29*O40</f>
        <v>0.00113507915615214</v>
      </c>
      <c r="P59" s="68" t="n">
        <f aca="false">Ratio!P29*P40</f>
        <v>0.00140901153540431</v>
      </c>
      <c r="Q59" s="67" t="n">
        <f aca="false">Ratio!Q29*Q40</f>
        <v>0.00142012863824151</v>
      </c>
      <c r="R59" s="53" t="n">
        <f aca="false">Ratio!R29*R40</f>
        <v>0.00145010888515962</v>
      </c>
      <c r="S59" s="94" t="n">
        <f aca="false">Ratio!S29*S40</f>
        <v>0.0014421544678225</v>
      </c>
      <c r="T59" s="53" t="n">
        <f aca="false">Ratio!T29*T40</f>
        <v>0.00130663164486373</v>
      </c>
      <c r="U59" s="53" t="n">
        <f aca="false">Ratio!U29*U40</f>
        <v>0.00141650843684938</v>
      </c>
      <c r="V59" s="94" t="n">
        <f aca="false">Ratio!V29*V40</f>
        <v>0.00143099512032629</v>
      </c>
      <c r="W59" s="94" t="n">
        <f aca="false">Ratio!W29*W40</f>
        <v>0.00143536101257745</v>
      </c>
      <c r="X59" s="66" t="n">
        <f aca="false">Ratio!X29*X40</f>
        <v>0.00143324569335659</v>
      </c>
      <c r="Y59" s="67" t="n">
        <f aca="false">Ratio!Y29*Y40</f>
        <v>0.00152896442075126</v>
      </c>
      <c r="Z59" s="53" t="n">
        <f aca="false">Ratio!Z29*Z40</f>
        <v>0.000953627835315552</v>
      </c>
      <c r="AA59" s="94" t="n">
        <f aca="false">Ratio!AA29*AA40</f>
        <v>0.000975137917220589</v>
      </c>
      <c r="AB59" s="53" t="n">
        <f aca="false">Ratio!AB29*AB40</f>
        <v>0.00105695748349048</v>
      </c>
      <c r="AC59" s="68" t="n">
        <f aca="false">Ratio!AC29*AC40</f>
        <v>0.00113190377679938</v>
      </c>
      <c r="AD59" s="67" t="n">
        <f aca="false">Ratio!AD29*AD40</f>
        <v>0.00121282647368566</v>
      </c>
      <c r="AE59" s="53" t="n">
        <f aca="false">Ratio!AE29*AE40</f>
        <v>0.000831405915002228</v>
      </c>
      <c r="AF59" s="94" t="n">
        <f aca="false">Ratio!AF29*AF40</f>
        <v>0.000844997407123015</v>
      </c>
      <c r="AG59" s="53" t="n">
        <f aca="false">Ratio!AG29*AG40</f>
        <v>0.000680085465702643</v>
      </c>
      <c r="AH59" s="53" t="n">
        <f aca="false">Ratio!AH29*AH40</f>
        <v>0.000691631039368249</v>
      </c>
      <c r="AI59" s="66" t="n">
        <f aca="false">Ratio!AI29*AI40</f>
        <v>0.000630505269609221</v>
      </c>
      <c r="AJ59" s="67" t="n">
        <f aca="false">Ratio!AJ29*AJ40</f>
        <v>0.000623310960834228</v>
      </c>
      <c r="AK59" s="53" t="n">
        <f aca="false">Ratio!AK29*AK40</f>
        <v>0.000644747611568047</v>
      </c>
      <c r="AL59" s="63" t="n">
        <f aca="false">Ratio!AL29*AL40</f>
        <v>0.000655248881908147</v>
      </c>
      <c r="AM59" s="53" t="n">
        <f aca="false">Ratio!AM29*AM40</f>
        <v>0.000650995758927975</v>
      </c>
      <c r="AN59" s="68" t="n">
        <f aca="false">Ratio!AN29*AN40</f>
        <v>0.000939712578866289</v>
      </c>
      <c r="AO59" s="67" t="n">
        <f aca="false">Ratio!AO29*AO40</f>
        <v>0.000967861791727943</v>
      </c>
      <c r="AP59" s="63" t="n">
        <f aca="false">Ratio!AP29*AP40</f>
        <v>0.000917988093479777</v>
      </c>
      <c r="AQ59" s="63" t="n">
        <f aca="false">Ratio!AQ29*AQ40</f>
        <v>0.000942681376226729</v>
      </c>
    </row>
    <row r="60" customFormat="false" ht="12.8" hidden="false" customHeight="false" outlineLevel="0" collapsed="false">
      <c r="A60" s="139" t="s">
        <v>200</v>
      </c>
      <c r="B60" s="65" t="n">
        <f aca="false">Ratio!B30*B41</f>
        <v>0.0163840896526906</v>
      </c>
      <c r="C60" s="65" t="n">
        <f aca="false">Ratio!C30*C41</f>
        <v>0.0162378816822568</v>
      </c>
      <c r="D60" s="53" t="n">
        <f aca="false">Ratio!D30*D41</f>
        <v>0.0162378816822568</v>
      </c>
      <c r="E60" s="94" t="n">
        <f aca="false">Ratio!E30*E41</f>
        <v>0.0163997953192813</v>
      </c>
      <c r="F60" s="53" t="n">
        <f aca="false">Ratio!F30*F41</f>
        <v>0.0168301684791965</v>
      </c>
      <c r="G60" s="94" t="n">
        <f aca="false">Ratio!G30*G41</f>
        <v>0.0185591603742248</v>
      </c>
      <c r="H60" s="53" t="n">
        <f aca="false">Ratio!H30*H41</f>
        <v>0.0137575444726271</v>
      </c>
      <c r="I60" s="66" t="n">
        <f aca="false">Ratio!I30*I41</f>
        <v>0.0126220998392524</v>
      </c>
      <c r="J60" s="67" t="n">
        <f aca="false">Ratio!J30*J41</f>
        <v>0.0129523316427268</v>
      </c>
      <c r="K60" s="94" t="n">
        <f aca="false">Ratio!K30*K41</f>
        <v>0.0114364937114336</v>
      </c>
      <c r="L60" s="53" t="n">
        <f aca="false">Ratio!L30*L41</f>
        <v>0.0114021689842645</v>
      </c>
      <c r="M60" s="94" t="n">
        <f aca="false">Ratio!M30*M41</f>
        <v>0.0113945849147552</v>
      </c>
      <c r="N60" s="94" t="n">
        <f aca="false">Ratio!N30*N41</f>
        <v>0.0116359367150651</v>
      </c>
      <c r="O60" s="53" t="n">
        <f aca="false">Ratio!O30*O41</f>
        <v>0.0105333412448874</v>
      </c>
      <c r="P60" s="68" t="n">
        <f aca="false">Ratio!P30*P41</f>
        <v>0.00844666259861845</v>
      </c>
      <c r="Q60" s="67" t="n">
        <f aca="false">Ratio!Q30*Q41</f>
        <v>0.00895548378955856</v>
      </c>
      <c r="R60" s="53" t="n">
        <f aca="false">Ratio!R30*R41</f>
        <v>0.00914454244808585</v>
      </c>
      <c r="S60" s="94" t="n">
        <f aca="false">Ratio!S30*S41</f>
        <v>0.00946179403155392</v>
      </c>
      <c r="T60" s="53" t="n">
        <f aca="false">Ratio!T30*T41</f>
        <v>0.00743638299725737</v>
      </c>
      <c r="U60" s="53" t="n">
        <f aca="false">Ratio!U30*U41</f>
        <v>0.00496693200129441</v>
      </c>
      <c r="V60" s="94" t="n">
        <f aca="false">Ratio!V30*V41</f>
        <v>0.00501772899613201</v>
      </c>
      <c r="W60" s="94" t="n">
        <f aca="false">Ratio!W30*W41</f>
        <v>0.00503303782830865</v>
      </c>
      <c r="X60" s="66" t="n">
        <f aca="false">Ratio!X30*X41</f>
        <v>0.00641414553553855</v>
      </c>
      <c r="Y60" s="67" t="n">
        <f aca="false">Ratio!Y30*Y41</f>
        <v>0.00416196266737297</v>
      </c>
      <c r="Z60" s="53" t="n">
        <f aca="false">Ratio!Z30*Z41</f>
        <v>0.00569667980395641</v>
      </c>
      <c r="AA60" s="94" t="n">
        <f aca="false">Ratio!AA30*AA41</f>
        <v>0.00997980871368753</v>
      </c>
      <c r="AB60" s="53" t="n">
        <f aca="false">Ratio!AB30*AB41</f>
        <v>0.0108171709021437</v>
      </c>
      <c r="AC60" s="68" t="n">
        <f aca="false">Ratio!AC30*AC41</f>
        <v>0.0157883040859451</v>
      </c>
      <c r="AD60" s="67" t="n">
        <f aca="false">Ratio!AD30*AD41</f>
        <v>0.00987441461416463</v>
      </c>
      <c r="AE60" s="53" t="n">
        <f aca="false">Ratio!AE30*AE41</f>
        <v>0.0100390652224882</v>
      </c>
      <c r="AF60" s="94" t="n">
        <f aca="false">Ratio!AF30*AF41</f>
        <v>0.0102031798545945</v>
      </c>
      <c r="AG60" s="53" t="n">
        <f aca="false">Ratio!AG30*AG41</f>
        <v>0.0113413236735267</v>
      </c>
      <c r="AH60" s="53" t="n">
        <f aca="false">Ratio!AH30*AH41</f>
        <v>0.0108172561696898</v>
      </c>
      <c r="AI60" s="66" t="n">
        <f aca="false">Ratio!AI30*AI41</f>
        <v>0.00986123616420123</v>
      </c>
      <c r="AJ60" s="67" t="n">
        <f aca="false">Ratio!AJ30*AJ41</f>
        <v>0.0134593205426929</v>
      </c>
      <c r="AK60" s="53" t="n">
        <f aca="false">Ratio!AK30*AK41</f>
        <v>0.0100839894136298</v>
      </c>
      <c r="AL60" s="63" t="n">
        <f aca="false">Ratio!AL30*AL41</f>
        <v>0.0102482315093573</v>
      </c>
      <c r="AM60" s="53" t="n">
        <f aca="false">Ratio!AM30*AM41</f>
        <v>0.0106971609217825</v>
      </c>
      <c r="AN60" s="68" t="n">
        <f aca="false">Ratio!AN30*AN41</f>
        <v>0.0100323930776535</v>
      </c>
      <c r="AO60" s="67" t="n">
        <f aca="false">Ratio!AO30*AO41</f>
        <v>0.00601602575137538</v>
      </c>
      <c r="AP60" s="63" t="n">
        <f aca="false">Ratio!AP30*AP41</f>
        <v>0.0124691127328335</v>
      </c>
      <c r="AQ60" s="63" t="n">
        <f aca="false">Ratio!AQ30*AQ41</f>
        <v>0.0119581828036247</v>
      </c>
    </row>
    <row r="61" customFormat="false" ht="12.8" hidden="false" customHeight="false" outlineLevel="0" collapsed="false">
      <c r="A61" s="139"/>
      <c r="B61" s="65"/>
      <c r="C61" s="65"/>
      <c r="D61" s="53"/>
      <c r="E61" s="94"/>
      <c r="F61" s="53"/>
      <c r="G61" s="94"/>
      <c r="H61" s="53"/>
      <c r="I61" s="66"/>
      <c r="J61" s="67"/>
      <c r="K61" s="94"/>
      <c r="L61" s="53"/>
      <c r="M61" s="94"/>
      <c r="N61" s="94"/>
      <c r="O61" s="53"/>
      <c r="P61" s="68"/>
      <c r="Q61" s="67"/>
      <c r="R61" s="53"/>
      <c r="S61" s="94"/>
      <c r="T61" s="53"/>
      <c r="U61" s="53"/>
      <c r="V61" s="94"/>
      <c r="W61" s="94"/>
      <c r="X61" s="66"/>
      <c r="Y61" s="67"/>
      <c r="Z61" s="53"/>
      <c r="AA61" s="94"/>
      <c r="AB61" s="53"/>
      <c r="AC61" s="68"/>
      <c r="AD61" s="67"/>
      <c r="AE61" s="53"/>
      <c r="AF61" s="94"/>
      <c r="AG61" s="53"/>
      <c r="AH61" s="53"/>
      <c r="AI61" s="66"/>
      <c r="AJ61" s="67"/>
      <c r="AK61" s="53"/>
      <c r="AL61" s="63"/>
      <c r="AM61" s="53"/>
      <c r="AN61" s="68"/>
      <c r="AO61" s="67"/>
      <c r="AP61" s="63"/>
      <c r="AQ61" s="63"/>
    </row>
    <row r="62" customFormat="false" ht="12.8" hidden="false" customHeight="false" outlineLevel="0" collapsed="false">
      <c r="A62" s="1" t="s">
        <v>206</v>
      </c>
      <c r="B62" s="65"/>
      <c r="C62" s="65"/>
      <c r="K62" s="40"/>
    </row>
    <row r="63" customFormat="false" ht="12.8" hidden="false" customHeight="false" outlineLevel="0" collapsed="false">
      <c r="A63" s="139" t="s">
        <v>183</v>
      </c>
      <c r="B63" s="65" t="n">
        <f aca="false">Ratio!B38*B25</f>
        <v>3.16090197445412</v>
      </c>
      <c r="C63" s="65" t="n">
        <f aca="false">Ratio!C38*C25</f>
        <v>3.12125743191343</v>
      </c>
      <c r="D63" s="63" t="n">
        <f aca="false">Ratio!D38*D25</f>
        <v>3.12584727895916</v>
      </c>
      <c r="E63" s="65" t="n">
        <f aca="false">Ratio!E38*E25</f>
        <v>3.03108096665267</v>
      </c>
      <c r="F63" s="63" t="n">
        <f aca="false">Ratio!F38*F25</f>
        <v>3.01330871007358</v>
      </c>
      <c r="G63" s="65" t="n">
        <f aca="false">Ratio!G38*G25</f>
        <v>3.67600347413308</v>
      </c>
      <c r="H63" s="63" t="n">
        <f aca="false">Ratio!H38*H25</f>
        <v>3.54455237103703</v>
      </c>
      <c r="I63" s="66" t="n">
        <f aca="false">Ratio!I38*I25</f>
        <v>3.40149845904757</v>
      </c>
      <c r="J63" s="67" t="n">
        <f aca="false">Ratio!J38*J25</f>
        <v>3.38663252809001</v>
      </c>
      <c r="K63" s="65" t="n">
        <f aca="false">Ratio!K38*K25</f>
        <v>3.50191379212496</v>
      </c>
      <c r="L63" s="63" t="n">
        <f aca="false">Ratio!L38*L25</f>
        <v>3.27794746251405</v>
      </c>
      <c r="M63" s="65" t="n">
        <f aca="false">Ratio!M38*M25</f>
        <v>3.27827732608125</v>
      </c>
      <c r="N63" s="65" t="n">
        <f aca="false">Ratio!N38*N25</f>
        <v>3.34772822588779</v>
      </c>
      <c r="O63" s="63" t="n">
        <f aca="false">Ratio!O38*O25</f>
        <v>3.5963736327393</v>
      </c>
      <c r="P63" s="68" t="n">
        <f aca="false">Ratio!P38*P25</f>
        <v>3.23901317645027</v>
      </c>
      <c r="Q63" s="67" t="n">
        <f aca="false">Ratio!Q38*Q25</f>
        <v>3.21075847717071</v>
      </c>
      <c r="R63" s="63" t="n">
        <f aca="false">Ratio!R38*R25</f>
        <v>3.15547911835948</v>
      </c>
      <c r="S63" s="65" t="n">
        <f aca="false">Ratio!S38*S25</f>
        <v>3.28765483869725</v>
      </c>
      <c r="T63" s="63" t="n">
        <f aca="false">Ratio!T38*T25</f>
        <v>3.75612381195177</v>
      </c>
      <c r="U63" s="63" t="n">
        <f aca="false">Ratio!U38*U25</f>
        <v>3.18870458599169</v>
      </c>
      <c r="V63" s="65" t="n">
        <f aca="false">Ratio!V38*V25</f>
        <v>2.94253849356848</v>
      </c>
      <c r="W63" s="65" t="n">
        <f aca="false">Ratio!W38*W25</f>
        <v>2.92613522592841</v>
      </c>
      <c r="X63" s="66" t="n">
        <f aca="false">Ratio!X38*X25</f>
        <v>3.24646991553718</v>
      </c>
      <c r="Y63" s="67" t="n">
        <f aca="false">Ratio!Y38*Y25</f>
        <v>3.13867367561157</v>
      </c>
      <c r="Z63" s="63" t="n">
        <f aca="false">Ratio!Z38*Z25</f>
        <v>3.01857820905781</v>
      </c>
      <c r="AA63" s="65" t="n">
        <f aca="false">Ratio!AA38*AA25</f>
        <v>3.01541592934943</v>
      </c>
      <c r="AB63" s="63" t="n">
        <f aca="false">Ratio!AB38*AB25</f>
        <v>2.78844909935411</v>
      </c>
      <c r="AC63" s="68" t="n">
        <f aca="false">Ratio!AC38*AC25</f>
        <v>3.21337769872833</v>
      </c>
      <c r="AD63" s="67" t="n">
        <f aca="false">Ratio!AD38*AD25</f>
        <v>3.15677293336839</v>
      </c>
      <c r="AE63" s="63" t="n">
        <f aca="false">Ratio!AE38*AE25</f>
        <v>2.93229808917184</v>
      </c>
      <c r="AF63" s="65" t="n">
        <f aca="false">Ratio!AF38*AF25</f>
        <v>2.86410566940617</v>
      </c>
      <c r="AG63" s="63" t="n">
        <f aca="false">Ratio!AG38*AG25</f>
        <v>2.75079844010264</v>
      </c>
      <c r="AH63" s="63" t="n">
        <f aca="false">Ratio!AH38*AH25</f>
        <v>2.49714880828195</v>
      </c>
      <c r="AI63" s="66" t="n">
        <f aca="false">Ratio!AI38*AI25</f>
        <v>3.63278816880087</v>
      </c>
      <c r="AJ63" s="67" t="n">
        <f aca="false">Ratio!AJ38*AJ25</f>
        <v>3.76180787505656</v>
      </c>
      <c r="AK63" s="63" t="n">
        <f aca="false">Ratio!AK38*AK25</f>
        <v>3.350893182106</v>
      </c>
      <c r="AL63" s="63" t="n">
        <f aca="false">Ratio!AL38*AL25</f>
        <v>3.09315811041693</v>
      </c>
      <c r="AM63" s="63" t="n">
        <f aca="false">Ratio!AM38*AM25</f>
        <v>2.86643280141941</v>
      </c>
      <c r="AN63" s="68" t="n">
        <f aca="false">Ratio!AN38*AN25</f>
        <v>2.30510659060802</v>
      </c>
      <c r="AO63" s="67" t="n">
        <f aca="false">Ratio!AO38*AO25</f>
        <v>2.14295325436357</v>
      </c>
      <c r="AP63" s="63" t="n">
        <f aca="false">Ratio!AP38*AP25</f>
        <v>2.1407673483077</v>
      </c>
      <c r="AQ63" s="63" t="n">
        <f aca="false">Ratio!AQ38*AQ25</f>
        <v>2.11694920924755</v>
      </c>
    </row>
    <row r="64" customFormat="false" ht="12.8" hidden="false" customHeight="false" outlineLevel="0" collapsed="false">
      <c r="A64" s="139" t="s">
        <v>31</v>
      </c>
      <c r="B64" s="65" t="n">
        <f aca="false">Ratio!B40*B26</f>
        <v>3.14507710295105</v>
      </c>
      <c r="C64" s="65" t="n">
        <f aca="false">Ratio!C40*C26</f>
        <v>2.753843231024</v>
      </c>
      <c r="D64" s="63" t="n">
        <f aca="false">Ratio!D40*D26</f>
        <v>2.75315494228843</v>
      </c>
      <c r="E64" s="65" t="n">
        <f aca="false">Ratio!E40*E26</f>
        <v>2.51267054331392</v>
      </c>
      <c r="F64" s="63" t="n">
        <f aca="false">Ratio!F40*F26</f>
        <v>2.19826371095511</v>
      </c>
      <c r="G64" s="65" t="n">
        <f aca="false">Ratio!G40*G26</f>
        <v>0.920444710577583</v>
      </c>
      <c r="H64" s="63" t="n">
        <f aca="false">Ratio!H40*H26</f>
        <v>0.825698617454333</v>
      </c>
      <c r="I64" s="66" t="n">
        <f aca="false">Ratio!I40*I26</f>
        <v>0.765271139145438</v>
      </c>
      <c r="J64" s="67" t="n">
        <f aca="false">Ratio!J40*J26</f>
        <v>0.796780548607445</v>
      </c>
      <c r="K64" s="65" t="n">
        <f aca="false">Ratio!K40*K26</f>
        <v>0.927078118704082</v>
      </c>
      <c r="L64" s="63" t="n">
        <f aca="false">Ratio!L40*L26</f>
        <v>0.920664486980406</v>
      </c>
      <c r="M64" s="65" t="n">
        <f aca="false">Ratio!M40*M26</f>
        <v>0.919586888722986</v>
      </c>
      <c r="N64" s="65" t="n">
        <f aca="false">Ratio!N40*N26</f>
        <v>0.856579643899198</v>
      </c>
      <c r="O64" s="63" t="n">
        <f aca="false">Ratio!O40*O26</f>
        <v>0.554118838599387</v>
      </c>
      <c r="P64" s="68" t="n">
        <f aca="false">Ratio!P40*P26</f>
        <v>0.834057591968689</v>
      </c>
      <c r="Q64" s="67" t="n">
        <f aca="false">Ratio!Q40*Q26</f>
        <v>0.932452763422114</v>
      </c>
      <c r="R64" s="63" t="n">
        <f aca="false">Ratio!R40*R26</f>
        <v>1.05676469526653</v>
      </c>
      <c r="S64" s="65" t="n">
        <f aca="false">Ratio!S40*S26</f>
        <v>1.06934366862246</v>
      </c>
      <c r="T64" s="63" t="n">
        <f aca="false">Ratio!T40*T26</f>
        <v>0.828014331586821</v>
      </c>
      <c r="U64" s="63" t="n">
        <f aca="false">Ratio!U40*U26</f>
        <v>-0.600290647409662</v>
      </c>
      <c r="V64" s="65" t="n">
        <f aca="false">Ratio!V40*V26</f>
        <v>-0.554387514750258</v>
      </c>
      <c r="W64" s="65" t="n">
        <f aca="false">Ratio!W40*W26</f>
        <v>-0.556078922442997</v>
      </c>
      <c r="X64" s="66" t="n">
        <f aca="false">Ratio!X40*X26</f>
        <v>-0.616779850974565</v>
      </c>
      <c r="Y64" s="67" t="n">
        <f aca="false">Ratio!Y40*Y26</f>
        <v>-0.685630591678279</v>
      </c>
      <c r="Z64" s="63" t="n">
        <f aca="false">Ratio!Z40*Z26</f>
        <v>-0.641583725025995</v>
      </c>
      <c r="AA64" s="65" t="n">
        <f aca="false">Ratio!AA40*AA26</f>
        <v>-0.680517630381784</v>
      </c>
      <c r="AB64" s="63" t="n">
        <f aca="false">Ratio!AB40*AB26</f>
        <v>-0.617619946405117</v>
      </c>
      <c r="AC64" s="68" t="n">
        <f aca="false">Ratio!AC40*AC26</f>
        <v>1.09551513444387</v>
      </c>
      <c r="AD64" s="67" t="n">
        <f aca="false">Ratio!AD40*AD26</f>
        <v>1.2469244339933</v>
      </c>
      <c r="AE64" s="63" t="n">
        <f aca="false">Ratio!AE40*AE26</f>
        <v>1.23325702635004</v>
      </c>
      <c r="AF64" s="65" t="n">
        <f aca="false">Ratio!AF40*AF26</f>
        <v>1.09905456364816</v>
      </c>
      <c r="AG64" s="63" t="n">
        <f aca="false">Ratio!AG40*AG26</f>
        <v>1.0551444321072</v>
      </c>
      <c r="AH64" s="63" t="n">
        <f aca="false">Ratio!AH40*AH26</f>
        <v>-2.17467540333337</v>
      </c>
      <c r="AI64" s="66" t="n">
        <f aca="false">Ratio!AI40*AI26</f>
        <v>-4.52590881840033</v>
      </c>
      <c r="AJ64" s="67" t="n">
        <f aca="false">Ratio!AJ40*AJ26</f>
        <v>-4.46575950487567</v>
      </c>
      <c r="AK64" s="63" t="n">
        <f aca="false">Ratio!AK40*AK26</f>
        <v>-4.1862883262591</v>
      </c>
      <c r="AL64" s="63" t="n">
        <f aca="false">Ratio!AL40*AL26</f>
        <v>-3.67045446478015</v>
      </c>
      <c r="AM64" s="63" t="n">
        <f aca="false">Ratio!AM40*AM26</f>
        <v>-3.30759711613537</v>
      </c>
      <c r="AN64" s="68" t="n">
        <f aca="false">Ratio!AN40*AN26</f>
        <v>1.4551285134235</v>
      </c>
      <c r="AO64" s="67" t="n">
        <f aca="false">Ratio!AO40*AO26</f>
        <v>1.3895590061471</v>
      </c>
      <c r="AP64" s="63" t="n">
        <f aca="false">Ratio!AP40*AP26</f>
        <v>1.75645610648119</v>
      </c>
      <c r="AQ64" s="63" t="n">
        <f aca="false">Ratio!AQ40*AQ26</f>
        <v>1.5112551968973</v>
      </c>
    </row>
    <row r="65" customFormat="false" ht="12.8" hidden="false" customHeight="false" outlineLevel="0" collapsed="false">
      <c r="A65" s="139" t="s">
        <v>29</v>
      </c>
      <c r="B65" s="65" t="n">
        <f aca="false">Ratio!B42*B27</f>
        <v>0.759667410566975</v>
      </c>
      <c r="C65" s="65" t="n">
        <f aca="false">Ratio!C42*C27</f>
        <v>0.685443331645462</v>
      </c>
      <c r="D65" s="63" t="n">
        <f aca="false">Ratio!D42*D27</f>
        <v>0.685443331645462</v>
      </c>
      <c r="E65" s="65" t="n">
        <f aca="false">Ratio!E42*E27</f>
        <v>0.749220639957437</v>
      </c>
      <c r="F65" s="63" t="n">
        <f aca="false">Ratio!F42*F27</f>
        <v>0.468376324346479</v>
      </c>
      <c r="G65" s="65" t="n">
        <f aca="false">Ratio!G42*G27</f>
        <v>0.580409556061245</v>
      </c>
      <c r="H65" s="63" t="n">
        <f aca="false">Ratio!H42*H27</f>
        <v>0.527522016120118</v>
      </c>
      <c r="I65" s="66" t="n">
        <f aca="false">Ratio!I42*I27</f>
        <v>0.487842407785147</v>
      </c>
      <c r="J65" s="67" t="n">
        <f aca="false">Ratio!J42*J27</f>
        <v>0.441398558109809</v>
      </c>
      <c r="K65" s="65" t="n">
        <f aca="false">Ratio!K42*K27</f>
        <v>0.38900875778971</v>
      </c>
      <c r="L65" s="63" t="n">
        <f aca="false">Ratio!L42*L27</f>
        <v>0.370214396009947</v>
      </c>
      <c r="M65" s="65" t="n">
        <f aca="false">Ratio!M42*M27</f>
        <v>0.369968150605536</v>
      </c>
      <c r="N65" s="65" t="n">
        <f aca="false">Ratio!N42*N27</f>
        <v>0.334664235021086</v>
      </c>
      <c r="O65" s="63" t="n">
        <f aca="false">Ratio!O42*O27</f>
        <v>0.35214177660133</v>
      </c>
      <c r="P65" s="68" t="n">
        <f aca="false">Ratio!P42*P27</f>
        <v>0.624439507518493</v>
      </c>
      <c r="Q65" s="67" t="n">
        <f aca="false">Ratio!Q42*Q27</f>
        <v>0.717444161089752</v>
      </c>
      <c r="R65" s="63" t="n">
        <f aca="false">Ratio!R42*R27</f>
        <v>0.791464640998027</v>
      </c>
      <c r="S65" s="65" t="n">
        <f aca="false">Ratio!S42*S27</f>
        <v>0.787123146282354</v>
      </c>
      <c r="T65" s="63" t="n">
        <f aca="false">Ratio!T42*T27</f>
        <v>0.637087650213077</v>
      </c>
      <c r="U65" s="63" t="n">
        <f aca="false">Ratio!U42*U27</f>
        <v>0.314791333613326</v>
      </c>
      <c r="V65" s="65" t="n">
        <f aca="false">Ratio!V42*V27</f>
        <v>0.390677448549434</v>
      </c>
      <c r="W65" s="65" t="n">
        <f aca="false">Ratio!W42*W27</f>
        <v>0.391869385280105</v>
      </c>
      <c r="X65" s="66" t="n">
        <f aca="false">Ratio!X42*X27</f>
        <v>0.391291879805534</v>
      </c>
      <c r="Y65" s="67" t="n">
        <f aca="false">Ratio!Y42*Y27</f>
        <v>0.511581157483129</v>
      </c>
      <c r="Z65" s="63" t="n">
        <f aca="false">Ratio!Z42*Z27</f>
        <v>0.552377916519092</v>
      </c>
      <c r="AA65" s="65" t="n">
        <f aca="false">Ratio!AA42*AA27</f>
        <v>0.547214806153619</v>
      </c>
      <c r="AB65" s="63" t="n">
        <f aca="false">Ratio!AB42*AB27</f>
        <v>0.635551410531679</v>
      </c>
      <c r="AC65" s="68" t="n">
        <f aca="false">Ratio!AC42*AC27</f>
        <v>0.818453293162029</v>
      </c>
      <c r="AD65" s="67" t="n">
        <f aca="false">Ratio!AD42*AD27</f>
        <v>0.950426992216899</v>
      </c>
      <c r="AE65" s="63" t="n">
        <f aca="false">Ratio!AE42*AE27</f>
        <v>0.707642671795511</v>
      </c>
      <c r="AF65" s="65" t="n">
        <f aca="false">Ratio!AF42*AF27</f>
        <v>0.652589897628293</v>
      </c>
      <c r="AG65" s="63" t="n">
        <f aca="false">Ratio!AG42*AG27</f>
        <v>0.618922497504627</v>
      </c>
      <c r="AH65" s="63" t="n">
        <f aca="false">Ratio!AH42*AH27</f>
        <v>0.6157748912141</v>
      </c>
      <c r="AI65" s="66" t="n">
        <f aca="false">Ratio!AI42*AI27</f>
        <v>0.554650559072259</v>
      </c>
      <c r="AJ65" s="67" t="n">
        <f aca="false">Ratio!AJ42*AJ27</f>
        <v>0.468574667524965</v>
      </c>
      <c r="AK65" s="63" t="n">
        <f aca="false">Ratio!AK42*AK27</f>
        <v>0.494629216484812</v>
      </c>
      <c r="AL65" s="63" t="n">
        <f aca="false">Ratio!AL42*AL27</f>
        <v>0.500612251960205</v>
      </c>
      <c r="AM65" s="63" t="n">
        <f aca="false">Ratio!AM42*AM27</f>
        <v>0.455214564105754</v>
      </c>
      <c r="AN65" s="68" t="n">
        <f aca="false">Ratio!AN42*AN27</f>
        <v>0.526720977716026</v>
      </c>
      <c r="AO65" s="67" t="n">
        <f aca="false">Ratio!AO42*AO27</f>
        <v>0.460748585772746</v>
      </c>
      <c r="AP65" s="63" t="n">
        <f aca="false">Ratio!AP42*AP27</f>
        <v>0.399894143813242</v>
      </c>
      <c r="AQ65" s="63" t="n">
        <f aca="false">Ratio!AQ42*AQ27</f>
        <v>0.392469505054262</v>
      </c>
    </row>
    <row r="66" customFormat="false" ht="12.8" hidden="false" customHeight="false" outlineLevel="0" collapsed="false">
      <c r="A66" s="139" t="s">
        <v>187</v>
      </c>
      <c r="B66" s="65" t="n">
        <f aca="false">Ratio!B45*B28</f>
        <v>0.275177919374463</v>
      </c>
      <c r="C66" s="65" t="n">
        <f aca="false">Ratio!C45*C28</f>
        <v>0.280765944948862</v>
      </c>
      <c r="D66" s="63" t="n">
        <f aca="false">Ratio!D45*D28</f>
        <v>0.280765944948862</v>
      </c>
      <c r="E66" s="65" t="n">
        <f aca="false">Ratio!E45*E28</f>
        <v>0.270078212205645</v>
      </c>
      <c r="F66" s="63" t="n">
        <f aca="false">Ratio!F45*F28</f>
        <v>0.286864660411422</v>
      </c>
      <c r="G66" s="65" t="n">
        <f aca="false">Ratio!G45*G28</f>
        <v>0.0941580439552111</v>
      </c>
      <c r="H66" s="63" t="n">
        <f aca="false">Ratio!H45*H28</f>
        <v>0.0962078863381946</v>
      </c>
      <c r="I66" s="66" t="n">
        <f aca="false">Ratio!I45*I28</f>
        <v>0.116726593580743</v>
      </c>
      <c r="J66" s="67" t="n">
        <f aca="false">Ratio!J45*J28</f>
        <v>0.0910543004414761</v>
      </c>
      <c r="K66" s="65" t="n">
        <f aca="false">Ratio!K45*K28</f>
        <v>0.0957704097457998</v>
      </c>
      <c r="L66" s="63" t="n">
        <f aca="false">Ratio!L45*L28</f>
        <v>0.0899879894012235</v>
      </c>
      <c r="M66" s="65" t="n">
        <f aca="false">Ratio!M45*M28</f>
        <v>0.0899281345466284</v>
      </c>
      <c r="N66" s="65" t="n">
        <f aca="false">Ratio!N45*N28</f>
        <v>0.0903810456903952</v>
      </c>
      <c r="O66" s="63" t="n">
        <f aca="false">Ratio!O45*O28</f>
        <v>0.102938195327087</v>
      </c>
      <c r="P66" s="68" t="n">
        <f aca="false">Ratio!P45*P28</f>
        <v>0.136334883247007</v>
      </c>
      <c r="Q66" s="67" t="n">
        <f aca="false">Ratio!Q45*Q28</f>
        <v>0.133339368229227</v>
      </c>
      <c r="R66" s="63" t="n">
        <f aca="false">Ratio!R45*R28</f>
        <v>0.108804654289065</v>
      </c>
      <c r="S66" s="65" t="n">
        <f aca="false">Ratio!S45*S28</f>
        <v>0.114665478557423</v>
      </c>
      <c r="T66" s="63" t="n">
        <f aca="false">Ratio!T45*T28</f>
        <v>0.102883308052129</v>
      </c>
      <c r="U66" s="63" t="n">
        <f aca="false">Ratio!U45*U28</f>
        <v>0.798723252919626</v>
      </c>
      <c r="V66" s="65" t="n">
        <f aca="false">Ratio!V45*V28</f>
        <v>0.614571492324789</v>
      </c>
      <c r="W66" s="65" t="n">
        <f aca="false">Ratio!W45*W28</f>
        <v>0.516809737726996</v>
      </c>
      <c r="X66" s="66" t="n">
        <f aca="false">Ratio!X45*X28</f>
        <v>0.553089256139278</v>
      </c>
      <c r="Y66" s="67" t="n">
        <f aca="false">Ratio!Y45*Y28</f>
        <v>0.698328168909626</v>
      </c>
      <c r="Z66" s="63" t="n">
        <f aca="false">Ratio!Z45*Z28</f>
        <v>0.579285902626301</v>
      </c>
      <c r="AA66" s="65" t="n">
        <f aca="false">Ratio!AA45*AA28</f>
        <v>0.697526242320036</v>
      </c>
      <c r="AB66" s="63" t="n">
        <f aca="false">Ratio!AB45*AB28</f>
        <v>0.68087246469801</v>
      </c>
      <c r="AC66" s="68" t="n">
        <f aca="false">Ratio!AC45*AC28</f>
        <v>1.57790880361648</v>
      </c>
      <c r="AD66" s="67" t="n">
        <f aca="false">Ratio!AD45*AD28</f>
        <v>1.82527842488387</v>
      </c>
      <c r="AE66" s="63" t="n">
        <f aca="false">Ratio!AE45*AE28</f>
        <v>2.31811292976306</v>
      </c>
      <c r="AF66" s="65" t="n">
        <f aca="false">Ratio!AF45*AF28</f>
        <v>2.6216059813395</v>
      </c>
      <c r="AG66" s="63" t="n">
        <f aca="false">Ratio!AG45*AG28</f>
        <v>10.2235877812145</v>
      </c>
      <c r="AH66" s="63" t="n">
        <f aca="false">Ratio!AH45*AH28</f>
        <v>9.60276501095746</v>
      </c>
      <c r="AI66" s="66" t="n">
        <f aca="false">Ratio!AI45*AI28</f>
        <v>13.5307777857216</v>
      </c>
      <c r="AJ66" s="67" t="n">
        <f aca="false">Ratio!AJ45*AJ28</f>
        <v>13.6364422035146</v>
      </c>
      <c r="AK66" s="63" t="n">
        <f aca="false">Ratio!AK45*AK28</f>
        <v>19.0675827295347</v>
      </c>
      <c r="AL66" s="63" t="n">
        <f aca="false">Ratio!AL45*AL28</f>
        <v>4.85258023633083</v>
      </c>
      <c r="AM66" s="63" t="n">
        <f aca="false">Ratio!AM45*AM28</f>
        <v>5.31630706158018</v>
      </c>
      <c r="AN66" s="68" t="n">
        <f aca="false">Ratio!AN45*AN28</f>
        <v>5.7712477509023</v>
      </c>
      <c r="AO66" s="67" t="n">
        <f aca="false">Ratio!AO45*AO28</f>
        <v>6.38428632107424</v>
      </c>
      <c r="AP66" s="63" t="n">
        <f aca="false">Ratio!AP45*AP28</f>
        <v>9.6294722116333</v>
      </c>
      <c r="AQ66" s="63" t="n">
        <f aca="false">Ratio!AQ45*AQ28</f>
        <v>8.72010615431803</v>
      </c>
    </row>
    <row r="67" customFormat="false" ht="12.8" hidden="false" customHeight="false" outlineLevel="0" collapsed="false">
      <c r="A67" s="139" t="s">
        <v>188</v>
      </c>
      <c r="B67" s="65" t="n">
        <f aca="false">Ratio!B46*B29</f>
        <v>0.293076559138913</v>
      </c>
      <c r="C67" s="65" t="n">
        <f aca="false">Ratio!C46*C29</f>
        <v>0.290461209137677</v>
      </c>
      <c r="D67" s="63" t="n">
        <f aca="false">Ratio!D46*D29</f>
        <v>0.290461209137677</v>
      </c>
      <c r="E67" s="65" t="n">
        <f aca="false">Ratio!E46*E29</f>
        <v>0.293357500150648</v>
      </c>
      <c r="F67" s="63" t="n">
        <f aca="false">Ratio!F46*F29</f>
        <v>0.301055961739142</v>
      </c>
      <c r="G67" s="65" t="n">
        <f aca="false">Ratio!G46*G29</f>
        <v>0.436524888550412</v>
      </c>
      <c r="H67" s="63" t="n">
        <f aca="false">Ratio!H46*H29</f>
        <v>0.43934616126436</v>
      </c>
      <c r="I67" s="66" t="n">
        <f aca="false">Ratio!I46*I29</f>
        <v>0.394971908668333</v>
      </c>
      <c r="J67" s="67" t="n">
        <f aca="false">Ratio!J46*J29</f>
        <v>0.401761023314848</v>
      </c>
      <c r="K67" s="65" t="n">
        <f aca="false">Ratio!K46*K29</f>
        <v>0.360759156227426</v>
      </c>
      <c r="L67" s="63" t="n">
        <f aca="false">Ratio!L46*L29</f>
        <v>0.359676397829294</v>
      </c>
      <c r="M67" s="65" t="n">
        <f aca="false">Ratio!M46*M29</f>
        <v>0.359437161697488</v>
      </c>
      <c r="N67" s="65" t="n">
        <f aca="false">Ratio!N46*N29</f>
        <v>0.359318665819031</v>
      </c>
      <c r="O67" s="63" t="n">
        <f aca="false">Ratio!O46*O29</f>
        <v>0.378631727409321</v>
      </c>
      <c r="P67" s="68" t="n">
        <f aca="false">Ratio!P46*P29</f>
        <v>0.528144796897271</v>
      </c>
      <c r="Q67" s="67" t="n">
        <f aca="false">Ratio!Q46*Q29</f>
        <v>0.491994018453145</v>
      </c>
      <c r="R67" s="63" t="n">
        <f aca="false">Ratio!R46*R29</f>
        <v>0.447019320895486</v>
      </c>
      <c r="S67" s="65" t="n">
        <f aca="false">Ratio!S46*S29</f>
        <v>0.444567244177284</v>
      </c>
      <c r="T67" s="63" t="n">
        <f aca="false">Ratio!T46*T29</f>
        <v>0.37533545341488</v>
      </c>
      <c r="U67" s="63" t="n">
        <f aca="false">Ratio!U46*U29</f>
        <v>0.961953927119689</v>
      </c>
      <c r="V67" s="65" t="n">
        <f aca="false">Ratio!V46*V29</f>
        <v>0.971791865037337</v>
      </c>
      <c r="W67" s="65" t="n">
        <f aca="false">Ratio!W46*W29</f>
        <v>0.974756751858436</v>
      </c>
      <c r="X67" s="66" t="n">
        <f aca="false">Ratio!X46*X29</f>
        <v>0.973320234024386</v>
      </c>
      <c r="Y67" s="67" t="n">
        <f aca="false">Ratio!Y46*Y29</f>
        <v>1.03832302773947</v>
      </c>
      <c r="Z67" s="63" t="n">
        <f aca="false">Ratio!Z46*Z29</f>
        <v>1.0092501345613</v>
      </c>
      <c r="AA67" s="65" t="n">
        <f aca="false">Ratio!AA46*AA29</f>
        <v>1.00745967470464</v>
      </c>
      <c r="AB67" s="63" t="n">
        <f aca="false">Ratio!AB46*AB29</f>
        <v>1.02547362890943</v>
      </c>
      <c r="AC67" s="68" t="n">
        <f aca="false">Ratio!AC46*AC29</f>
        <v>0.452196976000303</v>
      </c>
      <c r="AD67" s="67" t="n">
        <f aca="false">Ratio!AD46*AD29</f>
        <v>0.392640261357086</v>
      </c>
      <c r="AE67" s="63" t="n">
        <f aca="false">Ratio!AE46*AE29</f>
        <v>0.39936472562155</v>
      </c>
      <c r="AF67" s="65" t="n">
        <f aca="false">Ratio!AF46*AF29</f>
        <v>0.405893380787049</v>
      </c>
      <c r="AG67" s="63" t="n">
        <f aca="false">Ratio!AG46*AG29</f>
        <v>0.42542534547888</v>
      </c>
      <c r="AH67" s="63" t="n">
        <f aca="false">Ratio!AH46*AH29</f>
        <v>0.474942668483357</v>
      </c>
      <c r="AI67" s="66" t="n">
        <f aca="false">Ratio!AI46*AI29</f>
        <v>0.530177841689706</v>
      </c>
      <c r="AJ67" s="67" t="n">
        <f aca="false">Ratio!AJ46*AJ29</f>
        <v>0.569246253601529</v>
      </c>
      <c r="AK67" s="63" t="n">
        <f aca="false">Ratio!AK46*AK29</f>
        <v>0.544400456232825</v>
      </c>
      <c r="AL67" s="63" t="n">
        <f aca="false">Ratio!AL46*AL29</f>
        <v>0.454119456368861</v>
      </c>
      <c r="AM67" s="63" t="n">
        <f aca="false">Ratio!AM46*AM29</f>
        <v>0.514579997940998</v>
      </c>
      <c r="AN67" s="68" t="n">
        <f aca="false">Ratio!AN46*AN29</f>
        <v>0.508985944825672</v>
      </c>
      <c r="AO67" s="67" t="n">
        <f aca="false">Ratio!AO46*AO29</f>
        <v>0.400615394638961</v>
      </c>
      <c r="AP67" s="63" t="n">
        <f aca="false">Ratio!AP46*AP29</f>
        <v>0.379971774365324</v>
      </c>
      <c r="AQ67" s="63" t="n">
        <f aca="false">Ratio!AQ46*AQ29</f>
        <v>0.405268134972053</v>
      </c>
    </row>
    <row r="68" customFormat="false" ht="12.8" hidden="false" customHeight="false" outlineLevel="0" collapsed="false">
      <c r="A68" s="139" t="s">
        <v>190</v>
      </c>
      <c r="B68" s="65" t="n">
        <f aca="false">Ratio!B48*B30</f>
        <v>0.372997426547893</v>
      </c>
      <c r="C68" s="65" t="n">
        <f aca="false">Ratio!C48*C30</f>
        <v>0.369883274519684</v>
      </c>
      <c r="D68" s="63" t="n">
        <f aca="false">Ratio!D48*D30</f>
        <v>0.369883274519684</v>
      </c>
      <c r="E68" s="65" t="n">
        <f aca="false">Ratio!E48*E30</f>
        <v>0.373571510917998</v>
      </c>
      <c r="F68" s="63" t="n">
        <f aca="false">Ratio!F48*F30</f>
        <v>0.383374996173637</v>
      </c>
      <c r="G68" s="65" t="n">
        <f aca="false">Ratio!G48*G30</f>
        <v>0.660985688092978</v>
      </c>
      <c r="H68" s="63" t="n">
        <f aca="false">Ratio!H48*H30</f>
        <v>0.627070243214264</v>
      </c>
      <c r="I68" s="66" t="n">
        <f aca="false">Ratio!I48*I30</f>
        <v>0.640092307823123</v>
      </c>
      <c r="J68" s="67" t="n">
        <f aca="false">Ratio!J48*J30</f>
        <v>0.53180096149741</v>
      </c>
      <c r="K68" s="65" t="n">
        <f aca="false">Ratio!K48*K30</f>
        <v>0.505833971462612</v>
      </c>
      <c r="L68" s="63" t="n">
        <f aca="false">Ratio!L48*L30</f>
        <v>0.533948728042673</v>
      </c>
      <c r="M68" s="65" t="n">
        <f aca="false">Ratio!M48*M30</f>
        <v>0.533593575941922</v>
      </c>
      <c r="N68" s="65" t="n">
        <f aca="false">Ratio!N48*N30</f>
        <v>0.544895766513215</v>
      </c>
      <c r="O68" s="63" t="n">
        <f aca="false">Ratio!O48*O30</f>
        <v>0.569936676393932</v>
      </c>
      <c r="P68" s="68" t="n">
        <f aca="false">Ratio!P48*P30</f>
        <v>0.530885306975257</v>
      </c>
      <c r="Q68" s="67" t="n">
        <f aca="false">Ratio!Q48*Q30</f>
        <v>0.535073992734105</v>
      </c>
      <c r="R68" s="63" t="n">
        <f aca="false">Ratio!R48*R30</f>
        <v>0.580981161497509</v>
      </c>
      <c r="S68" s="65" t="n">
        <f aca="false">Ratio!S48*S30</f>
        <v>0.577864293451503</v>
      </c>
      <c r="T68" s="63" t="n">
        <f aca="false">Ratio!T48*T30</f>
        <v>0.523560956268855</v>
      </c>
      <c r="U68" s="63" t="n">
        <f aca="false">Ratio!U48*U30</f>
        <v>0.53580535507157</v>
      </c>
      <c r="V68" s="65" t="n">
        <f aca="false">Ratio!V48*V30</f>
        <v>0.680458440451825</v>
      </c>
      <c r="W68" s="65" t="n">
        <f aca="false">Ratio!W48*W30</f>
        <v>0.682534484031716</v>
      </c>
      <c r="X68" s="66" t="n">
        <f aca="false">Ratio!X48*X30</f>
        <v>0.681528619792462</v>
      </c>
      <c r="Y68" s="67" t="n">
        <f aca="false">Ratio!Y48*Y30</f>
        <v>0.726651286128371</v>
      </c>
      <c r="Z68" s="63" t="n">
        <f aca="false">Ratio!Z48*Z30</f>
        <v>0.760364916913968</v>
      </c>
      <c r="AA68" s="65" t="n">
        <f aca="false">Ratio!AA48*AA30</f>
        <v>0.644376922695912</v>
      </c>
      <c r="AB68" s="63" t="n">
        <f aca="false">Ratio!AB48*AB30</f>
        <v>0.698403289914669</v>
      </c>
      <c r="AC68" s="68" t="n">
        <f aca="false">Ratio!AC48*AC30</f>
        <v>2.92985923356572</v>
      </c>
      <c r="AD68" s="67" t="n">
        <f aca="false">Ratio!AD48*AD30</f>
        <v>2.87227225923096</v>
      </c>
      <c r="AE68" s="63" t="n">
        <f aca="false">Ratio!AE48*AE30</f>
        <v>2.82276808190981</v>
      </c>
      <c r="AF68" s="65" t="n">
        <f aca="false">Ratio!AF48*AF30</f>
        <v>2.86891356806982</v>
      </c>
      <c r="AG68" s="63" t="n">
        <f aca="false">Ratio!AG48*AG30</f>
        <v>2.74143505034982</v>
      </c>
      <c r="AH68" s="63" t="n">
        <f aca="false">Ratio!AH48*AH30</f>
        <v>0.746501388031717</v>
      </c>
      <c r="AI68" s="66" t="n">
        <f aca="false">Ratio!AI48*AI30</f>
        <v>0.680526222990974</v>
      </c>
      <c r="AJ68" s="67" t="n">
        <f aca="false">Ratio!AJ48*AJ30</f>
        <v>0.790234413966262</v>
      </c>
      <c r="AK68" s="63" t="n">
        <f aca="false">Ratio!AK48*AK30</f>
        <v>0.758695301798497</v>
      </c>
      <c r="AL68" s="63" t="n">
        <f aca="false">Ratio!AL48*AL30</f>
        <v>0.465621689989367</v>
      </c>
      <c r="AM68" s="63" t="n">
        <f aca="false">Ratio!AM48*AM30</f>
        <v>0.829444879766006</v>
      </c>
      <c r="AN68" s="68" t="n">
        <f aca="false">Ratio!AN48*AN30</f>
        <v>0.580742745193547</v>
      </c>
      <c r="AO68" s="67" t="n">
        <f aca="false">Ratio!AO48*AO30</f>
        <v>0.639698459892926</v>
      </c>
      <c r="AP68" s="63" t="n">
        <f aca="false">Ratio!AP48*AP30</f>
        <v>0.619457741839186</v>
      </c>
      <c r="AQ68" s="63" t="n">
        <f aca="false">Ratio!AQ48*AQ30</f>
        <v>0.582577463135819</v>
      </c>
    </row>
    <row r="69" customFormat="false" ht="12.8" hidden="false" customHeight="false" outlineLevel="0" collapsed="false">
      <c r="A69" s="139" t="s">
        <v>191</v>
      </c>
      <c r="B69" s="65" t="n">
        <f aca="false">Ratio!B50*B31</f>
        <v>0.712827526748597</v>
      </c>
      <c r="C69" s="65" t="n">
        <f aca="false">Ratio!C50*C31</f>
        <v>0.839721308313158</v>
      </c>
      <c r="D69" s="63" t="n">
        <f aca="false">Ratio!D50*D31</f>
        <v>0.839721308313158</v>
      </c>
      <c r="E69" s="65" t="n">
        <f aca="false">Ratio!E50*E31</f>
        <v>0.802781600790451</v>
      </c>
      <c r="F69" s="63" t="n">
        <f aca="false">Ratio!F50*F31</f>
        <v>0.840576137031848</v>
      </c>
      <c r="G69" s="65" t="n">
        <f aca="false">Ratio!G50*G31</f>
        <v>0.854851985943882</v>
      </c>
      <c r="H69" s="63" t="n">
        <f aca="false">Ratio!H50*H31</f>
        <v>0.812677614481599</v>
      </c>
      <c r="I69" s="66" t="n">
        <f aca="false">Ratio!I50*I31</f>
        <v>0.829554097645124</v>
      </c>
      <c r="J69" s="67" t="n">
        <f aca="false">Ratio!J50*J31</f>
        <v>0.651944268214765</v>
      </c>
      <c r="K69" s="65" t="n">
        <f aca="false">Ratio!K50*K31</f>
        <v>0.59736236396926</v>
      </c>
      <c r="L69" s="63" t="n">
        <f aca="false">Ratio!L50*L31</f>
        <v>0.704096956579845</v>
      </c>
      <c r="M69" s="65" t="n">
        <f aca="false">Ratio!M50*M31</f>
        <v>0.703628631626289</v>
      </c>
      <c r="N69" s="65" t="n">
        <f aca="false">Ratio!N50*N31</f>
        <v>0.713904165073923</v>
      </c>
      <c r="O69" s="63" t="n">
        <f aca="false">Ratio!O50*O31</f>
        <v>0.7566218072797</v>
      </c>
      <c r="P69" s="68" t="n">
        <f aca="false">Ratio!P50*P31</f>
        <v>0.520443182799671</v>
      </c>
      <c r="Q69" s="67" t="n">
        <f aca="false">Ratio!Q50*Q31</f>
        <v>0.521274242944291</v>
      </c>
      <c r="R69" s="63" t="n">
        <f aca="false">Ratio!R50*R31</f>
        <v>0.437685558496742</v>
      </c>
      <c r="S69" s="65" t="n">
        <f aca="false">Ratio!S50*S31</f>
        <v>0.440291232194029</v>
      </c>
      <c r="T69" s="63" t="n">
        <f aca="false">Ratio!T50*T31</f>
        <v>0.392066085474676</v>
      </c>
      <c r="U69" s="63" t="n">
        <f aca="false">Ratio!U50*U31</f>
        <v>0.385166497661644</v>
      </c>
      <c r="V69" s="65" t="n">
        <f aca="false">Ratio!V50*V31</f>
        <v>0.374346370458444</v>
      </c>
      <c r="W69" s="65" t="n">
        <f aca="false">Ratio!W50*W31</f>
        <v>0.960171141346943</v>
      </c>
      <c r="X69" s="66" t="n">
        <f aca="false">Ratio!X50*X31</f>
        <v>0.958756118608547</v>
      </c>
      <c r="Y69" s="67" t="n">
        <f aca="false">Ratio!Y50*Y31</f>
        <v>1.06311133239371</v>
      </c>
      <c r="Z69" s="63" t="n">
        <f aca="false">Ratio!Z50*Z31</f>
        <v>0.949171506356987</v>
      </c>
      <c r="AA69" s="65" t="n">
        <f aca="false">Ratio!AA50*AA31</f>
        <v>0.988116056574984</v>
      </c>
      <c r="AB69" s="63" t="n">
        <f aca="false">Ratio!AB50*AB31</f>
        <v>0.885144266008291</v>
      </c>
      <c r="AC69" s="68" t="n">
        <f aca="false">Ratio!AC50*AC31</f>
        <v>0.783386547684672</v>
      </c>
      <c r="AD69" s="67" t="n">
        <f aca="false">Ratio!AD50*AD31</f>
        <v>0.505871253142791</v>
      </c>
      <c r="AE69" s="63" t="n">
        <f aca="false">Ratio!AE50*AE31</f>
        <v>0.543185451495145</v>
      </c>
      <c r="AF69" s="65" t="n">
        <f aca="false">Ratio!AF50*AF31</f>
        <v>0.489484294565385</v>
      </c>
      <c r="AG69" s="63" t="n">
        <f aca="false">Ratio!AG50*AG31</f>
        <v>0.282748256348947</v>
      </c>
      <c r="AH69" s="63" t="n">
        <f aca="false">Ratio!AH50*AH31</f>
        <v>-5.02265979524279</v>
      </c>
      <c r="AI69" s="66" t="n">
        <f aca="false">Ratio!AI50*AI31</f>
        <v>-5.82288818171604</v>
      </c>
      <c r="AJ69" s="67" t="n">
        <f aca="false">Ratio!AJ50*AJ31</f>
        <v>-6.01636149497828</v>
      </c>
      <c r="AK69" s="63" t="n">
        <f aca="false">Ratio!AK50*AK31</f>
        <v>-6.77619214808202</v>
      </c>
      <c r="AL69" s="63" t="n">
        <f aca="false">Ratio!AL50*AL31</f>
        <v>-6.60822822979924</v>
      </c>
      <c r="AM69" s="63" t="n">
        <f aca="false">Ratio!AM50*AM31</f>
        <v>-6.7544503015091</v>
      </c>
      <c r="AN69" s="68" t="n">
        <f aca="false">Ratio!AN50*AN31</f>
        <v>-8.52756878483168</v>
      </c>
      <c r="AO69" s="67" t="n">
        <f aca="false">Ratio!AO50*AO31</f>
        <v>-9.29390912011109</v>
      </c>
      <c r="AP69" s="63" t="n">
        <f aca="false">Ratio!AP50*AP31</f>
        <v>-8.85367897129605</v>
      </c>
      <c r="AQ69" s="63" t="n">
        <f aca="false">Ratio!AQ50*AQ31</f>
        <v>-8.70083661890592</v>
      </c>
    </row>
    <row r="70" customFormat="false" ht="12.8" hidden="false" customHeight="false" outlineLevel="0" collapsed="false">
      <c r="A70" s="139" t="s">
        <v>192</v>
      </c>
      <c r="B70" s="65" t="n">
        <f aca="false">Ratio!B51*B32</f>
        <v>0.155604179919585</v>
      </c>
      <c r="C70" s="65" t="n">
        <f aca="false">Ratio!C51*C32</f>
        <v>0.154209844391759</v>
      </c>
      <c r="D70" s="63" t="n">
        <f aca="false">Ratio!D51*D32</f>
        <v>0.154209844391759</v>
      </c>
      <c r="E70" s="65" t="n">
        <f aca="false">Ratio!E51*E32</f>
        <v>0.155747525060891</v>
      </c>
      <c r="F70" s="63" t="n">
        <f aca="false">Ratio!F51*F32</f>
        <v>0.159834744029448</v>
      </c>
      <c r="G70" s="65" t="n">
        <f aca="false">Ratio!G51*G32</f>
        <v>0.266852030794721</v>
      </c>
      <c r="H70" s="63" t="n">
        <f aca="false">Ratio!H51*H32</f>
        <v>0.253285892163828</v>
      </c>
      <c r="I70" s="66" t="n">
        <f aca="false">Ratio!I51*I32</f>
        <v>0.267843368453076</v>
      </c>
      <c r="J70" s="67" t="n">
        <f aca="false">Ratio!J51*J32</f>
        <v>0.272357984107301</v>
      </c>
      <c r="K70" s="65" t="n">
        <f aca="false">Ratio!K51*K32</f>
        <v>0.274419915180072</v>
      </c>
      <c r="L70" s="63" t="n">
        <f aca="false">Ratio!L51*L32</f>
        <v>0.273564361301232</v>
      </c>
      <c r="M70" s="65" t="n">
        <f aca="false">Ratio!M51*M32</f>
        <v>0.273382401962247</v>
      </c>
      <c r="N70" s="65" t="n">
        <f aca="false">Ratio!N51*N32</f>
        <v>0.279172988927918</v>
      </c>
      <c r="O70" s="63" t="n">
        <f aca="false">Ratio!O51*O32</f>
        <v>0.293971958720692</v>
      </c>
      <c r="P70" s="68" t="n">
        <f aca="false">Ratio!P51*P32</f>
        <v>0.366828802126358</v>
      </c>
      <c r="Q70" s="67" t="n">
        <f aca="false">Ratio!Q51*Q32</f>
        <v>0.369026477045672</v>
      </c>
      <c r="R70" s="63" t="n">
        <f aca="false">Ratio!R51*R32</f>
        <v>0.391170626617333</v>
      </c>
      <c r="S70" s="65" t="n">
        <f aca="false">Ratio!S51*S32</f>
        <v>0.389024901943841</v>
      </c>
      <c r="T70" s="63" t="n">
        <f aca="false">Ratio!T51*T32</f>
        <v>0.37232074999399</v>
      </c>
      <c r="U70" s="63" t="n">
        <f aca="false">Ratio!U51*U32</f>
        <v>3.87916319823511</v>
      </c>
      <c r="V70" s="65" t="n">
        <f aca="false">Ratio!V51*V32</f>
        <v>4.27013158724361</v>
      </c>
      <c r="W70" s="65" t="n">
        <f aca="false">Ratio!W51*W32</f>
        <v>4.28315953831304</v>
      </c>
      <c r="X70" s="66" t="n">
        <f aca="false">Ratio!X51*X32</f>
        <v>4.27684736345389</v>
      </c>
      <c r="Y70" s="67" t="n">
        <f aca="false">Ratio!Y51*Y32</f>
        <v>4.61630891126442</v>
      </c>
      <c r="Z70" s="63" t="n">
        <f aca="false">Ratio!Z51*Z32</f>
        <v>4.95110428024437</v>
      </c>
      <c r="AA70" s="65" t="n">
        <f aca="false">Ratio!AA51*AA32</f>
        <v>5.06278166071134</v>
      </c>
      <c r="AB70" s="63" t="n">
        <f aca="false">Ratio!AB51*AB32</f>
        <v>6.20247649281635</v>
      </c>
      <c r="AC70" s="68" t="n">
        <f aca="false">Ratio!AC51*AC32</f>
        <v>2.64640760860876</v>
      </c>
      <c r="AD70" s="67" t="n">
        <f aca="false">Ratio!AD51*AD32</f>
        <v>2.28178629345471</v>
      </c>
      <c r="AE70" s="63" t="n">
        <f aca="false">Ratio!AE51*AE32</f>
        <v>2.31983386548423</v>
      </c>
      <c r="AF70" s="65" t="n">
        <f aca="false">Ratio!AF51*AF32</f>
        <v>2.43569474657992</v>
      </c>
      <c r="AG70" s="63" t="n">
        <f aca="false">Ratio!AG51*AG32</f>
        <v>2.27409371525267</v>
      </c>
      <c r="AH70" s="63" t="n">
        <f aca="false">Ratio!AH51*AH32</f>
        <v>1.17085678954402</v>
      </c>
      <c r="AI70" s="66" t="n">
        <f aca="false">Ratio!AI51*AI32</f>
        <v>2.04514240839084</v>
      </c>
      <c r="AJ70" s="67" t="n">
        <f aca="false">Ratio!AJ51*AJ32</f>
        <v>2.02180654319829</v>
      </c>
      <c r="AK70" s="63" t="n">
        <f aca="false">Ratio!AK51*AK32</f>
        <v>2.17698300945623</v>
      </c>
      <c r="AL70" s="63" t="n">
        <f aca="false">Ratio!AL51*AL32</f>
        <v>2.21244042984512</v>
      </c>
      <c r="AM70" s="63" t="n">
        <f aca="false">Ratio!AM51*AM32</f>
        <v>2.29223062024359</v>
      </c>
      <c r="AN70" s="68" t="n">
        <f aca="false">Ratio!AN51*AN32</f>
        <v>0.772740768778273</v>
      </c>
      <c r="AO70" s="67" t="n">
        <f aca="false">Ratio!AO51*AO32</f>
        <v>0.635278993446104</v>
      </c>
      <c r="AP70" s="63" t="n">
        <f aca="false">Ratio!AP51*AP32</f>
        <v>0.515924586370053</v>
      </c>
      <c r="AQ70" s="63" t="n">
        <f aca="false">Ratio!AQ51*AQ32</f>
        <v>0.501024482858061</v>
      </c>
    </row>
    <row r="71" customFormat="false" ht="12.8" hidden="false" customHeight="false" outlineLevel="0" collapsed="false">
      <c r="A71" s="139" t="s">
        <v>193</v>
      </c>
      <c r="B71" s="65" t="n">
        <f aca="false">Ratio!B52*B33</f>
        <v>0.480099678066312</v>
      </c>
      <c r="C71" s="65" t="n">
        <f aca="false">Ratio!C52*C33</f>
        <v>0.475815375366316</v>
      </c>
      <c r="D71" s="63" t="n">
        <f aca="false">Ratio!D52*D33</f>
        <v>0.475815375366316</v>
      </c>
      <c r="E71" s="65" t="n">
        <f aca="false">Ratio!E52*E33</f>
        <v>0.480559898050079</v>
      </c>
      <c r="F71" s="63" t="n">
        <f aca="false">Ratio!F52*F33</f>
        <v>0.493171036044538</v>
      </c>
      <c r="G71" s="65" t="n">
        <f aca="false">Ratio!G52*G33</f>
        <v>0.535623092022419</v>
      </c>
      <c r="H71" s="63" t="n">
        <f aca="false">Ratio!H52*H33</f>
        <v>0.539084839231155</v>
      </c>
      <c r="I71" s="66" t="n">
        <f aca="false">Ratio!I52*I33</f>
        <v>0.550279753488513</v>
      </c>
      <c r="J71" s="67" t="n">
        <f aca="false">Ratio!J52*J33</f>
        <v>0.559554956394041</v>
      </c>
      <c r="K71" s="65" t="n">
        <f aca="false">Ratio!K52*K33</f>
        <v>0.563506081515924</v>
      </c>
      <c r="L71" s="63" t="n">
        <f aca="false">Ratio!L52*L33</f>
        <v>0.561814812059203</v>
      </c>
      <c r="M71" s="65" t="n">
        <f aca="false">Ratio!M52*M33</f>
        <v>0.561441125035981</v>
      </c>
      <c r="N71" s="65" t="n">
        <f aca="false">Ratio!N52*N33</f>
        <v>0.573333162114044</v>
      </c>
      <c r="O71" s="63" t="n">
        <f aca="false">Ratio!O52*O33</f>
        <v>0.603725572855157</v>
      </c>
      <c r="P71" s="68" t="n">
        <f aca="false">Ratio!P52*P33</f>
        <v>0.431109356624447</v>
      </c>
      <c r="Q71" s="67" t="n">
        <f aca="false">Ratio!Q52*Q33</f>
        <v>0.409568111986001</v>
      </c>
      <c r="R71" s="63" t="n">
        <f aca="false">Ratio!R52*R33</f>
        <v>0.418214478798468</v>
      </c>
      <c r="S71" s="65" t="n">
        <f aca="false">Ratio!S52*S33</f>
        <v>0.415920407963627</v>
      </c>
      <c r="T71" s="63" t="n">
        <f aca="false">Ratio!T52*T33</f>
        <v>0.37683533831883</v>
      </c>
      <c r="U71" s="63" t="n">
        <f aca="false">Ratio!U52*U33</f>
        <v>0.306720055298953</v>
      </c>
      <c r="V71" s="65" t="n">
        <f aca="false">Ratio!V52*V33</f>
        <v>0.309856892497761</v>
      </c>
      <c r="W71" s="65" t="n">
        <f aca="false">Ratio!W52*W33</f>
        <v>0.310802249883479</v>
      </c>
      <c r="X71" s="66" t="n">
        <f aca="false">Ratio!X52*X33</f>
        <v>0.310344214610608</v>
      </c>
      <c r="Y71" s="67" t="n">
        <f aca="false">Ratio!Y52*Y33</f>
        <v>0.331070426044222</v>
      </c>
      <c r="Z71" s="63" t="n">
        <f aca="false">Ratio!Z52*Z33</f>
        <v>0.410258374123519</v>
      </c>
      <c r="AA71" s="65" t="n">
        <f aca="false">Ratio!AA52*AA33</f>
        <v>0.419512184575376</v>
      </c>
      <c r="AB71" s="63" t="n">
        <f aca="false">Ratio!AB52*AB33</f>
        <v>0.45471162086099</v>
      </c>
      <c r="AC71" s="68" t="n">
        <f aca="false">Ratio!AC52*AC33</f>
        <v>0.298393558847827</v>
      </c>
      <c r="AD71" s="67" t="n">
        <f aca="false">Ratio!AD52*AD33</f>
        <v>0.319726477785282</v>
      </c>
      <c r="AE71" s="63" t="n">
        <f aca="false">Ratio!AE52*AE33</f>
        <v>0.557217174568308</v>
      </c>
      <c r="AF71" s="65" t="n">
        <f aca="false">Ratio!AF52*AF33</f>
        <v>0.566326338577193</v>
      </c>
      <c r="AG71" s="63" t="n">
        <f aca="false">Ratio!AG52*AG33</f>
        <v>0.574118717796615</v>
      </c>
      <c r="AH71" s="63" t="n">
        <f aca="false">Ratio!AH52*AH33</f>
        <v>0.572753279628001</v>
      </c>
      <c r="AI71" s="66" t="n">
        <f aca="false">Ratio!AI52*AI33</f>
        <v>0.522133826326356</v>
      </c>
      <c r="AJ71" s="67" t="n">
        <f aca="false">Ratio!AJ52*AJ33</f>
        <v>0.455540844120671</v>
      </c>
      <c r="AK71" s="63" t="n">
        <f aca="false">Ratio!AK52*AK33</f>
        <v>0.471207614936532</v>
      </c>
      <c r="AL71" s="63" t="n">
        <f aca="false">Ratio!AL52*AL33</f>
        <v>0.478882367757606</v>
      </c>
      <c r="AM71" s="63" t="n">
        <f aca="false">Ratio!AM52*AM33</f>
        <v>0.444999619863159</v>
      </c>
      <c r="AN71" s="68" t="n">
        <f aca="false">Ratio!AN52*AN33</f>
        <v>0.397780436616373</v>
      </c>
      <c r="AO71" s="67" t="n">
        <f aca="false">Ratio!AO52*AO33</f>
        <v>0.437464286020061</v>
      </c>
      <c r="AP71" s="63" t="n">
        <f aca="false">Ratio!AP52*AP33</f>
        <v>0.414921850744915</v>
      </c>
      <c r="AQ71" s="63" t="n">
        <f aca="false">Ratio!AQ52*AQ33</f>
        <v>0.426632940544764</v>
      </c>
    </row>
    <row r="72" customFormat="false" ht="12.8" hidden="false" customHeight="false" outlineLevel="0" collapsed="false">
      <c r="A72" s="139" t="s">
        <v>194</v>
      </c>
      <c r="B72" s="65" t="n">
        <f aca="false">Ratio!B53*B34</f>
        <v>0.428563488459587</v>
      </c>
      <c r="C72" s="65" t="n">
        <f aca="false">Ratio!C53*C34</f>
        <v>0.424739083248314</v>
      </c>
      <c r="D72" s="63" t="n">
        <f aca="false">Ratio!D53*D34</f>
        <v>0.424739083248314</v>
      </c>
      <c r="E72" s="65" t="n">
        <f aca="false">Ratio!E53*E34</f>
        <v>0.428974306234963</v>
      </c>
      <c r="F72" s="63" t="n">
        <f aca="false">Ratio!F53*F34</f>
        <v>0.357729475132565</v>
      </c>
      <c r="G72" s="65" t="n">
        <f aca="false">Ratio!G53*G34</f>
        <v>0.394479633865764</v>
      </c>
      <c r="H72" s="63" t="n">
        <f aca="false">Ratio!H53*H34</f>
        <v>0.397029166908266</v>
      </c>
      <c r="I72" s="66" t="n">
        <f aca="false">Ratio!I53*I34</f>
        <v>0.360287278393767</v>
      </c>
      <c r="J72" s="67" t="n">
        <f aca="false">Ratio!J53*J34</f>
        <v>0.366360076075668</v>
      </c>
      <c r="K72" s="65" t="n">
        <f aca="false">Ratio!K53*K34</f>
        <v>0.347767947031566</v>
      </c>
      <c r="L72" s="63" t="n">
        <f aca="false">Ratio!L53*L34</f>
        <v>0.346724179579654</v>
      </c>
      <c r="M72" s="65" t="n">
        <f aca="false">Ratio!M53*M34</f>
        <v>0.346493558521317</v>
      </c>
      <c r="N72" s="65" t="n">
        <f aca="false">Ratio!N53*N34</f>
        <v>0.353832732766847</v>
      </c>
      <c r="O72" s="63" t="n">
        <f aca="false">Ratio!O53*O34</f>
        <v>0.372589418161162</v>
      </c>
      <c r="P72" s="68" t="n">
        <f aca="false">Ratio!P53*P34</f>
        <v>0.259737067252744</v>
      </c>
      <c r="Q72" s="67" t="n">
        <f aca="false">Ratio!Q53*Q34</f>
        <v>0.261786393049393</v>
      </c>
      <c r="R72" s="63" t="n">
        <f aca="false">Ratio!R53*R34</f>
        <v>0.267312949230347</v>
      </c>
      <c r="S72" s="65" t="n">
        <f aca="false">Ratio!S53*S34</f>
        <v>0.265846632611261</v>
      </c>
      <c r="T72" s="63" t="n">
        <f aca="false">Ratio!T53*T34</f>
        <v>0.240864366890473</v>
      </c>
      <c r="U72" s="63" t="n">
        <f aca="false">Ratio!U53*U34</f>
        <v>0.172918802957688</v>
      </c>
      <c r="V72" s="65" t="n">
        <f aca="false">Ratio!V53*V34</f>
        <v>0.174687249865936</v>
      </c>
      <c r="W72" s="65" t="n">
        <f aca="false">Ratio!W53*W34</f>
        <v>0.175220211648777</v>
      </c>
      <c r="X72" s="66" t="n">
        <f aca="false">Ratio!X53*X34</f>
        <v>0.174961986241834</v>
      </c>
      <c r="Y72" s="67" t="n">
        <f aca="false">Ratio!Y53*Y34</f>
        <v>0.186646750928823</v>
      </c>
      <c r="Z72" s="63" t="n">
        <f aca="false">Ratio!Z53*Z34</f>
        <v>0.186059794894049</v>
      </c>
      <c r="AA72" s="65" t="n">
        <f aca="false">Ratio!AA53*AA34</f>
        <v>0.190256569861383</v>
      </c>
      <c r="AB72" s="63" t="n">
        <f aca="false">Ratio!AB53*AB34</f>
        <v>0.267193685008965</v>
      </c>
      <c r="AC72" s="68" t="n">
        <f aca="false">Ratio!AC53*AC34</f>
        <v>0.240935162462012</v>
      </c>
      <c r="AD72" s="67" t="n">
        <f aca="false">Ratio!AD53*AD34</f>
        <v>0.258160233639255</v>
      </c>
      <c r="AE72" s="63" t="n">
        <f aca="false">Ratio!AE53*AE34</f>
        <v>0.21822937306898</v>
      </c>
      <c r="AF72" s="65" t="n">
        <f aca="false">Ratio!AF53*AF34</f>
        <v>0.221796899774132</v>
      </c>
      <c r="AG72" s="63" t="n">
        <f aca="false">Ratio!AG53*AG34</f>
        <v>0.224848718902083</v>
      </c>
      <c r="AH72" s="63" t="n">
        <f aca="false">Ratio!AH53*AH34</f>
        <v>0.196560454874589</v>
      </c>
      <c r="AI72" s="66" t="n">
        <f aca="false">Ratio!AI53*AI34</f>
        <v>0.179188607134255</v>
      </c>
      <c r="AJ72" s="67" t="n">
        <f aca="false">Ratio!AJ53*AJ34</f>
        <v>0.177143995882261</v>
      </c>
      <c r="AK72" s="63" t="n">
        <f aca="false">Ratio!AK53*AK34</f>
        <v>0.183236258345027</v>
      </c>
      <c r="AL72" s="63" t="n">
        <f aca="false">Ratio!AL53*AL34</f>
        <v>0.186220702878773</v>
      </c>
      <c r="AM72" s="63" t="n">
        <f aca="false">Ratio!AM53*AM34</f>
        <v>0.185011972009227</v>
      </c>
      <c r="AN72" s="68" t="n">
        <f aca="false">Ratio!AN53*AN34</f>
        <v>0.387004294770176</v>
      </c>
      <c r="AO72" s="67" t="n">
        <f aca="false">Ratio!AO53*AO34</f>
        <v>0.472159665913481</v>
      </c>
      <c r="AP72" s="63" t="n">
        <f aca="false">Ratio!AP53*AP34</f>
        <v>0.44782938559455</v>
      </c>
      <c r="AQ72" s="63" t="n">
        <f aca="false">Ratio!AQ53*AQ34</f>
        <v>0.459875704843595</v>
      </c>
    </row>
    <row r="73" customFormat="false" ht="12.8" hidden="false" customHeight="false" outlineLevel="0" collapsed="false">
      <c r="A73" s="139" t="s">
        <v>195</v>
      </c>
      <c r="B73" s="65" t="n">
        <f aca="false">Ratio!B54*B35</f>
        <v>0.122233930007876</v>
      </c>
      <c r="C73" s="65" t="n">
        <f aca="false">Ratio!C54*C35</f>
        <v>0.118641359194918</v>
      </c>
      <c r="D73" s="63" t="n">
        <f aca="false">Ratio!D54*D35</f>
        <v>0.118641359194918</v>
      </c>
      <c r="E73" s="65" t="n">
        <f aca="false">Ratio!E54*E35</f>
        <v>0.119561194674066</v>
      </c>
      <c r="F73" s="63" t="n">
        <f aca="false">Ratio!F54*F35</f>
        <v>0.148438543984443</v>
      </c>
      <c r="G73" s="65" t="n">
        <f aca="false">Ratio!G54*G35</f>
        <v>0.775501149017981</v>
      </c>
      <c r="H73" s="63" t="n">
        <f aca="false">Ratio!H54*H35</f>
        <v>0.778954546852454</v>
      </c>
      <c r="I73" s="66" t="n">
        <f aca="false">Ratio!I54*I35</f>
        <v>0.795448803465568</v>
      </c>
      <c r="J73" s="67" t="n">
        <f aca="false">Ratio!J54*J35</f>
        <v>0.925689421460981</v>
      </c>
      <c r="K73" s="65" t="n">
        <f aca="false">Ratio!K54*K35</f>
        <v>0.958546271478936</v>
      </c>
      <c r="L73" s="63" t="n">
        <f aca="false">Ratio!L54*L35</f>
        <v>0.955669354822696</v>
      </c>
      <c r="M73" s="65" t="n">
        <f aca="false">Ratio!M54*M35</f>
        <v>0.955033698323929</v>
      </c>
      <c r="N73" s="65" t="n">
        <f aca="false">Ratio!N54*N35</f>
        <v>0.97526252668156</v>
      </c>
      <c r="O73" s="63" t="n">
        <f aca="false">Ratio!O54*O35</f>
        <v>1.05555274869865</v>
      </c>
      <c r="P73" s="68" t="n">
        <f aca="false">Ratio!P54*P35</f>
        <v>0.165796464268711</v>
      </c>
      <c r="Q73" s="67" t="n">
        <f aca="false">Ratio!Q54*Q35</f>
        <v>0.205552466558533</v>
      </c>
      <c r="R73" s="63" t="n">
        <f aca="false">Ratio!R54*R35</f>
        <v>0.209891871832187</v>
      </c>
      <c r="S73" s="65" t="n">
        <f aca="false">Ratio!S54*S35</f>
        <v>0.208740532397398</v>
      </c>
      <c r="T73" s="63" t="n">
        <f aca="false">Ratio!T54*T35</f>
        <v>0.189124668183402</v>
      </c>
      <c r="U73" s="63" t="n">
        <f aca="false">Ratio!U54*U35</f>
        <v>0.602672255726993</v>
      </c>
      <c r="V73" s="65" t="n">
        <f aca="false">Ratio!V54*V35</f>
        <v>0.608835806879889</v>
      </c>
      <c r="W73" s="65" t="n">
        <f aca="false">Ratio!W54*W35</f>
        <v>0.610693333501561</v>
      </c>
      <c r="X73" s="66" t="n">
        <f aca="false">Ratio!X54*X35</f>
        <v>0.609793342952085</v>
      </c>
      <c r="Y73" s="67" t="n">
        <f aca="false">Ratio!Y54*Y35</f>
        <v>0.650518141939213</v>
      </c>
      <c r="Z73" s="63" t="n">
        <f aca="false">Ratio!Z54*Z35</f>
        <v>0.800820473923079</v>
      </c>
      <c r="AA73" s="65" t="n">
        <f aca="false">Ratio!AA54*AA35</f>
        <v>0.818883824579801</v>
      </c>
      <c r="AB73" s="63" t="n">
        <f aca="false">Ratio!AB54*AB35</f>
        <v>0.887329859941129</v>
      </c>
      <c r="AC73" s="68" t="n">
        <f aca="false">Ratio!AC54*AC35</f>
        <v>1.21995806440886</v>
      </c>
      <c r="AD73" s="67" t="n">
        <f aca="false">Ratio!AD54*AD35</f>
        <v>1.30717598759601</v>
      </c>
      <c r="AE73" s="63" t="n">
        <f aca="false">Ratio!AE54*AE35</f>
        <v>1.52707769529129</v>
      </c>
      <c r="AF73" s="65" t="n">
        <f aca="false">Ratio!AF54*AF35</f>
        <v>1.55204175206412</v>
      </c>
      <c r="AG73" s="63" t="n">
        <f aca="false">Ratio!AG54*AG35</f>
        <v>1.57339710333887</v>
      </c>
      <c r="AH73" s="63" t="n">
        <f aca="false">Ratio!AH54*AH35</f>
        <v>1.01254559140541</v>
      </c>
      <c r="AI73" s="66" t="n">
        <f aca="false">Ratio!AI54*AI35</f>
        <v>0.923319914266783</v>
      </c>
      <c r="AJ73" s="67" t="n">
        <f aca="false">Ratio!AJ54*AJ35</f>
        <v>0.785823249236575</v>
      </c>
      <c r="AK73" s="63" t="n">
        <f aca="false">Ratio!AK54*AK35</f>
        <v>0.678786501941732</v>
      </c>
      <c r="AL73" s="63" t="n">
        <f aca="false">Ratio!AL54*AL35</f>
        <v>0.593832294375142</v>
      </c>
      <c r="AM73" s="63" t="n">
        <f aca="false">Ratio!AM54*AM35</f>
        <v>0.555558619055044</v>
      </c>
      <c r="AN73" s="68" t="n">
        <f aca="false">Ratio!AN54*AN35</f>
        <v>0.646549387337667</v>
      </c>
      <c r="AO73" s="67" t="n">
        <f aca="false">Ratio!AO54*AO35</f>
        <v>0.509964252256379</v>
      </c>
      <c r="AP73" s="63" t="n">
        <f aca="false">Ratio!AP54*AP35</f>
        <v>0.459181571334673</v>
      </c>
      <c r="AQ73" s="63" t="n">
        <f aca="false">Ratio!AQ54*AQ35</f>
        <v>0.429217913235275</v>
      </c>
    </row>
    <row r="74" customFormat="false" ht="12.8" hidden="false" customHeight="false" outlineLevel="0" collapsed="false">
      <c r="A74" s="139" t="s">
        <v>196</v>
      </c>
      <c r="B74" s="65" t="n">
        <f aca="false">Ratio!B55*B36</f>
        <v>0.455850615273715</v>
      </c>
      <c r="C74" s="65" t="n">
        <f aca="false">Ratio!C55*C36</f>
        <v>0.455807476191154</v>
      </c>
      <c r="D74" s="63" t="n">
        <f aca="false">Ratio!D55*D36</f>
        <v>0.455807476191154</v>
      </c>
      <c r="E74" s="65" t="n">
        <f aca="false">Ratio!E55*E36</f>
        <v>0.115494507748728</v>
      </c>
      <c r="F74" s="63" t="n">
        <f aca="false">Ratio!F55*F36</f>
        <v>0.118525383152047</v>
      </c>
      <c r="G74" s="65" t="n">
        <f aca="false">Ratio!G55*G36</f>
        <v>0.130701697790746</v>
      </c>
      <c r="H74" s="63" t="n">
        <f aca="false">Ratio!H55*H36</f>
        <v>0.130674779533395</v>
      </c>
      <c r="I74" s="66" t="n">
        <f aca="false">Ratio!I55*I36</f>
        <v>0.133092514056388</v>
      </c>
      <c r="J74" s="67" t="n">
        <f aca="false">Ratio!J55*J36</f>
        <v>0.135335845862172</v>
      </c>
      <c r="K74" s="65" t="n">
        <f aca="false">Ratio!K55*K36</f>
        <v>0.136291478288205</v>
      </c>
      <c r="L74" s="63" t="n">
        <f aca="false">Ratio!L55*L36</f>
        <v>0.135882422162635</v>
      </c>
      <c r="M74" s="65" t="n">
        <f aca="false">Ratio!M55*M36</f>
        <v>0.135792040960936</v>
      </c>
      <c r="N74" s="65" t="n">
        <f aca="false">Ratio!N55*N36</f>
        <v>0.138668289090978</v>
      </c>
      <c r="O74" s="63" t="n">
        <f aca="false">Ratio!O55*O36</f>
        <v>0.146019099888805</v>
      </c>
      <c r="P74" s="68" t="n">
        <f aca="false">Ratio!P55*P36</f>
        <v>0.241627233065409</v>
      </c>
      <c r="Q74" s="67" t="n">
        <f aca="false">Ratio!Q55*Q36</f>
        <v>0.21870768875462</v>
      </c>
      <c r="R74" s="63" t="n">
        <f aca="false">Ratio!R55*R36</f>
        <v>0.233621634182731</v>
      </c>
      <c r="S74" s="65" t="n">
        <f aca="false">Ratio!S55*S36</f>
        <v>0.232340127672229</v>
      </c>
      <c r="T74" s="63" t="n">
        <f aca="false">Ratio!T55*T36</f>
        <v>0.222707338969533</v>
      </c>
      <c r="U74" s="63" t="n">
        <f aca="false">Ratio!U55*U36</f>
        <v>0.168339434807099</v>
      </c>
      <c r="V74" s="65" t="n">
        <f aca="false">Ratio!V55*V36</f>
        <v>0.170061048350154</v>
      </c>
      <c r="W74" s="65" t="n">
        <f aca="false">Ratio!W55*W36</f>
        <v>0.170579895830953</v>
      </c>
      <c r="X74" s="66" t="n">
        <f aca="false">Ratio!X55*X36</f>
        <v>0.17032850894697</v>
      </c>
      <c r="Y74" s="67" t="n">
        <f aca="false">Ratio!Y55*Y36</f>
        <v>0.181703828748038</v>
      </c>
      <c r="Z74" s="63" t="n">
        <f aca="false">Ratio!Z55*Z36</f>
        <v>0.181333787030207</v>
      </c>
      <c r="AA74" s="65" t="n">
        <f aca="false">Ratio!AA55*AA36</f>
        <v>0.185423961904223</v>
      </c>
      <c r="AB74" s="63" t="n">
        <f aca="false">Ratio!AB55*AB36</f>
        <v>0.207621946575291</v>
      </c>
      <c r="AC74" s="68" t="n">
        <f aca="false">Ratio!AC55*AC36</f>
        <v>13.5125768149767</v>
      </c>
      <c r="AD74" s="67" t="n">
        <f aca="false">Ratio!AD55*AD36</f>
        <v>7.96924236314565</v>
      </c>
      <c r="AE74" s="63" t="n">
        <f aca="false">Ratio!AE55*AE36</f>
        <v>6.31841648165905</v>
      </c>
      <c r="AF74" s="65" t="n">
        <f aca="false">Ratio!AF55*AF36</f>
        <v>5.71754039885073</v>
      </c>
      <c r="AG74" s="63" t="n">
        <f aca="false">Ratio!AG55*AG36</f>
        <v>5.79621101675303</v>
      </c>
      <c r="AH74" s="63" t="n">
        <f aca="false">Ratio!AH55*AH36</f>
        <v>-2.10479446806841</v>
      </c>
      <c r="AI74" s="66" t="n">
        <f aca="false">Ratio!AI55*AI36</f>
        <v>-1.9187745026216</v>
      </c>
      <c r="AJ74" s="67" t="n">
        <f aca="false">Ratio!AJ55*AJ36</f>
        <v>-0.487392291043261</v>
      </c>
      <c r="AK74" s="63" t="n">
        <f aca="false">Ratio!AK55*AK36</f>
        <v>-0.631336311875932</v>
      </c>
      <c r="AL74" s="63" t="n">
        <f aca="false">Ratio!AL55*AL36</f>
        <v>-0.812378364035768</v>
      </c>
      <c r="AM74" s="63" t="n">
        <f aca="false">Ratio!AM55*AM36</f>
        <v>-1.30092753560592</v>
      </c>
      <c r="AN74" s="68" t="n">
        <f aca="false">Ratio!AN55*AN36</f>
        <v>0.085172878597151</v>
      </c>
      <c r="AO74" s="67" t="n">
        <f aca="false">Ratio!AO55*AO36</f>
        <v>0.0877242432841742</v>
      </c>
      <c r="AP74" s="63" t="n">
        <f aca="false">Ratio!AP55*AP36</f>
        <v>0.122634072896569</v>
      </c>
      <c r="AQ74" s="63" t="n">
        <f aca="false">Ratio!AQ55*AQ36</f>
        <v>0.125932849708549</v>
      </c>
    </row>
    <row r="75" customFormat="false" ht="12.8" hidden="false" customHeight="false" outlineLevel="0" collapsed="false">
      <c r="A75" s="139" t="s">
        <v>197</v>
      </c>
      <c r="B75" s="65" t="n">
        <f aca="false">Ratio!B56*B37</f>
        <v>0.058826166518635</v>
      </c>
      <c r="C75" s="65" t="n">
        <f aca="false">Ratio!C56*C37</f>
        <v>0.0484172881718481</v>
      </c>
      <c r="D75" s="63" t="n">
        <f aca="false">Ratio!D56*D37</f>
        <v>0.0484172881718481</v>
      </c>
      <c r="E75" s="65" t="n">
        <f aca="false">Ratio!E56*E37</f>
        <v>0.0489000740041487</v>
      </c>
      <c r="F75" s="63" t="n">
        <f aca="false">Ratio!F56*F37</f>
        <v>0.057097487658101</v>
      </c>
      <c r="G75" s="65" t="n">
        <f aca="false">Ratio!G56*G37</f>
        <v>0.0871753347879374</v>
      </c>
      <c r="H75" s="63" t="n">
        <f aca="false">Ratio!H56*H37</f>
        <v>0.0877387514448505</v>
      </c>
      <c r="I75" s="66" t="n">
        <f aca="false">Ratio!I56*I37</f>
        <v>0.0895607796823236</v>
      </c>
      <c r="J75" s="67" t="n">
        <f aca="false">Ratio!J56*J37</f>
        <v>0.063243309239097</v>
      </c>
      <c r="K75" s="65" t="n">
        <f aca="false">Ratio!K56*K37</f>
        <v>0.0636898824041993</v>
      </c>
      <c r="L75" s="63" t="n">
        <f aca="false">Ratio!L56*L37</f>
        <v>0.0475113356468787</v>
      </c>
      <c r="M75" s="65" t="n">
        <f aca="false">Ratio!M56*M37</f>
        <v>0.0474797338286174</v>
      </c>
      <c r="N75" s="65" t="n">
        <f aca="false">Ratio!N56*N37</f>
        <v>0.0484854149765923</v>
      </c>
      <c r="O75" s="63" t="n">
        <f aca="false">Ratio!O56*O37</f>
        <v>0.0355701590393407</v>
      </c>
      <c r="P75" s="68" t="n">
        <f aca="false">Ratio!P56*P37</f>
        <v>0.0387873972546203</v>
      </c>
      <c r="Q75" s="67" t="n">
        <f aca="false">Ratio!Q56*Q37</f>
        <v>0.0529161150460488</v>
      </c>
      <c r="R75" s="63" t="n">
        <f aca="false">Ratio!R56*R37</f>
        <v>0.0508648215806763</v>
      </c>
      <c r="S75" s="65" t="n">
        <f aca="false">Ratio!S56*S37</f>
        <v>0.0505858080370925</v>
      </c>
      <c r="T75" s="63" t="n">
        <f aca="false">Ratio!T56*T37</f>
        <v>0.0447143196504343</v>
      </c>
      <c r="U75" s="63" t="n">
        <f aca="false">Ratio!U56*U37</f>
        <v>0.0330539622372998</v>
      </c>
      <c r="V75" s="65" t="n">
        <f aca="false">Ratio!V56*V37</f>
        <v>0.0325190504715825</v>
      </c>
      <c r="W75" s="65" t="n">
        <f aca="false">Ratio!W56*W37</f>
        <v>0.0326182644160974</v>
      </c>
      <c r="X75" s="66" t="n">
        <f aca="false">Ratio!X56*X37</f>
        <v>0.0310255853582954</v>
      </c>
      <c r="Y75" s="67" t="n">
        <f aca="false">Ratio!Y56*Y37</f>
        <v>0.0302670877549577</v>
      </c>
      <c r="Z75" s="63" t="n">
        <f aca="false">Ratio!Z56*Z37</f>
        <v>0.0301719055472611</v>
      </c>
      <c r="AA75" s="65" t="n">
        <f aca="false">Ratio!AA56*AA37</f>
        <v>0.0267663390966535</v>
      </c>
      <c r="AB75" s="63" t="n">
        <f aca="false">Ratio!AB56*AB37</f>
        <v>0.029818663720956</v>
      </c>
      <c r="AC75" s="68" t="n">
        <f aca="false">Ratio!AC56*AC37</f>
        <v>0.0602386864246694</v>
      </c>
      <c r="AD75" s="67" t="n">
        <f aca="false">Ratio!AD56*AD37</f>
        <v>0.0529031673046076</v>
      </c>
      <c r="AE75" s="63" t="n">
        <f aca="false">Ratio!AE56*AE37</f>
        <v>0.0445554662431396</v>
      </c>
      <c r="AF75" s="65" t="n">
        <f aca="false">Ratio!AF56*AF37</f>
        <v>0.0452838412251482</v>
      </c>
      <c r="AG75" s="63" t="n">
        <f aca="false">Ratio!AG56*AG37</f>
        <v>0.0459069251951169</v>
      </c>
      <c r="AH75" s="63" t="n">
        <f aca="false">Ratio!AH56*AH37</f>
        <v>0.439454627809973</v>
      </c>
      <c r="AI75" s="66" t="n">
        <f aca="false">Ratio!AI56*AI37</f>
        <v>0.40061599728294</v>
      </c>
      <c r="AJ75" s="67" t="n">
        <f aca="false">Ratio!AJ56*AJ37</f>
        <v>0.39604481394225</v>
      </c>
      <c r="AK75" s="63" t="n">
        <f aca="false">Ratio!AK56*AK37</f>
        <v>0.409665422089518</v>
      </c>
      <c r="AL75" s="63" t="n">
        <f aca="false">Ratio!AL56*AL37</f>
        <v>0.440653813366137</v>
      </c>
      <c r="AM75" s="63" t="n">
        <f aca="false">Ratio!AM56*AM37</f>
        <v>0.437793595040437</v>
      </c>
      <c r="AN75" s="68" t="n">
        <f aca="false">Ratio!AN56*AN37</f>
        <v>-1.21541485138648</v>
      </c>
      <c r="AO75" s="67" t="n">
        <f aca="false">Ratio!AO56*AO37</f>
        <v>-1.14202239467393</v>
      </c>
      <c r="AP75" s="63" t="n">
        <f aca="false">Ratio!AP56*AP37</f>
        <v>-0.779805880859106</v>
      </c>
      <c r="AQ75" s="63" t="n">
        <f aca="false">Ratio!AQ56*AQ37</f>
        <v>-0.841321748388745</v>
      </c>
    </row>
    <row r="76" customFormat="false" ht="12.8" hidden="false" customHeight="false" outlineLevel="0" collapsed="false">
      <c r="A76" s="139" t="s">
        <v>198</v>
      </c>
      <c r="B76" s="65" t="n">
        <f aca="false">Ratio!B57*B38</f>
        <v>0.134831748134018</v>
      </c>
      <c r="C76" s="65" t="n">
        <f aca="false">Ratio!C57*C38</f>
        <v>0.133628539615107</v>
      </c>
      <c r="D76" s="63" t="n">
        <f aca="false">Ratio!D57*D38</f>
        <v>0.133628539615107</v>
      </c>
      <c r="E76" s="65" t="n">
        <f aca="false">Ratio!E57*E38</f>
        <v>0.134960996845843</v>
      </c>
      <c r="F76" s="63" t="n">
        <f aca="false">Ratio!F57*F38</f>
        <v>0.138502723406879</v>
      </c>
      <c r="G76" s="65" t="n">
        <f aca="false">Ratio!G57*G38</f>
        <v>0.542648705911957</v>
      </c>
      <c r="H76" s="63" t="n">
        <f aca="false">Ratio!H57*H38</f>
        <v>0.546155859862175</v>
      </c>
      <c r="I76" s="66" t="n">
        <f aca="false">Ratio!I57*I38</f>
        <v>0.557497614586777</v>
      </c>
      <c r="J76" s="67" t="n">
        <f aca="false">Ratio!J57*J38</f>
        <v>0.277778294052635</v>
      </c>
      <c r="K76" s="65" t="n">
        <f aca="false">Ratio!K57*K38</f>
        <v>0.570897428550998</v>
      </c>
      <c r="L76" s="63" t="n">
        <f aca="false">Ratio!L57*L38</f>
        <v>0.569183975199739</v>
      </c>
      <c r="M76" s="65" t="n">
        <f aca="false">Ratio!M57*M38</f>
        <v>0.568805386631419</v>
      </c>
      <c r="N76" s="65" t="n">
        <f aca="false">Ratio!N57*N38</f>
        <v>0.580853408136059</v>
      </c>
      <c r="O76" s="63" t="n">
        <f aca="false">Ratio!O57*O38</f>
        <v>0.611644467378739</v>
      </c>
      <c r="P76" s="68" t="n">
        <f aca="false">Ratio!P57*P38</f>
        <v>0.142135859878882</v>
      </c>
      <c r="Q76" s="67" t="n">
        <f aca="false">Ratio!Q57*Q38</f>
        <v>0.14325731199721</v>
      </c>
      <c r="R76" s="63" t="n">
        <f aca="false">Ratio!R57*R38</f>
        <v>0.14628160815662</v>
      </c>
      <c r="S76" s="65" t="n">
        <f aca="false">Ratio!S57*S38</f>
        <v>0.145479196026103</v>
      </c>
      <c r="T76" s="63" t="n">
        <f aca="false">Ratio!T57*T38</f>
        <v>0.138159456125733</v>
      </c>
      <c r="U76" s="63" t="n">
        <f aca="false">Ratio!U57*U38</f>
        <v>0.177210711758633</v>
      </c>
      <c r="V76" s="65" t="n">
        <f aca="false">Ratio!V57*V38</f>
        <v>0.179023052174815</v>
      </c>
      <c r="W76" s="65" t="n">
        <f aca="false">Ratio!W57*W38</f>
        <v>0.179569242266708</v>
      </c>
      <c r="X76" s="66" t="n">
        <f aca="false">Ratio!X57*X38</f>
        <v>0.179304607609424</v>
      </c>
      <c r="Y76" s="67" t="n">
        <f aca="false">Ratio!Y57*Y38</f>
        <v>0.165520296366207</v>
      </c>
      <c r="Z76" s="63" t="n">
        <f aca="false">Ratio!Z57*Z38</f>
        <v>0.164999777598288</v>
      </c>
      <c r="AA76" s="65" t="n">
        <f aca="false">Ratio!AA57*AA38</f>
        <v>0.168890285359188</v>
      </c>
      <c r="AB76" s="63" t="n">
        <f aca="false">Ratio!AB57*AB38</f>
        <v>0.18306113201714</v>
      </c>
      <c r="AC76" s="68" t="n">
        <f aca="false">Ratio!AC57*AC38</f>
        <v>0.19056946752812</v>
      </c>
      <c r="AD76" s="67" t="n">
        <f aca="false">Ratio!AD57*AD38</f>
        <v>0.184100727349503</v>
      </c>
      <c r="AE76" s="63" t="n">
        <f aca="false">Ratio!AE57*AE38</f>
        <v>0.168173531897348</v>
      </c>
      <c r="AF76" s="65" t="n">
        <f aca="false">Ratio!AF57*AF38</f>
        <v>0.170922765686118</v>
      </c>
      <c r="AG76" s="63" t="n">
        <f aca="false">Ratio!AG57*AG38</f>
        <v>0.173274581091358</v>
      </c>
      <c r="AH76" s="63" t="n">
        <f aca="false">Ratio!AH57*AH38</f>
        <v>0.217236577344409</v>
      </c>
      <c r="AI76" s="66" t="n">
        <f aca="false">Ratio!AI57*AI38</f>
        <v>0.198037391283988</v>
      </c>
      <c r="AJ76" s="67" t="n">
        <f aca="false">Ratio!AJ57*AJ38</f>
        <v>0.195777708121032</v>
      </c>
      <c r="AK76" s="63" t="n">
        <f aca="false">Ratio!AK57*AK38</f>
        <v>0.202510813447531</v>
      </c>
      <c r="AL76" s="63" t="n">
        <f aca="false">Ratio!AL57*AL38</f>
        <v>0.205809190611944</v>
      </c>
      <c r="AM76" s="63" t="n">
        <f aca="false">Ratio!AM57*AM38</f>
        <v>0.204473313783626</v>
      </c>
      <c r="AN76" s="68" t="n">
        <f aca="false">Ratio!AN57*AN38</f>
        <v>0.050905357513471</v>
      </c>
      <c r="AO76" s="67" t="n">
        <f aca="false">Ratio!AO57*AO38</f>
        <v>0.0524302341371021</v>
      </c>
      <c r="AP76" s="63" t="n">
        <f aca="false">Ratio!AP57*AP38</f>
        <v>0.0443073644015788</v>
      </c>
      <c r="AQ76" s="63" t="n">
        <f aca="false">Ratio!AQ57*AQ38</f>
        <v>0.0454992036909023</v>
      </c>
    </row>
    <row r="77" customFormat="false" ht="12.8" hidden="false" customHeight="false" outlineLevel="0" collapsed="false">
      <c r="A77" s="139" t="s">
        <v>28</v>
      </c>
      <c r="B77" s="65" t="n">
        <f aca="false">Ratio!B58*B39</f>
        <v>0.0952094807808149</v>
      </c>
      <c r="C77" s="65" t="n">
        <f aca="false">Ratio!C58*C39</f>
        <v>0.0943598525594061</v>
      </c>
      <c r="D77" s="63" t="n">
        <f aca="false">Ratio!D58*D39</f>
        <v>0.0943598525594061</v>
      </c>
      <c r="E77" s="65" t="n">
        <f aca="false">Ratio!E58*E39</f>
        <v>0.0953007478815885</v>
      </c>
      <c r="F77" s="63" t="n">
        <f aca="false">Ratio!F58*F39</f>
        <v>0.0978016866561023</v>
      </c>
      <c r="G77" s="65" t="n">
        <f aca="false">Ratio!G58*G39</f>
        <v>0.500467360070638</v>
      </c>
      <c r="H77" s="63" t="n">
        <f aca="false">Ratio!H58*H39</f>
        <v>0.484696000164196</v>
      </c>
      <c r="I77" s="66" t="n">
        <f aca="false">Ratio!I58*I39</f>
        <v>0.466360116592286</v>
      </c>
      <c r="J77" s="67" t="n">
        <f aca="false">Ratio!J58*J39</f>
        <v>0.474220817773852</v>
      </c>
      <c r="K77" s="65" t="n">
        <f aca="false">Ratio!K58*K39</f>
        <v>0.477569382137397</v>
      </c>
      <c r="L77" s="63" t="n">
        <f aca="false">Ratio!L58*L39</f>
        <v>0.476136037341364</v>
      </c>
      <c r="M77" s="65" t="n">
        <f aca="false">Ratio!M58*M39</f>
        <v>0.47581933893003</v>
      </c>
      <c r="N77" s="65" t="n">
        <f aca="false">Ratio!N58*N39</f>
        <v>0.205291819521157</v>
      </c>
      <c r="O77" s="63" t="n">
        <f aca="false">Ratio!O58*O39</f>
        <v>0.216174345969952</v>
      </c>
      <c r="P77" s="68" t="n">
        <f aca="false">Ratio!P58*P39</f>
        <v>-0.204013836700235</v>
      </c>
      <c r="Q77" s="67" t="n">
        <f aca="false">Ratio!Q58*Q39</f>
        <v>-0.205623506135735</v>
      </c>
      <c r="R77" s="63" t="n">
        <f aca="false">Ratio!R58*R39</f>
        <v>-0.209964411121463</v>
      </c>
      <c r="S77" s="65" t="n">
        <f aca="false">Ratio!S58*S39</f>
        <v>-0.208812673780154</v>
      </c>
      <c r="T77" s="63" t="n">
        <f aca="false">Ratio!T58*T39</f>
        <v>-0.189190030261957</v>
      </c>
      <c r="U77" s="63" t="n">
        <f aca="false">Ratio!U58*U39</f>
        <v>-0.0906000073274036</v>
      </c>
      <c r="V77" s="65" t="n">
        <f aca="false">Ratio!V58*V39</f>
        <v>-0.0915265769086456</v>
      </c>
      <c r="W77" s="65" t="n">
        <f aca="false">Ratio!W58*W39</f>
        <v>-0.0918058197706409</v>
      </c>
      <c r="X77" s="66" t="n">
        <f aca="false">Ratio!X58*X39</f>
        <v>-0.0916705237625664</v>
      </c>
      <c r="Y77" s="67" t="n">
        <f aca="false">Ratio!Y58*Y39</f>
        <v>-0.0977927021963323</v>
      </c>
      <c r="Z77" s="63" t="n">
        <f aca="false">Ratio!Z58*Z39</f>
        <v>-0.0642269257144947</v>
      </c>
      <c r="AA77" s="65" t="n">
        <f aca="false">Ratio!AA58*AA39</f>
        <v>-0.0656756317835351</v>
      </c>
      <c r="AB77" s="63" t="n">
        <f aca="false">Ratio!AB58*AB39</f>
        <v>-0.0711861873799642</v>
      </c>
      <c r="AC77" s="68" t="n">
        <f aca="false">Ratio!AC58*AC39</f>
        <v>0.0548411341090464</v>
      </c>
      <c r="AD77" s="67" t="n">
        <f aca="false">Ratio!AD58*AD39</f>
        <v>0.0587618670930415</v>
      </c>
      <c r="AE77" s="63" t="n">
        <f aca="false">Ratio!AE58*AE39</f>
        <v>0.0809437767499334</v>
      </c>
      <c r="AF77" s="65" t="n">
        <f aca="false">Ratio!AF58*AF39</f>
        <v>0.0874343854938112</v>
      </c>
      <c r="AG77" s="63" t="n">
        <f aca="false">Ratio!AG58*AG39</f>
        <v>0.10084971038502</v>
      </c>
      <c r="AH77" s="63" t="n">
        <f aca="false">Ratio!AH58*AH39</f>
        <v>0.127778042969383</v>
      </c>
      <c r="AI77" s="66" t="n">
        <f aca="false">Ratio!AI58*AI39</f>
        <v>0.116485126963271</v>
      </c>
      <c r="AJ77" s="67" t="n">
        <f aca="false">Ratio!AJ58*AJ39</f>
        <v>0.0907749829263169</v>
      </c>
      <c r="AK77" s="63" t="n">
        <f aca="false">Ratio!AK58*AK39</f>
        <v>0.100601733874655</v>
      </c>
      <c r="AL77" s="63" t="n">
        <f aca="false">Ratio!AL58*AL39</f>
        <v>0.102934605067805</v>
      </c>
      <c r="AM77" s="63" t="n">
        <f aca="false">Ratio!AM58*AM39</f>
        <v>0.165894715344969</v>
      </c>
      <c r="AN77" s="68" t="n">
        <f aca="false">Ratio!AN58*AN39</f>
        <v>0.221736770543966</v>
      </c>
      <c r="AO77" s="67" t="n">
        <f aca="false">Ratio!AO58*AO39</f>
        <v>0.195596834580477</v>
      </c>
      <c r="AP77" s="63" t="n">
        <f aca="false">Ratio!AP58*AP39</f>
        <v>0.175354377553795</v>
      </c>
      <c r="AQ77" s="63" t="n">
        <f aca="false">Ratio!AQ58*AQ39</f>
        <v>0.136743937438136</v>
      </c>
    </row>
    <row r="78" customFormat="false" ht="12.8" hidden="false" customHeight="false" outlineLevel="0" collapsed="false">
      <c r="A78" s="139" t="s">
        <v>199</v>
      </c>
      <c r="B78" s="65" t="n">
        <f aca="false">Ratio!B59*B40</f>
        <v>0.0183825766363579</v>
      </c>
      <c r="C78" s="65" t="n">
        <f aca="false">Ratio!C59*C40</f>
        <v>0.0182185346127656</v>
      </c>
      <c r="D78" s="63" t="n">
        <f aca="false">Ratio!D59*D40</f>
        <v>0.0182185346127656</v>
      </c>
      <c r="E78" s="65" t="n">
        <f aca="false">Ratio!E59*E40</f>
        <v>0.0137306159571321</v>
      </c>
      <c r="F78" s="63" t="n">
        <f aca="false">Ratio!F59*F40</f>
        <v>0.0140909429284148</v>
      </c>
      <c r="G78" s="65" t="n">
        <f aca="false">Ratio!G59*G40</f>
        <v>0.0136723654627639</v>
      </c>
      <c r="H78" s="63" t="n">
        <f aca="false">Ratio!H59*H40</f>
        <v>0.0137607303478528</v>
      </c>
      <c r="I78" s="66" t="n">
        <f aca="false">Ratio!I59*I40</f>
        <v>0.0140464927829132</v>
      </c>
      <c r="J78" s="67" t="n">
        <f aca="false">Ratio!J59*J40</f>
        <v>0.014283252485313</v>
      </c>
      <c r="K78" s="65" t="n">
        <f aca="false">Ratio!K59*K40</f>
        <v>0.0143841092770758</v>
      </c>
      <c r="L78" s="63" t="n">
        <f aca="false">Ratio!L59*L40</f>
        <v>0.014340937773732</v>
      </c>
      <c r="M78" s="65" t="n">
        <f aca="false">Ratio!M59*M40</f>
        <v>0.0143313990036037</v>
      </c>
      <c r="N78" s="65" t="n">
        <f aca="false">Ratio!N59*N40</f>
        <v>0.0146349562614025</v>
      </c>
      <c r="O78" s="63" t="n">
        <f aca="false">Ratio!O59*O40</f>
        <v>0.0154107557986815</v>
      </c>
      <c r="P78" s="68" t="n">
        <f aca="false">Ratio!P59*P40</f>
        <v>0.0158693223467252</v>
      </c>
      <c r="Q78" s="67" t="n">
        <f aca="false">Ratio!Q59*Q40</f>
        <v>0.0159945313205713</v>
      </c>
      <c r="R78" s="63" t="n">
        <f aca="false">Ratio!R59*R40</f>
        <v>0.0163321908715567</v>
      </c>
      <c r="S78" s="65" t="n">
        <f aca="false">Ratio!S59*S40</f>
        <v>0.0162426023837188</v>
      </c>
      <c r="T78" s="63" t="n">
        <f aca="false">Ratio!T59*T40</f>
        <v>0.0147162448565933</v>
      </c>
      <c r="U78" s="63" t="n">
        <f aca="false">Ratio!U59*U40</f>
        <v>0.0142239321391627</v>
      </c>
      <c r="V78" s="65" t="n">
        <f aca="false">Ratio!V59*V40</f>
        <v>0.01436940081223</v>
      </c>
      <c r="W78" s="65" t="n">
        <f aca="false">Ratio!W59*W40</f>
        <v>0.0144132411124301</v>
      </c>
      <c r="X78" s="66" t="n">
        <f aca="false">Ratio!X59*X40</f>
        <v>0.0143920000408858</v>
      </c>
      <c r="Y78" s="67" t="n">
        <f aca="false">Ratio!Y59*Y40</f>
        <v>0.0153531638769001</v>
      </c>
      <c r="Z78" s="63" t="n">
        <f aca="false">Ratio!Z59*Z40</f>
        <v>0.00957589609964843</v>
      </c>
      <c r="AA78" s="65" t="n">
        <f aca="false">Ratio!AA59*AA40</f>
        <v>0.00979189053876775</v>
      </c>
      <c r="AB78" s="63" t="n">
        <f aca="false">Ratio!AB59*AB40</f>
        <v>0.0106134853334075</v>
      </c>
      <c r="AC78" s="68" t="n">
        <f aca="false">Ratio!AC59*AC40</f>
        <v>0.020588631884963</v>
      </c>
      <c r="AD78" s="67" t="n">
        <f aca="false">Ratio!AD59*AD40</f>
        <v>0.0220605658527434</v>
      </c>
      <c r="AE78" s="63" t="n">
        <f aca="false">Ratio!AE59*AE40</f>
        <v>0.0151227610348327</v>
      </c>
      <c r="AF78" s="65" t="n">
        <f aca="false">Ratio!AF59*AF40</f>
        <v>0.0153699818973989</v>
      </c>
      <c r="AG78" s="63" t="n">
        <f aca="false">Ratio!AG59*AG40</f>
        <v>0.00727384958200261</v>
      </c>
      <c r="AH78" s="63" t="n">
        <f aca="false">Ratio!AH59*AH40</f>
        <v>0.00739733518846941</v>
      </c>
      <c r="AI78" s="66" t="n">
        <f aca="false">Ratio!AI59*AI40</f>
        <v>0.00674356492394549</v>
      </c>
      <c r="AJ78" s="67" t="n">
        <f aca="false">Ratio!AJ59*AJ40</f>
        <v>0.00666661824221967</v>
      </c>
      <c r="AK78" s="63" t="n">
        <f aca="false">Ratio!AK59*AK40</f>
        <v>0.0068958937977833</v>
      </c>
      <c r="AL78" s="63" t="n">
        <f aca="false">Ratio!AL59*AL40</f>
        <v>0.00700821006496733</v>
      </c>
      <c r="AM78" s="63" t="n">
        <f aca="false">Ratio!AM59*AM40</f>
        <v>0.00696272081637771</v>
      </c>
      <c r="AN78" s="68" t="n">
        <f aca="false">Ratio!AN59*AN40</f>
        <v>0.00709999165760795</v>
      </c>
      <c r="AO78" s="67" t="n">
        <f aca="false">Ratio!AO59*AO40</f>
        <v>0.00731267283372575</v>
      </c>
      <c r="AP78" s="63" t="n">
        <f aca="false">Ratio!AP59*AP40</f>
        <v>0.00693585246390241</v>
      </c>
      <c r="AQ78" s="63" t="n">
        <f aca="false">Ratio!AQ59*AQ40</f>
        <v>0.00712242238479655</v>
      </c>
    </row>
    <row r="79" customFormat="false" ht="12.8" hidden="false" customHeight="false" outlineLevel="0" collapsed="false">
      <c r="A79" s="139" t="s">
        <v>200</v>
      </c>
      <c r="B79" s="65" t="n">
        <f aca="false">Ratio!B60*B41</f>
        <v>0.0849243161096791</v>
      </c>
      <c r="C79" s="65" t="n">
        <f aca="false">Ratio!C60*C41</f>
        <v>0.0841664704092417</v>
      </c>
      <c r="D79" s="63" t="n">
        <f aca="false">Ratio!D60*D41</f>
        <v>0.0841664704092417</v>
      </c>
      <c r="E79" s="65" t="n">
        <f aca="false">Ratio!E60*E41</f>
        <v>0.0850057239280282</v>
      </c>
      <c r="F79" s="63" t="n">
        <f aca="false">Ratio!F60*F41</f>
        <v>0.0872364945751943</v>
      </c>
      <c r="G79" s="65" t="n">
        <f aca="false">Ratio!G60*G41</f>
        <v>0.00527674270900719</v>
      </c>
      <c r="H79" s="63" t="n">
        <f aca="false">Ratio!H60*H41</f>
        <v>0.00531084644653492</v>
      </c>
      <c r="I79" s="66" t="n">
        <f aca="false">Ratio!I60*I41</f>
        <v>0.00487252897582689</v>
      </c>
      <c r="J79" s="67" t="n">
        <f aca="false">Ratio!J60*J41</f>
        <v>0.00500000887629198</v>
      </c>
      <c r="K79" s="65" t="n">
        <f aca="false">Ratio!K60*K41</f>
        <v>0.00441484758483122</v>
      </c>
      <c r="L79" s="63" t="n">
        <f aca="false">Ratio!L60*L41</f>
        <v>0.00440159715662606</v>
      </c>
      <c r="M79" s="65" t="n">
        <f aca="false">Ratio!M60*M41</f>
        <v>0.00439866946639152</v>
      </c>
      <c r="N79" s="65" t="n">
        <f aca="false">Ratio!N60*N41</f>
        <v>0.00449183887998786</v>
      </c>
      <c r="O79" s="63" t="n">
        <f aca="false">Ratio!O60*O41</f>
        <v>0.00406620222321312</v>
      </c>
      <c r="P79" s="68" t="n">
        <f aca="false">Ratio!P60*P41</f>
        <v>0.0664204755744364</v>
      </c>
      <c r="Q79" s="67" t="n">
        <f aca="false">Ratio!Q60*Q41</f>
        <v>0.0704215996977228</v>
      </c>
      <c r="R79" s="63" t="n">
        <f aca="false">Ratio!R60*R41</f>
        <v>0.0719082656873056</v>
      </c>
      <c r="S79" s="65" t="n">
        <f aca="false">Ratio!S60*S41</f>
        <v>0.0744029789311066</v>
      </c>
      <c r="T79" s="63" t="n">
        <f aca="false">Ratio!T60*T41</f>
        <v>0.0584761246781983</v>
      </c>
      <c r="U79" s="63" t="n">
        <f aca="false">Ratio!U60*U41</f>
        <v>0.0616861651655791</v>
      </c>
      <c r="V79" s="65" t="n">
        <f aca="false">Ratio!V60*V41</f>
        <v>0.062317031827867</v>
      </c>
      <c r="W79" s="65" t="n">
        <f aca="false">Ratio!W60*W41</f>
        <v>0.0625071578754742</v>
      </c>
      <c r="X79" s="66" t="n">
        <f aca="false">Ratio!X60*X41</f>
        <v>0.0796596451890584</v>
      </c>
      <c r="Y79" s="67" t="n">
        <f aca="false">Ratio!Y60*Y41</f>
        <v>0.0516889533510095</v>
      </c>
      <c r="Z79" s="63" t="n">
        <f aca="false">Ratio!Z60*Z41</f>
        <v>0.0707491729684835</v>
      </c>
      <c r="AA79" s="65" t="n">
        <f aca="false">Ratio!AA60*AA41</f>
        <v>0.123942934687445</v>
      </c>
      <c r="AB79" s="63" t="n">
        <f aca="false">Ratio!AB60*AB41</f>
        <v>0.134342445340512</v>
      </c>
      <c r="AC79" s="68" t="n">
        <f aca="false">Ratio!AC60*AC41</f>
        <v>0.0502382808158935</v>
      </c>
      <c r="AD79" s="67" t="n">
        <f aca="false">Ratio!AD60*AD41</f>
        <v>0.0314203230175035</v>
      </c>
      <c r="AE79" s="63" t="n">
        <f aca="false">Ratio!AE60*AE41</f>
        <v>0.031944240181275</v>
      </c>
      <c r="AF79" s="65" t="n">
        <f aca="false">Ratio!AF60*AF41</f>
        <v>0.032466451872212</v>
      </c>
      <c r="AG79" s="63" t="n">
        <f aca="false">Ratio!AG60*AG41</f>
        <v>0.0360880180944697</v>
      </c>
      <c r="AH79" s="63" t="n">
        <f aca="false">Ratio!AH60*AH41</f>
        <v>0.111049398418942</v>
      </c>
      <c r="AI79" s="66" t="n">
        <f aca="false">Ratio!AI60*AI41</f>
        <v>0.101234945953311</v>
      </c>
      <c r="AJ79" s="67" t="n">
        <f aca="false">Ratio!AJ60*AJ41</f>
        <v>0.138172696102159</v>
      </c>
      <c r="AK79" s="63" t="n">
        <f aca="false">Ratio!AK60*AK41</f>
        <v>0.103521719415718</v>
      </c>
      <c r="AL79" s="63" t="n">
        <f aca="false">Ratio!AL60*AL41</f>
        <v>0.105207820367705</v>
      </c>
      <c r="AM79" s="63" t="n">
        <f aca="false">Ratio!AM60*AM41</f>
        <v>0.109816506748091</v>
      </c>
      <c r="AN79" s="68" t="n">
        <f aca="false">Ratio!AN60*AN41</f>
        <v>1.96065329301442</v>
      </c>
      <c r="AO79" s="67" t="n">
        <f aca="false">Ratio!AO60*AO41</f>
        <v>1.17572553317982</v>
      </c>
      <c r="AP79" s="63" t="n">
        <f aca="false">Ratio!AP60*AP41</f>
        <v>2.43686693208357</v>
      </c>
      <c r="AQ79" s="63" t="n">
        <f aca="false">Ratio!AQ60*AQ41</f>
        <v>2.33701473924693</v>
      </c>
    </row>
    <row r="80" customFormat="false" ht="12.8" hidden="false" customHeight="false" outlineLevel="0" collapsed="false">
      <c r="A80" s="139"/>
      <c r="B80" s="65"/>
      <c r="C80" s="65"/>
      <c r="D80" s="63"/>
      <c r="E80" s="65"/>
      <c r="F80" s="63"/>
      <c r="G80" s="65"/>
      <c r="H80" s="63"/>
      <c r="I80" s="66"/>
      <c r="J80" s="67"/>
      <c r="K80" s="65"/>
      <c r="L80" s="63"/>
      <c r="M80" s="65"/>
      <c r="N80" s="65"/>
      <c r="O80" s="63"/>
      <c r="P80" s="68"/>
      <c r="Q80" s="67"/>
      <c r="R80" s="63"/>
      <c r="S80" s="65"/>
      <c r="T80" s="63"/>
      <c r="U80" s="63"/>
      <c r="V80" s="65"/>
      <c r="W80" s="65"/>
      <c r="X80" s="66"/>
      <c r="Y80" s="67"/>
      <c r="Z80" s="63"/>
      <c r="AA80" s="65"/>
      <c r="AB80" s="63"/>
      <c r="AC80" s="68"/>
      <c r="AD80" s="67"/>
      <c r="AE80" s="63"/>
      <c r="AF80" s="65"/>
      <c r="AG80" s="63"/>
      <c r="AH80" s="63"/>
      <c r="AI80" s="66"/>
      <c r="AJ80" s="67"/>
      <c r="AK80" s="63"/>
      <c r="AL80" s="63"/>
      <c r="AM80" s="63"/>
      <c r="AN80" s="68"/>
      <c r="AO80" s="67"/>
      <c r="AP80" s="63"/>
      <c r="AQ80" s="63"/>
    </row>
    <row r="81" customFormat="false" ht="12.8" hidden="false" customHeight="false" outlineLevel="0" collapsed="false">
      <c r="A81" s="1" t="s">
        <v>207</v>
      </c>
      <c r="B81" s="39"/>
      <c r="K81" s="40"/>
    </row>
    <row r="82" customFormat="false" ht="12.8" hidden="false" customHeight="false" outlineLevel="0" collapsed="false">
      <c r="A82" s="189" t="s">
        <v>183</v>
      </c>
      <c r="B82" s="65" t="n">
        <f aca="false">B25*Ratio!B68</f>
        <v>0.917930706408128</v>
      </c>
      <c r="C82" s="65" t="n">
        <f aca="false">C25*Ratio!C68</f>
        <v>0.906417871390242</v>
      </c>
      <c r="D82" s="63" t="n">
        <f aca="false">D25*Ratio!D68</f>
        <v>0.907750769903084</v>
      </c>
      <c r="E82" s="65" t="n">
        <f aca="false">E25*Ratio!E68</f>
        <v>0.88023048971021</v>
      </c>
      <c r="F82" s="63" t="n">
        <f aca="false">F25*Ratio!F68</f>
        <v>0.875069399563171</v>
      </c>
      <c r="G82" s="65" t="n">
        <f aca="false">G25*Ratio!G68</f>
        <v>0.861273344945389</v>
      </c>
      <c r="H82" s="63" t="n">
        <f aca="false">H25*Ratio!H68</f>
        <v>0.830474861740202</v>
      </c>
      <c r="I82" s="66" t="n">
        <f aca="false">I25*Ratio!I68</f>
        <v>0.796957885449601</v>
      </c>
      <c r="J82" s="67" t="n">
        <f aca="false">J25*Ratio!J68</f>
        <v>0.793474855530931</v>
      </c>
      <c r="K82" s="65" t="n">
        <f aca="false">K25*Ratio!K68</f>
        <v>0.820484808210132</v>
      </c>
      <c r="L82" s="63" t="n">
        <f aca="false">L25*Ratio!L68</f>
        <v>0.768010366546384</v>
      </c>
      <c r="M82" s="65" t="n">
        <f aca="false">M25*Ratio!M68</f>
        <v>0.768087652299755</v>
      </c>
      <c r="N82" s="65" t="n">
        <f aca="false">N25*Ratio!N68</f>
        <v>0.784359728538736</v>
      </c>
      <c r="O82" s="63" t="n">
        <f aca="false">O25*Ratio!O68</f>
        <v>0.842616382203845</v>
      </c>
      <c r="P82" s="68" t="n">
        <f aca="false">P25*Ratio!P68</f>
        <v>1.03797796901541</v>
      </c>
      <c r="Q82" s="67" t="n">
        <f aca="false">Q25*Ratio!Q68</f>
        <v>1.02892343487935</v>
      </c>
      <c r="R82" s="63" t="n">
        <f aca="false">R25*Ratio!R68</f>
        <v>1.01120854659036</v>
      </c>
      <c r="S82" s="65" t="n">
        <f aca="false">S25*Ratio!S68</f>
        <v>1.05356573326279</v>
      </c>
      <c r="T82" s="63" t="n">
        <f aca="false">T25*Ratio!T68</f>
        <v>1.20369185097694</v>
      </c>
      <c r="U82" s="63" t="n">
        <f aca="false">U25*Ratio!U68</f>
        <v>1.33078689977124</v>
      </c>
      <c r="V82" s="65" t="n">
        <f aca="false">V25*Ratio!V68</f>
        <v>1.22805094473676</v>
      </c>
      <c r="W82" s="65" t="n">
        <f aca="false">W25*Ratio!W68</f>
        <v>1.22120513851665</v>
      </c>
      <c r="X82" s="66" t="n">
        <f aca="false">X25*Ratio!X68</f>
        <v>1.35489491659971</v>
      </c>
      <c r="Y82" s="67" t="n">
        <f aca="false">Y25*Ratio!Y68</f>
        <v>1.30990679679463</v>
      </c>
      <c r="Z82" s="63" t="n">
        <f aca="false">Z25*Ratio!Z68</f>
        <v>1.25978566788423</v>
      </c>
      <c r="AA82" s="65" t="n">
        <f aca="false">AA25*Ratio!AA68</f>
        <v>1.25846590925002</v>
      </c>
      <c r="AB82" s="63" t="n">
        <f aca="false">AB25*Ratio!AB68</f>
        <v>1.16374265223609</v>
      </c>
      <c r="AC82" s="68" t="n">
        <f aca="false">AC25*Ratio!AC68</f>
        <v>0.894390486187295</v>
      </c>
      <c r="AD82" s="67" t="n">
        <f aca="false">AD25*Ratio!AD68</f>
        <v>0.87863548681986</v>
      </c>
      <c r="AE82" s="63" t="n">
        <f aca="false">AE25*Ratio!AE68</f>
        <v>0.816156630033987</v>
      </c>
      <c r="AF82" s="65" t="n">
        <f aca="false">AF25*Ratio!AF68</f>
        <v>0.797176398891957</v>
      </c>
      <c r="AG82" s="63" t="n">
        <f aca="false">AG25*Ratio!AG68</f>
        <v>0.765639207373693</v>
      </c>
      <c r="AH82" s="63" t="n">
        <f aca="false">AH25*Ratio!AH68</f>
        <v>0.630858824535297</v>
      </c>
      <c r="AI82" s="66" t="n">
        <f aca="false">AI25*Ratio!AI68</f>
        <v>0.917757270353546</v>
      </c>
      <c r="AJ82" s="67" t="n">
        <f aca="false">AJ25*Ratio!AJ68</f>
        <v>0.95035173166895</v>
      </c>
      <c r="AK82" s="63" t="n">
        <f aca="false">AK25*Ratio!AK68</f>
        <v>0.846541674647389</v>
      </c>
      <c r="AL82" s="63" t="n">
        <f aca="false">AL25*Ratio!AL68</f>
        <v>0.781429638140781</v>
      </c>
      <c r="AM82" s="63" t="n">
        <f aca="false">AM25*Ratio!AM68</f>
        <v>0.724151649159024</v>
      </c>
      <c r="AN82" s="68" t="n">
        <f aca="false">AN25*Ratio!AN68</f>
        <v>0.638253050481493</v>
      </c>
      <c r="AO82" s="67" t="n">
        <f aca="false">AO25*Ratio!AO68</f>
        <v>0.59335496987843</v>
      </c>
      <c r="AP82" s="63" t="n">
        <f aca="false">AP25*Ratio!AP68</f>
        <v>0.592749721854798</v>
      </c>
      <c r="AQ82" s="63" t="n">
        <f aca="false">AQ25*Ratio!AQ68</f>
        <v>0.586154799097703</v>
      </c>
    </row>
    <row r="83" customFormat="false" ht="12.8" hidden="false" customHeight="false" outlineLevel="0" collapsed="false">
      <c r="A83" s="189" t="s">
        <v>31</v>
      </c>
      <c r="B83" s="65" t="n">
        <f aca="false">B26*Ratio!B70</f>
        <v>0.124254391576715</v>
      </c>
      <c r="C83" s="65" t="n">
        <f aca="false">C26*Ratio!C70</f>
        <v>0.108797687295957</v>
      </c>
      <c r="D83" s="63" t="n">
        <f aca="false">D26*Ratio!D70</f>
        <v>0.108770494672289</v>
      </c>
      <c r="E83" s="65" t="n">
        <f aca="false">E26*Ratio!E70</f>
        <v>0.0992695375573641</v>
      </c>
      <c r="F83" s="63" t="n">
        <f aca="false">F26*Ratio!F70</f>
        <v>0.0868480838430338</v>
      </c>
      <c r="G83" s="65" t="n">
        <f aca="false">G26*Ratio!G70</f>
        <v>0.103730070050227</v>
      </c>
      <c r="H83" s="63" t="n">
        <f aca="false">H26*Ratio!H70</f>
        <v>0.0930526021222591</v>
      </c>
      <c r="I83" s="66" t="n">
        <f aca="false">I26*Ratio!I70</f>
        <v>0.0862426911239038</v>
      </c>
      <c r="J83" s="67" t="n">
        <f aca="false">J26*Ratio!J70</f>
        <v>0.0897936629673775</v>
      </c>
      <c r="K83" s="65" t="n">
        <f aca="false">K26*Ratio!K70</f>
        <v>0.104477625967195</v>
      </c>
      <c r="L83" s="63" t="n">
        <f aca="false">L26*Ratio!L70</f>
        <v>0.103754837884078</v>
      </c>
      <c r="M83" s="65" t="n">
        <f aca="false">M26*Ratio!M70</f>
        <v>0.103633397300582</v>
      </c>
      <c r="N83" s="65" t="n">
        <f aca="false">N26*Ratio!N70</f>
        <v>0.0965327579638182</v>
      </c>
      <c r="O83" s="63" t="n">
        <f aca="false">O26*Ratio!O70</f>
        <v>0.0624467556644406</v>
      </c>
      <c r="P83" s="68" t="n">
        <f aca="false">P26*Ratio!P70</f>
        <v>0.0722922800019955</v>
      </c>
      <c r="Q83" s="67" t="n">
        <f aca="false">Q26*Ratio!Q70</f>
        <v>0.0808207213878781</v>
      </c>
      <c r="R83" s="63" t="n">
        <f aca="false">R26*Ratio!R70</f>
        <v>0.091595508490137</v>
      </c>
      <c r="S83" s="65" t="n">
        <f aca="false">S26*Ratio!S70</f>
        <v>0.0926857961066535</v>
      </c>
      <c r="T83" s="63" t="n">
        <f aca="false">T26*Ratio!T70</f>
        <v>0.0717684779577988</v>
      </c>
      <c r="U83" s="63" t="n">
        <f aca="false">U26*Ratio!U70</f>
        <v>0.077214068773926</v>
      </c>
      <c r="V83" s="65" t="n">
        <f aca="false">V26*Ratio!V70</f>
        <v>0.0713096495440142</v>
      </c>
      <c r="W83" s="65" t="n">
        <f aca="false">W26*Ratio!W70</f>
        <v>0.0715272116041185</v>
      </c>
      <c r="X83" s="66" t="n">
        <f aca="false">X26*Ratio!X70</f>
        <v>0.0793350388466428</v>
      </c>
      <c r="Y83" s="67" t="n">
        <f aca="false">Y26*Ratio!Y70</f>
        <v>0.0881911585459462</v>
      </c>
      <c r="Z83" s="63" t="n">
        <f aca="false">Z26*Ratio!Z70</f>
        <v>0.0825255067393733</v>
      </c>
      <c r="AA83" s="65" t="n">
        <f aca="false">AA26*Ratio!AA70</f>
        <v>0.087533489553618</v>
      </c>
      <c r="AB83" s="63" t="n">
        <f aca="false">AB26*Ratio!AB70</f>
        <v>0.0794430984784749</v>
      </c>
      <c r="AC83" s="68" t="n">
        <f aca="false">AC26*Ratio!AC70</f>
        <v>0.0613457046138234</v>
      </c>
      <c r="AD83" s="67" t="n">
        <f aca="false">AD26*Ratio!AD70</f>
        <v>0.0698241910116038</v>
      </c>
      <c r="AE83" s="63" t="n">
        <f aca="false">AE26*Ratio!AE70</f>
        <v>0.0690588553939035</v>
      </c>
      <c r="AF83" s="65" t="n">
        <f aca="false">AF26*Ratio!AF70</f>
        <v>0.0615439024950219</v>
      </c>
      <c r="AG83" s="63" t="n">
        <f aca="false">AG26*Ratio!AG70</f>
        <v>0.0590850611021703</v>
      </c>
      <c r="AH83" s="63" t="n">
        <f aca="false">AH26*Ratio!AH70</f>
        <v>0.0485484071741307</v>
      </c>
      <c r="AI83" s="66" t="n">
        <f aca="false">AI26*Ratio!AI70</f>
        <v>0.101038372812738</v>
      </c>
      <c r="AJ83" s="67" t="n">
        <f aca="false">AJ26*Ratio!AJ70</f>
        <v>0.0996955731655979</v>
      </c>
      <c r="AK83" s="63" t="n">
        <f aca="false">AK26*Ratio!AK70</f>
        <v>0.0934565360421198</v>
      </c>
      <c r="AL83" s="63" t="n">
        <f aca="false">AL26*Ratio!AL70</f>
        <v>0.0819408347549768</v>
      </c>
      <c r="AM83" s="63" t="n">
        <f aca="false">AM26*Ratio!AM70</f>
        <v>0.0738402482117483</v>
      </c>
      <c r="AN83" s="68" t="n">
        <f aca="false">AN26*Ratio!AN70</f>
        <v>0.0645593427873661</v>
      </c>
      <c r="AO83" s="67" t="n">
        <f aca="false">AO26*Ratio!AO70</f>
        <v>0.0616502359575529</v>
      </c>
      <c r="AP83" s="63" t="n">
        <f aca="false">AP26*Ratio!AP70</f>
        <v>0.0779282728798254</v>
      </c>
      <c r="AQ83" s="63" t="n">
        <f aca="false">AQ26*Ratio!AQ70</f>
        <v>0.0670495020856523</v>
      </c>
    </row>
    <row r="84" customFormat="false" ht="12.8" hidden="false" customHeight="false" outlineLevel="0" collapsed="false">
      <c r="A84" s="189" t="s">
        <v>29</v>
      </c>
      <c r="B84" s="65" t="n">
        <f aca="false">B27*Ratio!B72</f>
        <v>0.0942591375659361</v>
      </c>
      <c r="C84" s="65" t="n">
        <f aca="false">C27*Ratio!C72</f>
        <v>0.0850494524215567</v>
      </c>
      <c r="D84" s="63" t="n">
        <f aca="false">D27*Ratio!D72</f>
        <v>0.0850494524215567</v>
      </c>
      <c r="E84" s="65" t="n">
        <f aca="false">E27*Ratio!E72</f>
        <v>0.0929629076970395</v>
      </c>
      <c r="F84" s="63" t="n">
        <f aca="false">F27*Ratio!F72</f>
        <v>0.0581158909479242</v>
      </c>
      <c r="G84" s="65" t="n">
        <f aca="false">G27*Ratio!G72</f>
        <v>0.063768504906721</v>
      </c>
      <c r="H84" s="63" t="n">
        <f aca="false">H27*Ratio!H72</f>
        <v>0.0579578504903346</v>
      </c>
      <c r="I84" s="66" t="n">
        <f aca="false">I27*Ratio!I72</f>
        <v>0.0535983266465569</v>
      </c>
      <c r="J84" s="67" t="n">
        <f aca="false">J27*Ratio!J72</f>
        <v>0.0484956283450213</v>
      </c>
      <c r="K84" s="65" t="n">
        <f aca="false">K27*Ratio!K72</f>
        <v>0.0427396596434622</v>
      </c>
      <c r="L84" s="63" t="n">
        <f aca="false">L27*Ratio!L72</f>
        <v>0.0406747585079524</v>
      </c>
      <c r="M84" s="65" t="n">
        <f aca="false">M27*Ratio!M72</f>
        <v>0.0406477039890952</v>
      </c>
      <c r="N84" s="65" t="n">
        <f aca="false">N27*Ratio!N72</f>
        <v>0.0367689292675847</v>
      </c>
      <c r="O84" s="63" t="n">
        <f aca="false">O27*Ratio!O72</f>
        <v>0.0386891538475874</v>
      </c>
      <c r="P84" s="68" t="n">
        <f aca="false">P27*Ratio!P72</f>
        <v>0.0446143811188389</v>
      </c>
      <c r="Q84" s="67" t="n">
        <f aca="false">Q27*Ratio!Q72</f>
        <v>0.0512592922916492</v>
      </c>
      <c r="R84" s="63" t="n">
        <f aca="false">R27*Ratio!R72</f>
        <v>0.0565478396392549</v>
      </c>
      <c r="S84" s="65" t="n">
        <f aca="false">S27*Ratio!S72</f>
        <v>0.0562376525073737</v>
      </c>
      <c r="T84" s="63" t="n">
        <f aca="false">T27*Ratio!T72</f>
        <v>0.0455180540156166</v>
      </c>
      <c r="U84" s="63" t="n">
        <f aca="false">U27*Ratio!U72</f>
        <v>0.0410943818949634</v>
      </c>
      <c r="V84" s="65" t="n">
        <f aca="false">V27*Ratio!V72</f>
        <v>0.0510009220525781</v>
      </c>
      <c r="W84" s="65" t="n">
        <f aca="false">W27*Ratio!W72</f>
        <v>0.051156523233343</v>
      </c>
      <c r="X84" s="66" t="n">
        <f aca="false">X27*Ratio!X72</f>
        <v>0.0510811328779415</v>
      </c>
      <c r="Y84" s="67" t="n">
        <f aca="false">Y27*Ratio!Y72</f>
        <v>0.0667842764747229</v>
      </c>
      <c r="Z84" s="63" t="n">
        <f aca="false">Z27*Ratio!Z72</f>
        <v>0.0721100825465001</v>
      </c>
      <c r="AA84" s="65" t="n">
        <f aca="false">AA27*Ratio!AA72</f>
        <v>0.0714360651690545</v>
      </c>
      <c r="AB84" s="63" t="n">
        <f aca="false">AB27*Ratio!AB72</f>
        <v>0.0829679523844611</v>
      </c>
      <c r="AC84" s="68" t="n">
        <f aca="false">AC27*Ratio!AC72</f>
        <v>0.0827731466434054</v>
      </c>
      <c r="AD84" s="67" t="n">
        <f aca="false">AD27*Ratio!AD72</f>
        <v>0.0961201249452923</v>
      </c>
      <c r="AE84" s="63" t="n">
        <f aca="false">AE27*Ratio!AE72</f>
        <v>0.0715664670580844</v>
      </c>
      <c r="AF84" s="65" t="n">
        <f aca="false">AF27*Ratio!AF72</f>
        <v>0.0659987805604662</v>
      </c>
      <c r="AG84" s="63" t="n">
        <f aca="false">AG27*Ratio!AG72</f>
        <v>0.062593874415154</v>
      </c>
      <c r="AH84" s="63" t="n">
        <f aca="false">AH27*Ratio!AH72</f>
        <v>0.0835930832322217</v>
      </c>
      <c r="AI84" s="66" t="n">
        <f aca="false">AI27*Ratio!AI72</f>
        <v>0.0752952921771619</v>
      </c>
      <c r="AJ84" s="67" t="n">
        <f aca="false">AJ27*Ratio!AJ72</f>
        <v>0.0636102604081434</v>
      </c>
      <c r="AK84" s="63" t="n">
        <f aca="false">AK27*Ratio!AK72</f>
        <v>0.0671472348948495</v>
      </c>
      <c r="AL84" s="63" t="n">
        <f aca="false">AL27*Ratio!AL72</f>
        <v>0.0679594479123204</v>
      </c>
      <c r="AM84" s="63" t="n">
        <f aca="false">AM27*Ratio!AM72</f>
        <v>0.0617965907489093</v>
      </c>
      <c r="AN84" s="68" t="n">
        <f aca="false">AN27*Ratio!AN72</f>
        <v>0.0744391284187994</v>
      </c>
      <c r="AO84" s="67" t="n">
        <f aca="false">AO27*Ratio!AO72</f>
        <v>0.0651155442751489</v>
      </c>
      <c r="AP84" s="63" t="n">
        <f aca="false">AP27*Ratio!AP72</f>
        <v>0.0565152571942722</v>
      </c>
      <c r="AQ84" s="63" t="n">
        <f aca="false">AQ27*Ratio!AQ72</f>
        <v>0.0554659660867878</v>
      </c>
    </row>
    <row r="85" customFormat="false" ht="12.8" hidden="false" customHeight="false" outlineLevel="0" collapsed="false">
      <c r="A85" s="189" t="s">
        <v>187</v>
      </c>
      <c r="B85" s="65" t="n">
        <f aca="false">B28*Ratio!B75</f>
        <v>0.0274282432409783</v>
      </c>
      <c r="C85" s="65" t="n">
        <f aca="false">C28*Ratio!C75</f>
        <v>0.0279852273370853</v>
      </c>
      <c r="D85" s="63" t="n">
        <f aca="false">D28*Ratio!D75</f>
        <v>0.0279852273370853</v>
      </c>
      <c r="E85" s="65" t="n">
        <f aca="false">E28*Ratio!E75</f>
        <v>0.0269199320763249</v>
      </c>
      <c r="F85" s="63" t="n">
        <f aca="false">F28*Ratio!F75</f>
        <v>0.0285931142327522</v>
      </c>
      <c r="G85" s="65" t="n">
        <f aca="false">G28*Ratio!G75</f>
        <v>0.0315827598363709</v>
      </c>
      <c r="H85" s="63" t="n">
        <f aca="false">H28*Ratio!H75</f>
        <v>0.0322703238188488</v>
      </c>
      <c r="I85" s="66" t="n">
        <f aca="false">I28*Ratio!I75</f>
        <v>0.0391527671638111</v>
      </c>
      <c r="J85" s="67" t="n">
        <f aca="false">J28*Ratio!J75</f>
        <v>0.0305416933287168</v>
      </c>
      <c r="K85" s="65" t="n">
        <f aca="false">K28*Ratio!K75</f>
        <v>0.0321235841716424</v>
      </c>
      <c r="L85" s="63" t="n">
        <f aca="false">L28*Ratio!L75</f>
        <v>0.0301840282362773</v>
      </c>
      <c r="M85" s="65" t="n">
        <f aca="false">M28*Ratio!M75</f>
        <v>0.0301639515501195</v>
      </c>
      <c r="N85" s="65" t="n">
        <f aca="false">N28*Ratio!N75</f>
        <v>0.0303158682985983</v>
      </c>
      <c r="O85" s="63" t="n">
        <f aca="false">O28*Ratio!O75</f>
        <v>0.0345278232686237</v>
      </c>
      <c r="P85" s="68" t="n">
        <f aca="false">P28*Ratio!P75</f>
        <v>0.0542562273745716</v>
      </c>
      <c r="Q85" s="67" t="n">
        <f aca="false">Q28*Ratio!Q75</f>
        <v>0.0530641234900937</v>
      </c>
      <c r="R85" s="63" t="n">
        <f aca="false">R28*Ratio!R75</f>
        <v>0.0433002172439147</v>
      </c>
      <c r="S85" s="65" t="n">
        <f aca="false">S28*Ratio!S75</f>
        <v>0.0456326079463761</v>
      </c>
      <c r="T85" s="63" t="n">
        <f aca="false">T28*Ratio!T75</f>
        <v>0.0409437410424962</v>
      </c>
      <c r="U85" s="63" t="n">
        <f aca="false">U28*Ratio!U75</f>
        <v>0.0511848941567059</v>
      </c>
      <c r="V85" s="65" t="n">
        <f aca="false">V28*Ratio!V75</f>
        <v>0.0393838249623847</v>
      </c>
      <c r="W85" s="65" t="n">
        <f aca="false">W28*Ratio!W75</f>
        <v>0.0331189202618258</v>
      </c>
      <c r="X85" s="66" t="n">
        <f aca="false">X28*Ratio!X75</f>
        <v>0.0354438348091374</v>
      </c>
      <c r="Y85" s="67" t="n">
        <f aca="false">Y28*Ratio!Y75</f>
        <v>0.0447512367789826</v>
      </c>
      <c r="Z85" s="63" t="n">
        <f aca="false">Z28*Ratio!Z75</f>
        <v>0.0371226047370161</v>
      </c>
      <c r="AA85" s="65" t="n">
        <f aca="false">AA28*Ratio!AA75</f>
        <v>0.044699846604151</v>
      </c>
      <c r="AB85" s="63" t="n">
        <f aca="false">AB28*Ratio!AB75</f>
        <v>0.0436326160686974</v>
      </c>
      <c r="AC85" s="68" t="n">
        <f aca="false">AC28*Ratio!AC75</f>
        <v>0.021140086600623</v>
      </c>
      <c r="AD85" s="67" t="n">
        <f aca="false">AD28*Ratio!AD75</f>
        <v>0.0244542294737538</v>
      </c>
      <c r="AE85" s="63" t="n">
        <f aca="false">AE28*Ratio!AE75</f>
        <v>0.0310569964328089</v>
      </c>
      <c r="AF85" s="65" t="n">
        <f aca="false">AF28*Ratio!AF75</f>
        <v>0.0351230548629973</v>
      </c>
      <c r="AG85" s="63" t="n">
        <f aca="false">AG28*Ratio!AG75</f>
        <v>0.0370946218293204</v>
      </c>
      <c r="AH85" s="63" t="n">
        <f aca="false">AH28*Ratio!AH75</f>
        <v>0.0348420676009473</v>
      </c>
      <c r="AI85" s="66" t="n">
        <f aca="false">AI28*Ratio!AI75</f>
        <v>0.0490942216919356</v>
      </c>
      <c r="AJ85" s="67" t="n">
        <f aca="false">AJ28*Ratio!AJ75</f>
        <v>0.0494776078087007</v>
      </c>
      <c r="AK85" s="63" t="n">
        <f aca="false">AK28*Ratio!AK75</f>
        <v>0.0691836159367669</v>
      </c>
      <c r="AL85" s="63" t="n">
        <f aca="false">AL28*Ratio!AL75</f>
        <v>0.0609211318493521</v>
      </c>
      <c r="AM85" s="63" t="n">
        <f aca="false">AM28*Ratio!AM75</f>
        <v>0.0667429342075257</v>
      </c>
      <c r="AN85" s="68" t="n">
        <f aca="false">AN28*Ratio!AN75</f>
        <v>0.0724544320845364</v>
      </c>
      <c r="AO85" s="67" t="n">
        <f aca="false">AO28*Ratio!AO75</f>
        <v>0.0801507506909903</v>
      </c>
      <c r="AP85" s="63" t="n">
        <f aca="false">AP28*Ratio!AP75</f>
        <v>0.120892044577126</v>
      </c>
      <c r="AQ85" s="63" t="n">
        <f aca="false">AQ28*Ratio!AQ75</f>
        <v>0.109475518362421</v>
      </c>
    </row>
    <row r="86" customFormat="false" ht="12.8" hidden="false" customHeight="false" outlineLevel="0" collapsed="false">
      <c r="A86" s="189" t="s">
        <v>188</v>
      </c>
      <c r="B86" s="65" t="n">
        <f aca="false">B29*Ratio!B76</f>
        <v>0.0282334366745415</v>
      </c>
      <c r="C86" s="65" t="n">
        <f aca="false">C29*Ratio!C76</f>
        <v>0.0279814877678851</v>
      </c>
      <c r="D86" s="63" t="n">
        <f aca="false">D29*Ratio!D76</f>
        <v>0.0279814877678851</v>
      </c>
      <c r="E86" s="65" t="n">
        <f aca="false">E29*Ratio!E76</f>
        <v>0.0282605010371347</v>
      </c>
      <c r="F86" s="63" t="n">
        <f aca="false">F29*Ratio!F76</f>
        <v>0.0290021298742848</v>
      </c>
      <c r="G86" s="65" t="n">
        <f aca="false">G29*Ratio!G76</f>
        <v>0.0360036336331238</v>
      </c>
      <c r="H86" s="63" t="n">
        <f aca="false">H29*Ratio!H76</f>
        <v>0.0362363261366588</v>
      </c>
      <c r="I86" s="66" t="n">
        <f aca="false">I29*Ratio!I76</f>
        <v>0.0325764332528501</v>
      </c>
      <c r="J86" s="67" t="n">
        <f aca="false">J29*Ratio!J76</f>
        <v>0.033136384822251</v>
      </c>
      <c r="K86" s="65" t="n">
        <f aca="false">K29*Ratio!K76</f>
        <v>0.0297546390395725</v>
      </c>
      <c r="L86" s="63" t="n">
        <f aca="false">L29*Ratio!L76</f>
        <v>0.0296653354564275</v>
      </c>
      <c r="M86" s="65" t="n">
        <f aca="false">M29*Ratio!M76</f>
        <v>0.0296456037749879</v>
      </c>
      <c r="N86" s="65" t="n">
        <f aca="false">N29*Ratio!N76</f>
        <v>0.0296358304898742</v>
      </c>
      <c r="O86" s="63" t="n">
        <f aca="false">O29*Ratio!O76</f>
        <v>0.031228730258178</v>
      </c>
      <c r="P86" s="68" t="n">
        <f aca="false">P29*Ratio!P76</f>
        <v>0.0337010679131497</v>
      </c>
      <c r="Q86" s="67" t="n">
        <f aca="false">Q29*Ratio!Q76</f>
        <v>0.0313942765812724</v>
      </c>
      <c r="R86" s="63" t="n">
        <f aca="false">R29*Ratio!R76</f>
        <v>0.0285244284909979</v>
      </c>
      <c r="S86" s="65" t="n">
        <f aca="false">S29*Ratio!S76</f>
        <v>0.0283679607865088</v>
      </c>
      <c r="T86" s="63" t="n">
        <f aca="false">T29*Ratio!T76</f>
        <v>0.0239502607619329</v>
      </c>
      <c r="U86" s="63" t="n">
        <f aca="false">U29*Ratio!U76</f>
        <v>0.0281599271368539</v>
      </c>
      <c r="V86" s="65" t="n">
        <f aca="false">V29*Ratio!V76</f>
        <v>0.0284479197393347</v>
      </c>
      <c r="W86" s="65" t="n">
        <f aca="false">W29*Ratio!W76</f>
        <v>0.0285347128741173</v>
      </c>
      <c r="X86" s="66" t="n">
        <f aca="false">X29*Ratio!X76</f>
        <v>0.028492660717151</v>
      </c>
      <c r="Y86" s="67" t="n">
        <f aca="false">Y29*Ratio!Y76</f>
        <v>0.0303955314088791</v>
      </c>
      <c r="Z86" s="63" t="n">
        <f aca="false">Z29*Ratio!Z76</f>
        <v>0.0295444609672767</v>
      </c>
      <c r="AA86" s="65" t="n">
        <f aca="false">AA29*Ratio!AA76</f>
        <v>0.0294920476263843</v>
      </c>
      <c r="AB86" s="63" t="n">
        <f aca="false">AB29*Ratio!AB76</f>
        <v>0.0300193822767789</v>
      </c>
      <c r="AC86" s="68" t="n">
        <f aca="false">AC29*Ratio!AC76</f>
        <v>0.0291955372798051</v>
      </c>
      <c r="AD86" s="67" t="n">
        <f aca="false">AD29*Ratio!AD76</f>
        <v>0.0253503318164505</v>
      </c>
      <c r="AE86" s="63" t="n">
        <f aca="false">AE29*Ratio!AE76</f>
        <v>0.0257844885170468</v>
      </c>
      <c r="AF86" s="65" t="n">
        <f aca="false">AF29*Ratio!AF76</f>
        <v>0.026206003045864</v>
      </c>
      <c r="AG86" s="63" t="n">
        <f aca="false">AG29*Ratio!AG76</f>
        <v>0.0314610579052881</v>
      </c>
      <c r="AH86" s="63" t="n">
        <f aca="false">AH29*Ratio!AH76</f>
        <v>0.03512296329695</v>
      </c>
      <c r="AI86" s="66" t="n">
        <f aca="false">AI29*Ratio!AI76</f>
        <v>0.039207715183788</v>
      </c>
      <c r="AJ86" s="67" t="n">
        <f aca="false">AJ29*Ratio!AJ76</f>
        <v>0.0420969026346248</v>
      </c>
      <c r="AK86" s="63" t="n">
        <f aca="false">AK29*Ratio!AK76</f>
        <v>0.0402595060666325</v>
      </c>
      <c r="AL86" s="63" t="n">
        <f aca="false">AL29*Ratio!AL76</f>
        <v>0.0388704151982433</v>
      </c>
      <c r="AM86" s="63" t="n">
        <f aca="false">AM29*Ratio!AM76</f>
        <v>0.0440455432863707</v>
      </c>
      <c r="AN86" s="68" t="n">
        <f aca="false">AN29*Ratio!AN76</f>
        <v>0.0435667195667873</v>
      </c>
      <c r="AO86" s="67" t="n">
        <f aca="false">AO29*Ratio!AO76</f>
        <v>0.0342907279263895</v>
      </c>
      <c r="AP86" s="63" t="n">
        <f aca="false">AP29*Ratio!AP76</f>
        <v>0.0325237345065362</v>
      </c>
      <c r="AQ86" s="63" t="n">
        <f aca="false">AQ29*Ratio!AQ76</f>
        <v>0.034688979853323</v>
      </c>
    </row>
    <row r="87" customFormat="false" ht="12.8" hidden="false" customHeight="false" outlineLevel="0" collapsed="false">
      <c r="A87" s="189" t="s">
        <v>190</v>
      </c>
      <c r="B87" s="65" t="n">
        <f aca="false">B30*Ratio!B78</f>
        <v>0.0184595409084508</v>
      </c>
      <c r="C87" s="65" t="n">
        <f aca="false">C30*Ratio!C78</f>
        <v>0.0183054223739293</v>
      </c>
      <c r="D87" s="63" t="n">
        <f aca="false">D30*Ratio!D78</f>
        <v>0.0183054223739293</v>
      </c>
      <c r="E87" s="65" t="n">
        <f aca="false">E30*Ratio!E78</f>
        <v>0.0184879521873514</v>
      </c>
      <c r="F87" s="63" t="n">
        <f aca="false">F30*Ratio!F78</f>
        <v>0.0189731239988481</v>
      </c>
      <c r="G87" s="65" t="n">
        <f aca="false">G30*Ratio!G78</f>
        <v>0.0220012823097765</v>
      </c>
      <c r="H87" s="63" t="n">
        <f aca="false">H30*Ratio!H78</f>
        <v>0.0208723875532333</v>
      </c>
      <c r="I87" s="66" t="n">
        <f aca="false">I30*Ratio!I78</f>
        <v>0.0213058343356322</v>
      </c>
      <c r="J87" s="67" t="n">
        <f aca="false">J30*Ratio!J78</f>
        <v>0.0177012956517589</v>
      </c>
      <c r="K87" s="65" t="n">
        <f aca="false">K30*Ratio!K78</f>
        <v>0.0168369697082743</v>
      </c>
      <c r="L87" s="63" t="n">
        <f aca="false">L30*Ratio!L78</f>
        <v>0.0177727852754362</v>
      </c>
      <c r="M87" s="65" t="n">
        <f aca="false">M30*Ratio!M78</f>
        <v>0.017760963836981</v>
      </c>
      <c r="N87" s="65" t="n">
        <f aca="false">N30*Ratio!N78</f>
        <v>0.0181371636397261</v>
      </c>
      <c r="O87" s="63" t="n">
        <f aca="false">O30*Ratio!O78</f>
        <v>0.018970664481732</v>
      </c>
      <c r="P87" s="68" t="n">
        <f aca="false">P30*Ratio!P78</f>
        <v>0.0215676419129615</v>
      </c>
      <c r="Q87" s="67" t="n">
        <f aca="false">Q30*Ratio!Q78</f>
        <v>0.0217378106355571</v>
      </c>
      <c r="R87" s="63" t="n">
        <f aca="false">R30*Ratio!R78</f>
        <v>0.0236028262314269</v>
      </c>
      <c r="S87" s="65" t="n">
        <f aca="false">S30*Ratio!S78</f>
        <v>0.0234762009641178</v>
      </c>
      <c r="T87" s="63" t="n">
        <f aca="false">T30*Ratio!T78</f>
        <v>0.0212700842838369</v>
      </c>
      <c r="U87" s="63" t="n">
        <f aca="false">U30*Ratio!U78</f>
        <v>0.0209551681714661</v>
      </c>
      <c r="V87" s="65" t="n">
        <f aca="false">V30*Ratio!V78</f>
        <v>0.0266125019438391</v>
      </c>
      <c r="W87" s="65" t="n">
        <f aca="false">W30*Ratio!W78</f>
        <v>0.0266936953136629</v>
      </c>
      <c r="X87" s="66" t="n">
        <f aca="false">X30*Ratio!X78</f>
        <v>0.0266543562997995</v>
      </c>
      <c r="Y87" s="67" t="n">
        <f aca="false">Y30*Ratio!Y78</f>
        <v>0.0284190886834234</v>
      </c>
      <c r="Z87" s="63" t="n">
        <f aca="false">Z30*Ratio!Z78</f>
        <v>0.0297376175038167</v>
      </c>
      <c r="AA87" s="65" t="n">
        <f aca="false">AA30*Ratio!AA78</f>
        <v>0.0252013658562651</v>
      </c>
      <c r="AB87" s="63" t="n">
        <f aca="false">AB30*Ratio!AB78</f>
        <v>0.0273143190024896</v>
      </c>
      <c r="AC87" s="68" t="n">
        <f aca="false">AC30*Ratio!AC78</f>
        <v>0.0292855021947327</v>
      </c>
      <c r="AD87" s="67" t="n">
        <f aca="false">AD30*Ratio!AD78</f>
        <v>0.028709889740746</v>
      </c>
      <c r="AE87" s="63" t="n">
        <f aca="false">AE30*Ratio!AE78</f>
        <v>0.0282150691442552</v>
      </c>
      <c r="AF87" s="65" t="n">
        <f aca="false">AF30*Ratio!AF78</f>
        <v>0.0286763178352277</v>
      </c>
      <c r="AG87" s="63" t="n">
        <f aca="false">AG30*Ratio!AG78</f>
        <v>0.0274021022115894</v>
      </c>
      <c r="AH87" s="63" t="n">
        <f aca="false">AH30*Ratio!AH78</f>
        <v>0.0405984140897319</v>
      </c>
      <c r="AI87" s="66" t="n">
        <f aca="false">AI30*Ratio!AI78</f>
        <v>0.0370103603862755</v>
      </c>
      <c r="AJ87" s="67" t="n">
        <f aca="false">AJ30*Ratio!AJ78</f>
        <v>0.0429768309617608</v>
      </c>
      <c r="AK87" s="63" t="n">
        <f aca="false">AK30*Ratio!AK78</f>
        <v>0.0412615790461742</v>
      </c>
      <c r="AL87" s="63" t="n">
        <f aca="false">AL30*Ratio!AL78</f>
        <v>0.0416153810068147</v>
      </c>
      <c r="AM87" s="63" t="n">
        <f aca="false">AM30*Ratio!AM78</f>
        <v>0.0451092887879767</v>
      </c>
      <c r="AN87" s="68" t="n">
        <f aca="false">AN30*Ratio!AN78</f>
        <v>0.0519044347112026</v>
      </c>
      <c r="AO87" s="67" t="n">
        <f aca="false">AO30*Ratio!AO78</f>
        <v>0.0571736577360144</v>
      </c>
      <c r="AP87" s="63" t="n">
        <f aca="false">AP30*Ratio!AP78</f>
        <v>0.0553646243259146</v>
      </c>
      <c r="AQ87" s="63" t="n">
        <f aca="false">AQ30*Ratio!AQ78</f>
        <v>0.0520684143707616</v>
      </c>
    </row>
    <row r="88" customFormat="false" ht="12.8" hidden="false" customHeight="false" outlineLevel="0" collapsed="false">
      <c r="A88" s="189" t="s">
        <v>191</v>
      </c>
      <c r="B88" s="65" t="n">
        <f aca="false">B31*Ratio!B80</f>
        <v>0.0195371541016609</v>
      </c>
      <c r="C88" s="65" t="n">
        <f aca="false">C31*Ratio!C80</f>
        <v>0.0230150548166871</v>
      </c>
      <c r="D88" s="63" t="n">
        <f aca="false">D31*Ratio!D80</f>
        <v>0.0230150548166871</v>
      </c>
      <c r="E88" s="65" t="n">
        <f aca="false">E31*Ratio!E80</f>
        <v>0.0220026124919171</v>
      </c>
      <c r="F88" s="63" t="n">
        <f aca="false">F31*Ratio!F80</f>
        <v>0.0230384839349252</v>
      </c>
      <c r="G88" s="65" t="n">
        <f aca="false">G31*Ratio!G80</f>
        <v>0.023429755946261</v>
      </c>
      <c r="H88" s="63" t="n">
        <f aca="false">H31*Ratio!H80</f>
        <v>0.0222738421193109</v>
      </c>
      <c r="I88" s="66" t="n">
        <f aca="false">I31*Ratio!I80</f>
        <v>0.0227363922312066</v>
      </c>
      <c r="J88" s="67" t="n">
        <f aca="false">J31*Ratio!J80</f>
        <v>0.0266584998928276</v>
      </c>
      <c r="K88" s="65" t="n">
        <f aca="false">K31*Ratio!K80</f>
        <v>0.0244266040707145</v>
      </c>
      <c r="L88" s="63" t="n">
        <f aca="false">L31*Ratio!L80</f>
        <v>0.028791063219135</v>
      </c>
      <c r="M88" s="65" t="n">
        <f aca="false">M31*Ratio!M80</f>
        <v>0.0287719130534953</v>
      </c>
      <c r="N88" s="65" t="n">
        <f aca="false">N31*Ratio!N80</f>
        <v>0.029192087477396</v>
      </c>
      <c r="O88" s="63" t="n">
        <f aca="false">O31*Ratio!O80</f>
        <v>0.0309388445480317</v>
      </c>
      <c r="P88" s="68" t="n">
        <f aca="false">P31*Ratio!P80</f>
        <v>0.0212813199061938</v>
      </c>
      <c r="Q88" s="67" t="n">
        <f aca="false">Q31*Ratio!Q80</f>
        <v>0.0199630747895655</v>
      </c>
      <c r="R88" s="63" t="n">
        <f aca="false">R31*Ratio!R80</f>
        <v>0.016761905382532</v>
      </c>
      <c r="S88" s="65" t="n">
        <f aca="false">S31*Ratio!S80</f>
        <v>0.0168616940438753</v>
      </c>
      <c r="T88" s="63" t="n">
        <f aca="false">T31*Ratio!T80</f>
        <v>0.0150148308548205</v>
      </c>
      <c r="U88" s="63" t="n">
        <f aca="false">U31*Ratio!U80</f>
        <v>0.0147505995228622</v>
      </c>
      <c r="V88" s="65" t="n">
        <f aca="false">V31*Ratio!V80</f>
        <v>0.0143362245340462</v>
      </c>
      <c r="W88" s="65" t="n">
        <f aca="false">W31*Ratio!W80</f>
        <v>0.0146600409419421</v>
      </c>
      <c r="X88" s="66" t="n">
        <f aca="false">X31*Ratio!X80</f>
        <v>0.0146384361567269</v>
      </c>
      <c r="Y88" s="67" t="n">
        <f aca="false">Y31*Ratio!Y80</f>
        <v>0.016231747641229</v>
      </c>
      <c r="Z88" s="63" t="n">
        <f aca="false">Z31*Ratio!Z80</f>
        <v>0.0144920968199463</v>
      </c>
      <c r="AA88" s="65" t="n">
        <f aca="false">AA31*Ratio!AA80</f>
        <v>0.0150867082137656</v>
      </c>
      <c r="AB88" s="63" t="n">
        <f aca="false">AB31*Ratio!AB80</f>
        <v>0.0135145190481392</v>
      </c>
      <c r="AC88" s="68" t="n">
        <f aca="false">AC31*Ratio!AC80</f>
        <v>0.0119608665246004</v>
      </c>
      <c r="AD88" s="67" t="n">
        <f aca="false">AD31*Ratio!AD80</f>
        <v>0.0128680212818803</v>
      </c>
      <c r="AE88" s="63" t="n">
        <f aca="false">AE31*Ratio!AE80</f>
        <v>0.013817195395909</v>
      </c>
      <c r="AF88" s="65" t="n">
        <f aca="false">AF31*Ratio!AF80</f>
        <v>0.0124511805730847</v>
      </c>
      <c r="AG88" s="63" t="n">
        <f aca="false">AG31*Ratio!AG80</f>
        <v>0.00719236477168588</v>
      </c>
      <c r="AH88" s="63" t="n">
        <f aca="false">AH31*Ratio!AH80</f>
        <v>0.0148783697859083</v>
      </c>
      <c r="AI88" s="66" t="n">
        <f aca="false">AI31*Ratio!AI80</f>
        <v>0.0172488456557665</v>
      </c>
      <c r="AJ88" s="67" t="n">
        <f aca="false">AJ31*Ratio!AJ80</f>
        <v>0.0178219618164801</v>
      </c>
      <c r="AK88" s="63" t="n">
        <f aca="false">AK31*Ratio!AK80</f>
        <v>0.0200727695343856</v>
      </c>
      <c r="AL88" s="63" t="n">
        <f aca="false">AL31*Ratio!AL80</f>
        <v>0.0195752185576564</v>
      </c>
      <c r="AM88" s="63" t="n">
        <f aca="false">AM31*Ratio!AM80</f>
        <v>0.0200083647675234</v>
      </c>
      <c r="AN88" s="68" t="n">
        <f aca="false">AN31*Ratio!AN80</f>
        <v>0.0167072543930045</v>
      </c>
      <c r="AO88" s="67" t="n">
        <f aca="false">AO31*Ratio!AO80</f>
        <v>0.0182086721189931</v>
      </c>
      <c r="AP88" s="63" t="n">
        <f aca="false">AP31*Ratio!AP80</f>
        <v>0.0173461710623255</v>
      </c>
      <c r="AQ88" s="63" t="n">
        <f aca="false">AQ31*Ratio!AQ80</f>
        <v>0.0170467215793791</v>
      </c>
    </row>
    <row r="89" customFormat="false" ht="12.8" hidden="false" customHeight="false" outlineLevel="0" collapsed="false">
      <c r="A89" s="189" t="s">
        <v>192</v>
      </c>
      <c r="B89" s="65" t="n">
        <f aca="false">B32*Ratio!B81</f>
        <v>0.0104723474404913</v>
      </c>
      <c r="C89" s="65" t="n">
        <f aca="false">C32*Ratio!C81</f>
        <v>0.0103785069915808</v>
      </c>
      <c r="D89" s="63" t="n">
        <f aca="false">D32*Ratio!D81</f>
        <v>0.0103785069915808</v>
      </c>
      <c r="E89" s="65" t="n">
        <f aca="false">E32*Ratio!E81</f>
        <v>0.010481994739969</v>
      </c>
      <c r="F89" s="63" t="n">
        <f aca="false">F32*Ratio!F81</f>
        <v>0.0107570694656365</v>
      </c>
      <c r="G89" s="65" t="n">
        <f aca="false">G32*Ratio!G81</f>
        <v>0.0119368031587559</v>
      </c>
      <c r="H89" s="63" t="n">
        <f aca="false">H32*Ratio!H81</f>
        <v>0.0113299637579873</v>
      </c>
      <c r="I89" s="66" t="n">
        <f aca="false">I32*Ratio!I81</f>
        <v>0.0119811475935965</v>
      </c>
      <c r="J89" s="67" t="n">
        <f aca="false">J32*Ratio!J81</f>
        <v>0.0121830950108278</v>
      </c>
      <c r="K89" s="65" t="n">
        <f aca="false">K32*Ratio!K81</f>
        <v>0.0122753291424898</v>
      </c>
      <c r="L89" s="63" t="n">
        <f aca="false">L32*Ratio!L81</f>
        <v>0.0122370585765398</v>
      </c>
      <c r="M89" s="65" t="n">
        <f aca="false">M32*Ratio!M81</f>
        <v>0.0122289191863095</v>
      </c>
      <c r="N89" s="65" t="n">
        <f aca="false">N32*Ratio!N81</f>
        <v>0.0124879432476106</v>
      </c>
      <c r="O89" s="63" t="n">
        <f aca="false">O32*Ratio!O81</f>
        <v>0.0131499295508162</v>
      </c>
      <c r="P89" s="68" t="n">
        <f aca="false">P32*Ratio!P81</f>
        <v>0.0118542636834279</v>
      </c>
      <c r="Q89" s="67" t="n">
        <f aca="false">Q32*Ratio!Q81</f>
        <v>0.0119252826923852</v>
      </c>
      <c r="R89" s="63" t="n">
        <f aca="false">R32*Ratio!R81</f>
        <v>0.0126408824123257</v>
      </c>
      <c r="S89" s="65" t="n">
        <f aca="false">S32*Ratio!S81</f>
        <v>0.0125715422026034</v>
      </c>
      <c r="T89" s="63" t="n">
        <f aca="false">T32*Ratio!T81</f>
        <v>0.0120317388374539</v>
      </c>
      <c r="U89" s="63" t="n">
        <f aca="false">U32*Ratio!U81</f>
        <v>0.0142926765805564</v>
      </c>
      <c r="V89" s="65" t="n">
        <f aca="false">V32*Ratio!V81</f>
        <v>0.0157331895086699</v>
      </c>
      <c r="W89" s="65" t="n">
        <f aca="false">W32*Ratio!W81</f>
        <v>0.0157811906577907</v>
      </c>
      <c r="X89" s="66" t="n">
        <f aca="false">X32*Ratio!X81</f>
        <v>0.0157579336126056</v>
      </c>
      <c r="Y89" s="67" t="n">
        <f aca="false">Y32*Ratio!Y81</f>
        <v>0.0170086709150729</v>
      </c>
      <c r="Z89" s="63" t="n">
        <f aca="false">Z32*Ratio!Z81</f>
        <v>0.0182422158021959</v>
      </c>
      <c r="AA89" s="65" t="n">
        <f aca="false">AA32*Ratio!AA81</f>
        <v>0.0186536882251928</v>
      </c>
      <c r="AB89" s="63" t="n">
        <f aca="false">AB32*Ratio!AB81</f>
        <v>0.0228528643885518</v>
      </c>
      <c r="AC89" s="68" t="n">
        <f aca="false">AC32*Ratio!AC81</f>
        <v>0.0238111989155664</v>
      </c>
      <c r="AD89" s="67" t="n">
        <f aca="false">AD32*Ratio!AD81</f>
        <v>0.0205304984536475</v>
      </c>
      <c r="AE89" s="63" t="n">
        <f aca="false">AE32*Ratio!AE81</f>
        <v>0.0208728335886064</v>
      </c>
      <c r="AF89" s="65" t="n">
        <f aca="false">AF32*Ratio!AF81</f>
        <v>0.021915298278221</v>
      </c>
      <c r="AG89" s="63" t="n">
        <f aca="false">AG32*Ratio!AG81</f>
        <v>0.0204612840555531</v>
      </c>
      <c r="AH89" s="63" t="n">
        <f aca="false">AH32*Ratio!AH81</f>
        <v>0.0112045336353255</v>
      </c>
      <c r="AI89" s="66" t="n">
        <f aca="false">AI32*Ratio!AI81</f>
        <v>0.0195710244911932</v>
      </c>
      <c r="AJ89" s="67" t="n">
        <f aca="false">AJ32*Ratio!AJ81</f>
        <v>0.019347711538837</v>
      </c>
      <c r="AK89" s="63" t="n">
        <f aca="false">AK32*Ratio!AK81</f>
        <v>0.0208326753287084</v>
      </c>
      <c r="AL89" s="63" t="n">
        <f aca="false">AL32*Ratio!AL81</f>
        <v>0.0211719857063029</v>
      </c>
      <c r="AM89" s="63" t="n">
        <f aca="false">AM32*Ratio!AM81</f>
        <v>0.0219355392681666</v>
      </c>
      <c r="AN89" s="68" t="n">
        <f aca="false">AN32*Ratio!AN81</f>
        <v>0.0210564092621116</v>
      </c>
      <c r="AO89" s="67" t="n">
        <f aca="false">AO32*Ratio!AO81</f>
        <v>0.017310714048092</v>
      </c>
      <c r="AP89" s="63" t="n">
        <f aca="false">AP32*Ratio!AP81</f>
        <v>0.0140584264192104</v>
      </c>
      <c r="AQ89" s="63" t="n">
        <f aca="false">AQ32*Ratio!AQ81</f>
        <v>0.0136524135747058</v>
      </c>
    </row>
    <row r="90" customFormat="false" ht="12.8" hidden="false" customHeight="false" outlineLevel="0" collapsed="false">
      <c r="A90" s="189" t="s">
        <v>193</v>
      </c>
      <c r="B90" s="65" t="n">
        <f aca="false">B33*Ratio!B82</f>
        <v>0.0114011369608359</v>
      </c>
      <c r="C90" s="65" t="n">
        <f aca="false">C33*Ratio!C82</f>
        <v>0.0112993957514665</v>
      </c>
      <c r="D90" s="63" t="n">
        <f aca="false">D33*Ratio!D82</f>
        <v>0.0112993957514665</v>
      </c>
      <c r="E90" s="65" t="n">
        <f aca="false">E33*Ratio!E82</f>
        <v>0.0114120660060046</v>
      </c>
      <c r="F90" s="63" t="n">
        <f aca="false">F33*Ratio!F82</f>
        <v>0.0117115482137118</v>
      </c>
      <c r="G90" s="65" t="n">
        <f aca="false">G33*Ratio!G82</f>
        <v>0.0134645792348274</v>
      </c>
      <c r="H90" s="63" t="n">
        <f aca="false">H33*Ratio!H82</f>
        <v>0.0135516011916421</v>
      </c>
      <c r="I90" s="66" t="n">
        <f aca="false">I33*Ratio!I82</f>
        <v>0.0138330207426106</v>
      </c>
      <c r="J90" s="67" t="n">
        <f aca="false">J33*Ratio!J82</f>
        <v>0.0140661822815746</v>
      </c>
      <c r="K90" s="65" t="n">
        <f aca="false">K33*Ratio!K82</f>
        <v>0.014165506298897</v>
      </c>
      <c r="L90" s="63" t="n">
        <f aca="false">L33*Ratio!L82</f>
        <v>0.0141229908959081</v>
      </c>
      <c r="M90" s="65" t="n">
        <f aca="false">M33*Ratio!M82</f>
        <v>0.0141135970915555</v>
      </c>
      <c r="N90" s="65" t="n">
        <f aca="false">N33*Ratio!N82</f>
        <v>0.0144125410278531</v>
      </c>
      <c r="O90" s="63" t="n">
        <f aca="false">O33*Ratio!O82</f>
        <v>0.0151765503259138</v>
      </c>
      <c r="P90" s="68" t="n">
        <f aca="false">P33*Ratio!P82</f>
        <v>0.0141076096636337</v>
      </c>
      <c r="Q90" s="67" t="n">
        <f aca="false">Q33*Ratio!Q82</f>
        <v>0.0134026946197861</v>
      </c>
      <c r="R90" s="63" t="n">
        <f aca="false">R33*Ratio!R82</f>
        <v>0.0136856380681816</v>
      </c>
      <c r="S90" s="65" t="n">
        <f aca="false">S33*Ratio!S82</f>
        <v>0.0136105669629472</v>
      </c>
      <c r="T90" s="63" t="n">
        <f aca="false">T33*Ratio!T82</f>
        <v>0.0123315483154696</v>
      </c>
      <c r="U90" s="63" t="n">
        <f aca="false">U33*Ratio!U82</f>
        <v>0.0104647851791001</v>
      </c>
      <c r="V90" s="65" t="n">
        <f aca="false">V33*Ratio!V82</f>
        <v>0.0105718089190227</v>
      </c>
      <c r="W90" s="65" t="n">
        <f aca="false">W33*Ratio!W82</f>
        <v>0.0106040629623697</v>
      </c>
      <c r="X90" s="66" t="n">
        <f aca="false">X33*Ratio!X82</f>
        <v>0.0105884355501668</v>
      </c>
      <c r="Y90" s="67" t="n">
        <f aca="false">Y33*Ratio!Y82</f>
        <v>0.0112955798874289</v>
      </c>
      <c r="Z90" s="63" t="n">
        <f aca="false">Z33*Ratio!Z82</f>
        <v>0.0139973427852475</v>
      </c>
      <c r="AA90" s="65" t="n">
        <f aca="false">AA33*Ratio!AA82</f>
        <v>0.0143130676189966</v>
      </c>
      <c r="AB90" s="63" t="n">
        <f aca="false">AB33*Ratio!AB82</f>
        <v>0.015514014648024</v>
      </c>
      <c r="AC90" s="68" t="n">
        <f aca="false">AC33*Ratio!AC82</f>
        <v>0.0162700601483309</v>
      </c>
      <c r="AD90" s="67" t="n">
        <f aca="false">AD33*Ratio!AD82</f>
        <v>0.0174332483739483</v>
      </c>
      <c r="AE90" s="63" t="n">
        <f aca="false">AE33*Ratio!AE82</f>
        <v>0.0303825490768478</v>
      </c>
      <c r="AF90" s="65" t="n">
        <f aca="false">AF33*Ratio!AF82</f>
        <v>0.0308792308648121</v>
      </c>
      <c r="AG90" s="63" t="n">
        <f aca="false">AG33*Ratio!AG82</f>
        <v>0.0313041142942271</v>
      </c>
      <c r="AH90" s="63" t="n">
        <f aca="false">AH33*Ratio!AH82</f>
        <v>0.0202752399624873</v>
      </c>
      <c r="AI90" s="66" t="n">
        <f aca="false">AI33*Ratio!AI82</f>
        <v>0.018483331301349</v>
      </c>
      <c r="AJ90" s="67" t="n">
        <f aca="false">AJ33*Ratio!AJ82</f>
        <v>0.0161259660237293</v>
      </c>
      <c r="AK90" s="63" t="n">
        <f aca="false">AK33*Ratio!AK82</f>
        <v>0.0166805635250045</v>
      </c>
      <c r="AL90" s="63" t="n">
        <f aca="false">AL33*Ratio!AL82</f>
        <v>0.0169522467446992</v>
      </c>
      <c r="AM90" s="63" t="n">
        <f aca="false">AM33*Ratio!AM82</f>
        <v>0.0157528108469343</v>
      </c>
      <c r="AN90" s="68" t="n">
        <f aca="false">AN33*Ratio!AN82</f>
        <v>0.0251738572144945</v>
      </c>
      <c r="AO90" s="67" t="n">
        <f aca="false">AO33*Ratio!AO82</f>
        <v>0.0276852817760131</v>
      </c>
      <c r="AP90" s="63" t="n">
        <f aca="false">AP33*Ratio!AP82</f>
        <v>0.0262586654956584</v>
      </c>
      <c r="AQ90" s="63" t="n">
        <f aca="false">AQ33*Ratio!AQ82</f>
        <v>0.0269998113020115</v>
      </c>
    </row>
    <row r="91" customFormat="false" ht="12.8" hidden="false" customHeight="false" outlineLevel="0" collapsed="false">
      <c r="A91" s="189" t="s">
        <v>194</v>
      </c>
      <c r="B91" s="65" t="n">
        <f aca="false">B34*Ratio!B83</f>
        <v>0.0155917616863581</v>
      </c>
      <c r="C91" s="65" t="n">
        <f aca="false">C34*Ratio!C83</f>
        <v>0.0154526242743948</v>
      </c>
      <c r="D91" s="63" t="n">
        <f aca="false">D34*Ratio!D83</f>
        <v>0.0154526242743948</v>
      </c>
      <c r="E91" s="65" t="n">
        <f aca="false">E34*Ratio!E83</f>
        <v>0.0156067078332481</v>
      </c>
      <c r="F91" s="63" t="n">
        <f aca="false">F34*Ratio!F83</f>
        <v>0.0164269162336675</v>
      </c>
      <c r="G91" s="65" t="n">
        <f aca="false">G34*Ratio!G83</f>
        <v>0.0181144813381659</v>
      </c>
      <c r="H91" s="63" t="n">
        <f aca="false">H34*Ratio!H83</f>
        <v>0.0182315557439263</v>
      </c>
      <c r="I91" s="66" t="n">
        <f aca="false">I34*Ratio!I83</f>
        <v>0.016544370407379</v>
      </c>
      <c r="J91" s="67" t="n">
        <f aca="false">J34*Ratio!J83</f>
        <v>0.0168232329159482</v>
      </c>
      <c r="K91" s="65" t="n">
        <f aca="false">K34*Ratio!K83</f>
        <v>0.0159694834554101</v>
      </c>
      <c r="L91" s="63" t="n">
        <f aca="false">L34*Ratio!L83</f>
        <v>0.0159215537160627</v>
      </c>
      <c r="M91" s="65" t="n">
        <f aca="false">M34*Ratio!M83</f>
        <v>0.0159109636107726</v>
      </c>
      <c r="N91" s="65" t="n">
        <f aca="false">N34*Ratio!N83</f>
        <v>0.0162479780558667</v>
      </c>
      <c r="O91" s="63" t="n">
        <f aca="false">O34*Ratio!O83</f>
        <v>0.0171092839342249</v>
      </c>
      <c r="P91" s="68" t="n">
        <f aca="false">P34*Ratio!P83</f>
        <v>0.0171252175658786</v>
      </c>
      <c r="Q91" s="67" t="n">
        <f aca="false">Q34*Ratio!Q83</f>
        <v>0.0172603355546285</v>
      </c>
      <c r="R91" s="63" t="n">
        <f aca="false">R34*Ratio!R83</f>
        <v>0.0176247174196813</v>
      </c>
      <c r="S91" s="65" t="n">
        <f aca="false">S34*Ratio!S83</f>
        <v>0.0175280389155774</v>
      </c>
      <c r="T91" s="63" t="n">
        <f aca="false">T34*Ratio!T83</f>
        <v>0.0158808857376262</v>
      </c>
      <c r="U91" s="63" t="n">
        <f aca="false">U34*Ratio!U83</f>
        <v>0.0157383995793025</v>
      </c>
      <c r="V91" s="65" t="n">
        <f aca="false">V34*Ratio!V83</f>
        <v>0.0158993567661481</v>
      </c>
      <c r="W91" s="65" t="n">
        <f aca="false">W34*Ratio!W83</f>
        <v>0.0159478648829948</v>
      </c>
      <c r="X91" s="66" t="n">
        <f aca="false">X34*Ratio!X83</f>
        <v>0.0159243622067879</v>
      </c>
      <c r="Y91" s="67" t="n">
        <f aca="false">Y34*Ratio!Y83</f>
        <v>0.0169878642232745</v>
      </c>
      <c r="Z91" s="63" t="n">
        <f aca="false">Z34*Ratio!Z83</f>
        <v>0.016934441758784</v>
      </c>
      <c r="AA91" s="65" t="n">
        <f aca="false">AA34*Ratio!AA83</f>
        <v>0.0173164159585272</v>
      </c>
      <c r="AB91" s="63" t="n">
        <f aca="false">AB34*Ratio!AB83</f>
        <v>0.0243189341344582</v>
      </c>
      <c r="AC91" s="68" t="n">
        <f aca="false">AC34*Ratio!AC83</f>
        <v>0.0258936744378698</v>
      </c>
      <c r="AD91" s="67" t="n">
        <f aca="false">AD34*Ratio!AD83</f>
        <v>0.0277448794702735</v>
      </c>
      <c r="AE91" s="63" t="n">
        <f aca="false">AE34*Ratio!AE83</f>
        <v>0.0234534481446624</v>
      </c>
      <c r="AF91" s="65" t="n">
        <f aca="false">AF34*Ratio!AF83</f>
        <v>0.0238368557556879</v>
      </c>
      <c r="AG91" s="63" t="n">
        <f aca="false">AG34*Ratio!AG83</f>
        <v>0.0241648394760172</v>
      </c>
      <c r="AH91" s="63" t="n">
        <f aca="false">AH34*Ratio!AH83</f>
        <v>0.0257463991881117</v>
      </c>
      <c r="AI91" s="66" t="n">
        <f aca="false">AI34*Ratio!AI83</f>
        <v>0.0234709540745812</v>
      </c>
      <c r="AJ91" s="67" t="n">
        <f aca="false">AJ34*Ratio!AJ83</f>
        <v>0.0232031414186126</v>
      </c>
      <c r="AK91" s="63" t="n">
        <f aca="false">AK34*Ratio!AK83</f>
        <v>0.0240011341859025</v>
      </c>
      <c r="AL91" s="63" t="n">
        <f aca="false">AL34*Ratio!AL83</f>
        <v>0.0243920505600511</v>
      </c>
      <c r="AM91" s="63" t="n">
        <f aca="false">AM34*Ratio!AM83</f>
        <v>0.0242337253898221</v>
      </c>
      <c r="AN91" s="68" t="n">
        <f aca="false">AN34*Ratio!AN83</f>
        <v>0.0263245399598373</v>
      </c>
      <c r="AO91" s="67" t="n">
        <f aca="false">AO34*Ratio!AO83</f>
        <v>0.0321169200464406</v>
      </c>
      <c r="AP91" s="63" t="n">
        <f aca="false">AP34*Ratio!AP83</f>
        <v>0.0304619424527938</v>
      </c>
      <c r="AQ91" s="63" t="n">
        <f aca="false">AQ34*Ratio!AQ83</f>
        <v>0.0312813488953728</v>
      </c>
    </row>
    <row r="92" customFormat="false" ht="12.8" hidden="false" customHeight="false" outlineLevel="0" collapsed="false">
      <c r="A92" s="189" t="s">
        <v>195</v>
      </c>
      <c r="B92" s="65" t="n">
        <f aca="false">B35*Ratio!B84</f>
        <v>0.0132458782783137</v>
      </c>
      <c r="C92" s="65" t="n">
        <f aca="false">C35*Ratio!C84</f>
        <v>0.012856569387635</v>
      </c>
      <c r="D92" s="63" t="n">
        <f aca="false">D35*Ratio!D84</f>
        <v>0.012856569387635</v>
      </c>
      <c r="E92" s="65" t="n">
        <f aca="false">E35*Ratio!E84</f>
        <v>0.0129562473476915</v>
      </c>
      <c r="F92" s="63" t="n">
        <f aca="false">F35*Ratio!F84</f>
        <v>0.0160855409402393</v>
      </c>
      <c r="G92" s="65" t="n">
        <f aca="false">G35*Ratio!G84</f>
        <v>0.0164554293086858</v>
      </c>
      <c r="H92" s="63" t="n">
        <f aca="false">H35*Ratio!H84</f>
        <v>0.0165287072709582</v>
      </c>
      <c r="I92" s="66" t="n">
        <f aca="false">I35*Ratio!I84</f>
        <v>0.0168787003999692</v>
      </c>
      <c r="J92" s="67" t="n">
        <f aca="false">J35*Ratio!J84</f>
        <v>0.0196422879011057</v>
      </c>
      <c r="K92" s="65" t="n">
        <f aca="false">K35*Ratio!K84</f>
        <v>0.0203394803855542</v>
      </c>
      <c r="L92" s="63" t="n">
        <f aca="false">L35*Ratio!L84</f>
        <v>0.0202784348297563</v>
      </c>
      <c r="M92" s="65" t="n">
        <f aca="false">M35*Ratio!M84</f>
        <v>0.0202649467767814</v>
      </c>
      <c r="N92" s="65" t="n">
        <f aca="false">N35*Ratio!N84</f>
        <v>0.020694184122797</v>
      </c>
      <c r="O92" s="63" t="n">
        <f aca="false">O35*Ratio!O84</f>
        <v>0.0223978696353897</v>
      </c>
      <c r="P92" s="68" t="n">
        <f aca="false">P35*Ratio!P84</f>
        <v>0.0216643399204124</v>
      </c>
      <c r="Q92" s="67" t="n">
        <f aca="false">Q35*Ratio!Q84</f>
        <v>0.0268591886241066</v>
      </c>
      <c r="R92" s="63" t="n">
        <f aca="false">R35*Ratio!R84</f>
        <v>0.0274262112763419</v>
      </c>
      <c r="S92" s="65" t="n">
        <f aca="false">S35*Ratio!S84</f>
        <v>0.027275767725033</v>
      </c>
      <c r="T92" s="63" t="n">
        <f aca="false">T35*Ratio!T84</f>
        <v>0.024712596356819</v>
      </c>
      <c r="U92" s="63" t="n">
        <f aca="false">U35*Ratio!U84</f>
        <v>0.0254558876424327</v>
      </c>
      <c r="V92" s="65" t="n">
        <f aca="false">V35*Ratio!V84</f>
        <v>0.0257162259343245</v>
      </c>
      <c r="W92" s="65" t="n">
        <f aca="false">W35*Ratio!W84</f>
        <v>0.0257946848123046</v>
      </c>
      <c r="X92" s="66" t="n">
        <f aca="false">X35*Ratio!X84</f>
        <v>0.0257566706875643</v>
      </c>
      <c r="Y92" s="67" t="n">
        <f aca="false">Y35*Ratio!Y84</f>
        <v>0.0274768194042602</v>
      </c>
      <c r="Z92" s="63" t="n">
        <f aca="false">Z35*Ratio!Z84</f>
        <v>0.0338253433972248</v>
      </c>
      <c r="AA92" s="65" t="n">
        <f aca="false">AA35*Ratio!AA84</f>
        <v>0.034588309703362</v>
      </c>
      <c r="AB92" s="63" t="n">
        <f aca="false">AB35*Ratio!AB84</f>
        <v>0.0374793579790557</v>
      </c>
      <c r="AC92" s="68" t="n">
        <f aca="false">AC35*Ratio!AC84</f>
        <v>0.0372430422756051</v>
      </c>
      <c r="AD92" s="67" t="n">
        <f aca="false">AD35*Ratio!AD84</f>
        <v>0.0399056426511543</v>
      </c>
      <c r="AE92" s="63" t="n">
        <f aca="false">AE35*Ratio!AE84</f>
        <v>0.046618831272225</v>
      </c>
      <c r="AF92" s="65" t="n">
        <f aca="false">AF35*Ratio!AF84</f>
        <v>0.0473809373223306</v>
      </c>
      <c r="AG92" s="63" t="n">
        <f aca="false">AG35*Ratio!AG84</f>
        <v>0.04803287633035</v>
      </c>
      <c r="AH92" s="63" t="n">
        <f aca="false">AH35*Ratio!AH84</f>
        <v>0.048727095209426</v>
      </c>
      <c r="AI92" s="66" t="n">
        <f aca="false">AI35*Ratio!AI84</f>
        <v>0.044433255897929</v>
      </c>
      <c r="AJ92" s="67" t="n">
        <f aca="false">AJ35*Ratio!AJ84</f>
        <v>0.0378164544968127</v>
      </c>
      <c r="AK92" s="63" t="n">
        <f aca="false">AK35*Ratio!AK84</f>
        <v>0.0326654866583139</v>
      </c>
      <c r="AL92" s="63" t="n">
        <f aca="false">AL35*Ratio!AL84</f>
        <v>0.0285772048113771</v>
      </c>
      <c r="AM92" s="63" t="n">
        <f aca="false">AM35*Ratio!AM84</f>
        <v>0.0267353469857472</v>
      </c>
      <c r="AN92" s="68" t="n">
        <f aca="false">AN35*Ratio!AN84</f>
        <v>0.0274731488721574</v>
      </c>
      <c r="AO92" s="67" t="n">
        <f aca="false">AO35*Ratio!AO84</f>
        <v>0.021669379162834</v>
      </c>
      <c r="AP92" s="63" t="n">
        <f aca="false">AP35*Ratio!AP84</f>
        <v>0.0195115236603576</v>
      </c>
      <c r="AQ92" s="63" t="n">
        <f aca="false">AQ35*Ratio!AQ84</f>
        <v>0.0182383091838752</v>
      </c>
    </row>
    <row r="93" customFormat="false" ht="12.8" hidden="false" customHeight="false" outlineLevel="0" collapsed="false">
      <c r="A93" s="189" t="s">
        <v>196</v>
      </c>
      <c r="B93" s="65" t="n">
        <f aca="false">B36*Ratio!B85</f>
        <v>0.00312567571012122</v>
      </c>
      <c r="C93" s="65" t="n">
        <f aca="false">C36*Ratio!C85</f>
        <v>0.00312537991413456</v>
      </c>
      <c r="D93" s="63" t="n">
        <f aca="false">D36*Ratio!D85</f>
        <v>0.00312537991413456</v>
      </c>
      <c r="E93" s="65" t="n">
        <f aca="false">E36*Ratio!E85</f>
        <v>0.00411984876385144</v>
      </c>
      <c r="F93" s="63" t="n">
        <f aca="false">F36*Ratio!F85</f>
        <v>0.00422796427970711</v>
      </c>
      <c r="G93" s="65" t="n">
        <f aca="false">G36*Ratio!G85</f>
        <v>0.00466231025676129</v>
      </c>
      <c r="H93" s="63" t="n">
        <f aca="false">H36*Ratio!H85</f>
        <v>0.00466135004530677</v>
      </c>
      <c r="I93" s="66" t="n">
        <f aca="false">I36*Ratio!I85</f>
        <v>0.00474759397828708</v>
      </c>
      <c r="J93" s="67" t="n">
        <f aca="false">J36*Ratio!J85</f>
        <v>0.00482761672523082</v>
      </c>
      <c r="K93" s="65" t="n">
        <f aca="false">K36*Ratio!K85</f>
        <v>0.00486170545503996</v>
      </c>
      <c r="L93" s="63" t="n">
        <f aca="false">L36*Ratio!L85</f>
        <v>0.00484711385751619</v>
      </c>
      <c r="M93" s="65" t="n">
        <f aca="false">M36*Ratio!M85</f>
        <v>0.00484388983509855</v>
      </c>
      <c r="N93" s="65" t="n">
        <f aca="false">N36*Ratio!N85</f>
        <v>0.0049464895823425</v>
      </c>
      <c r="O93" s="63" t="n">
        <f aca="false">O36*Ratio!O85</f>
        <v>0.00520870316607949</v>
      </c>
      <c r="P93" s="68" t="n">
        <f aca="false">P36*Ratio!P85</f>
        <v>0.00534321929953778</v>
      </c>
      <c r="Q93" s="67" t="n">
        <f aca="false">Q36*Ratio!Q85</f>
        <v>0.00483638838505692</v>
      </c>
      <c r="R93" s="63" t="n">
        <f aca="false">R36*Ratio!R85</f>
        <v>0.00516618763836446</v>
      </c>
      <c r="S93" s="65" t="n">
        <f aca="false">S36*Ratio!S85</f>
        <v>0.00513784906811089</v>
      </c>
      <c r="T93" s="63" t="n">
        <f aca="false">T36*Ratio!T85</f>
        <v>0.00492483457528391</v>
      </c>
      <c r="U93" s="63" t="n">
        <f aca="false">U36*Ratio!U85</f>
        <v>0.0044350016307669</v>
      </c>
      <c r="V93" s="65" t="n">
        <f aca="false">V36*Ratio!V85</f>
        <v>0.00448035855429316</v>
      </c>
      <c r="W93" s="65" t="n">
        <f aca="false">W36*Ratio!W85</f>
        <v>0.00449402789698817</v>
      </c>
      <c r="X93" s="66" t="n">
        <f aca="false">X36*Ratio!X85</f>
        <v>0.00448740496135994</v>
      </c>
      <c r="Y93" s="67" t="n">
        <f aca="false">Y36*Ratio!Y85</f>
        <v>0.00478709446623469</v>
      </c>
      <c r="Z93" s="63" t="n">
        <f aca="false">Z36*Ratio!Z85</f>
        <v>0.00477734549907251</v>
      </c>
      <c r="AA93" s="65" t="n">
        <f aca="false">AA36*Ratio!AA85</f>
        <v>0.00488510356691425</v>
      </c>
      <c r="AB93" s="63" t="n">
        <f aca="false">AB36*Ratio!AB85</f>
        <v>0.00546992255676494</v>
      </c>
      <c r="AC93" s="68" t="n">
        <f aca="false">AC36*Ratio!AC85</f>
        <v>0.00695673874373753</v>
      </c>
      <c r="AD93" s="67" t="n">
        <f aca="false">AD36*Ratio!AD85</f>
        <v>0.00410283973701321</v>
      </c>
      <c r="AE93" s="63" t="n">
        <f aca="false">AE36*Ratio!AE85</f>
        <v>0.00325293786217807</v>
      </c>
      <c r="AF93" s="65" t="n">
        <f aca="false">AF36*Ratio!AF85</f>
        <v>0.00294358621277062</v>
      </c>
      <c r="AG93" s="63" t="n">
        <f aca="false">AG36*Ratio!AG85</f>
        <v>0.00298408854944915</v>
      </c>
      <c r="AH93" s="63" t="n">
        <f aca="false">AH36*Ratio!AH85</f>
        <v>0.00412203598722696</v>
      </c>
      <c r="AI93" s="66" t="n">
        <f aca="false">AI36*Ratio!AI85</f>
        <v>0.00375773391234639</v>
      </c>
      <c r="AJ93" s="67" t="n">
        <f aca="false">AJ36*Ratio!AJ85</f>
        <v>0.000954510568160624</v>
      </c>
      <c r="AK93" s="63" t="n">
        <f aca="false">AK36*Ratio!AK85</f>
        <v>0.00123641098315123</v>
      </c>
      <c r="AL93" s="63" t="n">
        <f aca="false">AL36*Ratio!AL85</f>
        <v>0.00159096429727559</v>
      </c>
      <c r="AM93" s="63" t="n">
        <f aca="false">AM36*Ratio!AM85</f>
        <v>0.00254774050383326</v>
      </c>
      <c r="AN93" s="68" t="n">
        <f aca="false">AN36*Ratio!AN85</f>
        <v>0.00248765715262067</v>
      </c>
      <c r="AO93" s="67" t="n">
        <f aca="false">AO36*Ratio!AO85</f>
        <v>0.00256217524707931</v>
      </c>
      <c r="AP93" s="63" t="n">
        <f aca="false">AP36*Ratio!AP85</f>
        <v>0.00358179192274427</v>
      </c>
      <c r="AQ93" s="63" t="n">
        <f aca="false">AQ36*Ratio!AQ85</f>
        <v>0.00367813979622682</v>
      </c>
    </row>
    <row r="94" customFormat="false" ht="12.8" hidden="false" customHeight="false" outlineLevel="0" collapsed="false">
      <c r="A94" s="189" t="s">
        <v>197</v>
      </c>
      <c r="B94" s="65" t="n">
        <f aca="false">B37*Ratio!B86</f>
        <v>0.0219533571430809</v>
      </c>
      <c r="C94" s="65" t="n">
        <f aca="false">C37*Ratio!C86</f>
        <v>0.0180688642833685</v>
      </c>
      <c r="D94" s="63" t="n">
        <f aca="false">D37*Ratio!D86</f>
        <v>0.0180688642833685</v>
      </c>
      <c r="E94" s="65" t="n">
        <f aca="false">E37*Ratio!E86</f>
        <v>0.0182490352927569</v>
      </c>
      <c r="F94" s="63" t="n">
        <f aca="false">F37*Ratio!F86</f>
        <v>0.0213082308896308</v>
      </c>
      <c r="G94" s="65" t="n">
        <f aca="false">G37*Ratio!G86</f>
        <v>0.014646207726158</v>
      </c>
      <c r="H94" s="63" t="n">
        <f aca="false">H37*Ratio!H86</f>
        <v>0.0147408665813675</v>
      </c>
      <c r="I94" s="66" t="n">
        <f aca="false">I37*Ratio!I86</f>
        <v>0.0150469830317817</v>
      </c>
      <c r="J94" s="67" t="n">
        <f aca="false">J37*Ratio!J86</f>
        <v>0.0106254211315473</v>
      </c>
      <c r="K94" s="65" t="n">
        <f aca="false">K37*Ratio!K86</f>
        <v>0.0107004492729009</v>
      </c>
      <c r="L94" s="63" t="n">
        <f aca="false">L37*Ratio!L86</f>
        <v>0.00798231395295646</v>
      </c>
      <c r="M94" s="65" t="n">
        <f aca="false">M37*Ratio!M86</f>
        <v>0.00797700457506986</v>
      </c>
      <c r="N94" s="65" t="n">
        <f aca="false">N37*Ratio!N86</f>
        <v>0.00814596767725183</v>
      </c>
      <c r="O94" s="63" t="n">
        <f aca="false">O37*Ratio!O86</f>
        <v>0.00597609334578373</v>
      </c>
      <c r="P94" s="68" t="n">
        <f aca="false">P37*Ratio!P86</f>
        <v>0.00510548140796041</v>
      </c>
      <c r="Q94" s="67" t="n">
        <f aca="false">Q37*Ratio!Q86</f>
        <v>0.00696520675970118</v>
      </c>
      <c r="R94" s="63" t="n">
        <f aca="false">R37*Ratio!R86</f>
        <v>0.00669520048469952</v>
      </c>
      <c r="S94" s="65" t="n">
        <f aca="false">S37*Ratio!S86</f>
        <v>0.00665847467786115</v>
      </c>
      <c r="T94" s="63" t="n">
        <f aca="false">T37*Ratio!T86</f>
        <v>0.00588562635812585</v>
      </c>
      <c r="U94" s="63" t="n">
        <f aca="false">U37*Ratio!U86</f>
        <v>0.00533802340835331</v>
      </c>
      <c r="V94" s="65" t="n">
        <f aca="false">V37*Ratio!V86</f>
        <v>0.00525163825711779</v>
      </c>
      <c r="W94" s="65" t="n">
        <f aca="false">W37*Ratio!W86</f>
        <v>0.00526766073437645</v>
      </c>
      <c r="X94" s="66" t="n">
        <f aca="false">X37*Ratio!X86</f>
        <v>0.00501045229347894</v>
      </c>
      <c r="Y94" s="67" t="n">
        <f aca="false">Y37*Ratio!Y86</f>
        <v>0.00488795932477736</v>
      </c>
      <c r="Z94" s="63" t="n">
        <f aca="false">Z37*Ratio!Z86</f>
        <v>0.00487258794965762</v>
      </c>
      <c r="AA94" s="65" t="n">
        <f aca="false">AA37*Ratio!AA86</f>
        <v>0.00432260869750213</v>
      </c>
      <c r="AB94" s="63" t="n">
        <f aca="false">AB37*Ratio!AB86</f>
        <v>0.00481554144116073</v>
      </c>
      <c r="AC94" s="68" t="n">
        <f aca="false">AC37*Ratio!AC86</f>
        <v>0.00728846900010983</v>
      </c>
      <c r="AD94" s="67" t="n">
        <f aca="false">AD37*Ratio!AD86</f>
        <v>0.00640092136453609</v>
      </c>
      <c r="AE94" s="63" t="n">
        <f aca="false">AE37*Ratio!AE86</f>
        <v>0.00539090663779103</v>
      </c>
      <c r="AF94" s="65" t="n">
        <f aca="false">AF37*Ratio!AF86</f>
        <v>0.00547903502823102</v>
      </c>
      <c r="AG94" s="63" t="n">
        <f aca="false">AG37*Ratio!AG86</f>
        <v>0.0055544239264478</v>
      </c>
      <c r="AH94" s="63" t="n">
        <f aca="false">AH37*Ratio!AH86</f>
        <v>0.00695149391293333</v>
      </c>
      <c r="AI94" s="66" t="n">
        <f aca="false">AI37*Ratio!AI86</f>
        <v>0.00633712672549279</v>
      </c>
      <c r="AJ94" s="67" t="n">
        <f aca="false">AJ37*Ratio!AJ86</f>
        <v>0.00626481766067291</v>
      </c>
      <c r="AK94" s="63" t="n">
        <f aca="false">AK37*Ratio!AK86</f>
        <v>0.00648027465812914</v>
      </c>
      <c r="AL94" s="63" t="n">
        <f aca="false">AL37*Ratio!AL86</f>
        <v>0.00697046317748674</v>
      </c>
      <c r="AM94" s="63" t="n">
        <f aca="false">AM37*Ratio!AM86</f>
        <v>0.00692521893832637</v>
      </c>
      <c r="AN94" s="68" t="n">
        <f aca="false">AN37*Ratio!AN86</f>
        <v>0.00693547697437808</v>
      </c>
      <c r="AO94" s="67" t="n">
        <f aca="false">AO37*Ratio!AO86</f>
        <v>0.00651668030339596</v>
      </c>
      <c r="AP94" s="63" t="n">
        <f aca="false">AP37*Ratio!AP86</f>
        <v>0.00444977755950032</v>
      </c>
      <c r="AQ94" s="63" t="n">
        <f aca="false">AQ37*Ratio!AQ86</f>
        <v>0.00480080328731992</v>
      </c>
    </row>
    <row r="95" customFormat="false" ht="12.8" hidden="false" customHeight="false" outlineLevel="0" collapsed="false">
      <c r="A95" s="189" t="s">
        <v>198</v>
      </c>
      <c r="B95" s="65" t="n">
        <f aca="false">B38*Ratio!B87</f>
        <v>0.0119825476765253</v>
      </c>
      <c r="C95" s="65" t="n">
        <f aca="false">C38*Ratio!C87</f>
        <v>0.0118756180872988</v>
      </c>
      <c r="D95" s="63" t="n">
        <f aca="false">D38*Ratio!D87</f>
        <v>0.0118756180872988</v>
      </c>
      <c r="E95" s="65" t="n">
        <f aca="false">E38*Ratio!E87</f>
        <v>0.0119940340576855</v>
      </c>
      <c r="F95" s="63" t="n">
        <f aca="false">F38*Ratio!F87</f>
        <v>0.0123087886163273</v>
      </c>
      <c r="G95" s="65" t="n">
        <f aca="false">G38*Ratio!G87</f>
        <v>0.0142658862924442</v>
      </c>
      <c r="H95" s="63" t="n">
        <f aca="false">H38*Ratio!H87</f>
        <v>0.0143580871194596</v>
      </c>
      <c r="I95" s="66" t="n">
        <f aca="false">I38*Ratio!I87</f>
        <v>0.0146562545738277</v>
      </c>
      <c r="J95" s="67" t="n">
        <f aca="false">J38*Ratio!J87</f>
        <v>0.00730261311653613</v>
      </c>
      <c r="K95" s="65" t="n">
        <f aca="false">K38*Ratio!K87</f>
        <v>0.0150085270850691</v>
      </c>
      <c r="L95" s="63" t="n">
        <f aca="false">L38*Ratio!L87</f>
        <v>0.0149634814958874</v>
      </c>
      <c r="M95" s="65" t="n">
        <f aca="false">M38*Ratio!M87</f>
        <v>0.0149535286453445</v>
      </c>
      <c r="N95" s="65" t="n">
        <f aca="false">N38*Ratio!N87</f>
        <v>0.0152702634001897</v>
      </c>
      <c r="O95" s="63" t="n">
        <f aca="false">O38*Ratio!O87</f>
        <v>0.0160797405908554</v>
      </c>
      <c r="P95" s="68" t="n">
        <f aca="false">P38*Ratio!P87</f>
        <v>0.0156928918735773</v>
      </c>
      <c r="Q95" s="67" t="n">
        <f aca="false">Q38*Ratio!Q87</f>
        <v>0.0158167088107619</v>
      </c>
      <c r="R95" s="63" t="n">
        <f aca="false">R38*Ratio!R87</f>
        <v>0.0161506143618574</v>
      </c>
      <c r="S95" s="65" t="n">
        <f aca="false">S38*Ratio!S87</f>
        <v>0.0160620218925609</v>
      </c>
      <c r="T95" s="63" t="n">
        <f aca="false">T38*Ratio!T87</f>
        <v>0.0152538663229736</v>
      </c>
      <c r="U95" s="63" t="n">
        <f aca="false">U38*Ratio!U87</f>
        <v>0.0153798901453919</v>
      </c>
      <c r="V95" s="65" t="n">
        <f aca="false">V38*Ratio!V87</f>
        <v>0.0155371808431737</v>
      </c>
      <c r="W95" s="65" t="n">
        <f aca="false">W38*Ratio!W87</f>
        <v>0.0155845839799732</v>
      </c>
      <c r="X95" s="66" t="n">
        <f aca="false">X38*Ratio!X87</f>
        <v>0.0155616166778429</v>
      </c>
      <c r="Y95" s="67" t="n">
        <f aca="false">Y38*Ratio!Y87</f>
        <v>0.0143652940032897</v>
      </c>
      <c r="Z95" s="63" t="n">
        <f aca="false">Z38*Ratio!Z87</f>
        <v>0.0143201188477374</v>
      </c>
      <c r="AA95" s="65" t="n">
        <f aca="false">AA38*Ratio!AA87</f>
        <v>0.0146577710211226</v>
      </c>
      <c r="AB95" s="63" t="n">
        <f aca="false">AB38*Ratio!AB87</f>
        <v>0.0158876406080319</v>
      </c>
      <c r="AC95" s="68" t="n">
        <f aca="false">AC38*Ratio!AC87</f>
        <v>0.0158509943226501</v>
      </c>
      <c r="AD95" s="67" t="n">
        <f aca="false">AD38*Ratio!AD87</f>
        <v>0.0153129439981361</v>
      </c>
      <c r="AE95" s="63" t="n">
        <f aca="false">AE38*Ratio!AE87</f>
        <v>0.013988167852395</v>
      </c>
      <c r="AF95" s="65" t="n">
        <f aca="false">AF38*Ratio!AF87</f>
        <v>0.0142168408383811</v>
      </c>
      <c r="AG95" s="63" t="n">
        <f aca="false">AG38*Ratio!AG87</f>
        <v>0.0144124577602307</v>
      </c>
      <c r="AH95" s="63" t="n">
        <f aca="false">AH38*Ratio!AH87</f>
        <v>0.0131203896029075</v>
      </c>
      <c r="AI95" s="66" t="n">
        <f aca="false">AI38*Ratio!AI87</f>
        <v>0.011960820600989</v>
      </c>
      <c r="AJ95" s="67" t="n">
        <f aca="false">AJ38*Ratio!AJ87</f>
        <v>0.0118243430158625</v>
      </c>
      <c r="AK95" s="63" t="n">
        <f aca="false">AK38*Ratio!AK87</f>
        <v>0.0122310008918105</v>
      </c>
      <c r="AL95" s="63" t="n">
        <f aca="false">AL38*Ratio!AL87</f>
        <v>0.0124302122492322</v>
      </c>
      <c r="AM95" s="63" t="n">
        <f aca="false">AM38*Ratio!AM87</f>
        <v>0.0123495295913516</v>
      </c>
      <c r="AN95" s="68" t="n">
        <f aca="false">AN38*Ratio!AN87</f>
        <v>0.0112443585553539</v>
      </c>
      <c r="AO95" s="67" t="n">
        <f aca="false">AO38*Ratio!AO87</f>
        <v>0.0115811847824214</v>
      </c>
      <c r="AP95" s="63" t="n">
        <f aca="false">AP38*Ratio!AP87</f>
        <v>0.00978694417070416</v>
      </c>
      <c r="AQ95" s="63" t="n">
        <f aca="false">AQ38*Ratio!AQ87</f>
        <v>0.0100502066044463</v>
      </c>
    </row>
    <row r="96" customFormat="false" ht="12.8" hidden="false" customHeight="false" outlineLevel="0" collapsed="false">
      <c r="A96" s="189" t="s">
        <v>28</v>
      </c>
      <c r="B96" s="65" t="n">
        <f aca="false">B39*Ratio!B88</f>
        <v>0.00542559067261088</v>
      </c>
      <c r="C96" s="65" t="n">
        <f aca="false">C39*Ratio!C88</f>
        <v>0.00537717390869769</v>
      </c>
      <c r="D96" s="63" t="n">
        <f aca="false">D39*Ratio!D88</f>
        <v>0.00537717390869769</v>
      </c>
      <c r="E96" s="65" t="n">
        <f aca="false">E39*Ratio!E88</f>
        <v>0.00543079160351201</v>
      </c>
      <c r="F96" s="63" t="n">
        <f aca="false">F39*Ratio!F88</f>
        <v>0.00557330965924021</v>
      </c>
      <c r="G96" s="65" t="n">
        <f aca="false">G39*Ratio!G88</f>
        <v>0.00651727093213372</v>
      </c>
      <c r="H96" s="63" t="n">
        <f aca="false">H39*Ratio!H88</f>
        <v>0.00631189045444589</v>
      </c>
      <c r="I96" s="66" t="n">
        <f aca="false">I39*Ratio!I88</f>
        <v>0.00607311380175602</v>
      </c>
      <c r="J96" s="67" t="n">
        <f aca="false">J39*Ratio!J88</f>
        <v>0.00617547875780346</v>
      </c>
      <c r="K96" s="65" t="n">
        <f aca="false">K39*Ratio!K88</f>
        <v>0.0062190850005519</v>
      </c>
      <c r="L96" s="63" t="n">
        <f aca="false">L39*Ratio!L88</f>
        <v>0.00620041945486358</v>
      </c>
      <c r="M96" s="65" t="n">
        <f aca="false">M39*Ratio!M88</f>
        <v>0.00619629529110163</v>
      </c>
      <c r="N96" s="65" t="n">
        <f aca="false">N39*Ratio!N88</f>
        <v>0.00267338594824892</v>
      </c>
      <c r="O96" s="63" t="n">
        <f aca="false">O39*Ratio!O88</f>
        <v>0.00281510222977205</v>
      </c>
      <c r="P96" s="68" t="n">
        <f aca="false">P39*Ratio!P88</f>
        <v>0.00695760518897267</v>
      </c>
      <c r="Q96" s="67" t="n">
        <f aca="false">Q39*Ratio!Q88</f>
        <v>0.00701250070291481</v>
      </c>
      <c r="R96" s="63" t="n">
        <f aca="false">R39*Ratio!R88</f>
        <v>0.0071605411669443</v>
      </c>
      <c r="S96" s="65" t="n">
        <f aca="false">S39*Ratio!S88</f>
        <v>0.00712126278351778</v>
      </c>
      <c r="T96" s="63" t="n">
        <f aca="false">T39*Ratio!T88</f>
        <v>0.00645206010309284</v>
      </c>
      <c r="U96" s="63" t="n">
        <f aca="false">U39*Ratio!U88</f>
        <v>0.00566943884324793</v>
      </c>
      <c r="V96" s="65" t="n">
        <f aca="false">V39*Ratio!V88</f>
        <v>0.00572742040119507</v>
      </c>
      <c r="W96" s="65" t="n">
        <f aca="false">W39*Ratio!W88</f>
        <v>0.00574489446521777</v>
      </c>
      <c r="X96" s="66" t="n">
        <f aca="false">X39*Ratio!X88</f>
        <v>0.0057364281033913</v>
      </c>
      <c r="Y96" s="67" t="n">
        <f aca="false">Y39*Ratio!Y88</f>
        <v>0.00611953310792246</v>
      </c>
      <c r="Z96" s="63" t="n">
        <f aca="false">Z39*Ratio!Z88</f>
        <v>0.00401910152294235</v>
      </c>
      <c r="AA96" s="65" t="n">
        <f aca="false">AA39*Ratio!AA88</f>
        <v>0.00410975659795339</v>
      </c>
      <c r="AB96" s="63" t="n">
        <f aca="false">AB39*Ratio!AB88</f>
        <v>0.00445458833547603</v>
      </c>
      <c r="AC96" s="68" t="n">
        <f aca="false">AC39*Ratio!AC88</f>
        <v>0.00384794549851604</v>
      </c>
      <c r="AD96" s="67" t="n">
        <f aca="false">AD39*Ratio!AD88</f>
        <v>0.00412304496685762</v>
      </c>
      <c r="AE96" s="63" t="n">
        <f aca="false">AE39*Ratio!AE88</f>
        <v>0.00567944566497241</v>
      </c>
      <c r="AF96" s="65" t="n">
        <f aca="false">AF39*Ratio!AF88</f>
        <v>0.00613486127780368</v>
      </c>
      <c r="AG96" s="63" t="n">
        <f aca="false">AG39*Ratio!AG88</f>
        <v>0.00707615178655964</v>
      </c>
      <c r="AH96" s="63" t="n">
        <f aca="false">AH39*Ratio!AH88</f>
        <v>0.00778553498635781</v>
      </c>
      <c r="AI96" s="66" t="n">
        <f aca="false">AI39*Ratio!AI88</f>
        <v>0.00709745595008197</v>
      </c>
      <c r="AJ96" s="67" t="n">
        <f aca="false">AJ39*Ratio!AJ88</f>
        <v>0.00553093308549272</v>
      </c>
      <c r="AK96" s="63" t="n">
        <f aca="false">AK39*Ratio!AK88</f>
        <v>0.00612967846875741</v>
      </c>
      <c r="AL96" s="63" t="n">
        <f aca="false">AL39*Ratio!AL88</f>
        <v>0.00627182065430713</v>
      </c>
      <c r="AM96" s="63" t="n">
        <f aca="false">AM39*Ratio!AM88</f>
        <v>0.0101079894507353</v>
      </c>
      <c r="AN96" s="68" t="n">
        <f aca="false">AN39*Ratio!AN88</f>
        <v>0.0113003806237634</v>
      </c>
      <c r="AO96" s="67" t="n">
        <f aca="false">AO39*Ratio!AO88</f>
        <v>0.00996820993712638</v>
      </c>
      <c r="AP96" s="63" t="n">
        <f aca="false">AP39*Ratio!AP88</f>
        <v>0.0089365927245165</v>
      </c>
      <c r="AQ96" s="63" t="n">
        <f aca="false">AQ39*Ratio!AQ88</f>
        <v>0.00696888719562476</v>
      </c>
    </row>
    <row r="97" customFormat="false" ht="12.8" hidden="false" customHeight="false" outlineLevel="0" collapsed="false">
      <c r="A97" s="189" t="s">
        <v>199</v>
      </c>
      <c r="B97" s="65" t="n">
        <f aca="false">B40*Ratio!B89</f>
        <v>0.00157811913919687</v>
      </c>
      <c r="C97" s="65" t="n">
        <f aca="false">C40*Ratio!C89</f>
        <v>0.00156403635514626</v>
      </c>
      <c r="D97" s="63" t="n">
        <f aca="false">D40*Ratio!D89</f>
        <v>0.00156403635514626</v>
      </c>
      <c r="E97" s="65" t="n">
        <f aca="false">E40*Ratio!E89</f>
        <v>0.00117875465793272</v>
      </c>
      <c r="F97" s="63" t="n">
        <f aca="false">F40*Ratio!F89</f>
        <v>0.00120968823710385</v>
      </c>
      <c r="G97" s="65" t="n">
        <f aca="false">G40*Ratio!G89</f>
        <v>0.00140528992155025</v>
      </c>
      <c r="H97" s="63" t="n">
        <f aca="false">H40*Ratio!H89</f>
        <v>0.00141437235010093</v>
      </c>
      <c r="I97" s="66" t="n">
        <f aca="false">I40*Ratio!I89</f>
        <v>0.00144374393697387</v>
      </c>
      <c r="J97" s="67" t="n">
        <f aca="false">J40*Ratio!J89</f>
        <v>0.00146807886457054</v>
      </c>
      <c r="K97" s="65" t="n">
        <f aca="false">K40*Ratio!K89</f>
        <v>0.00147844525167234</v>
      </c>
      <c r="L97" s="63" t="n">
        <f aca="false">L40*Ratio!L89</f>
        <v>0.00147400794499614</v>
      </c>
      <c r="M97" s="65" t="n">
        <f aca="false">M40*Ratio!M89</f>
        <v>0.00147302751936594</v>
      </c>
      <c r="N97" s="65" t="n">
        <f aca="false">N40*Ratio!N89</f>
        <v>0.00150422811564606</v>
      </c>
      <c r="O97" s="63" t="n">
        <f aca="false">O40*Ratio!O89</f>
        <v>0.00158396730005059</v>
      </c>
      <c r="P97" s="68" t="n">
        <f aca="false">P40*Ratio!P89</f>
        <v>0.00166654357160309</v>
      </c>
      <c r="Q97" s="67" t="n">
        <f aca="false">Q40*Ratio!Q89</f>
        <v>0.00167969260253907</v>
      </c>
      <c r="R97" s="63" t="n">
        <f aca="false">R40*Ratio!R89</f>
        <v>0.00171515248808366</v>
      </c>
      <c r="S97" s="65" t="n">
        <f aca="false">S40*Ratio!S89</f>
        <v>0.00170574420238413</v>
      </c>
      <c r="T97" s="63" t="n">
        <f aca="false">T40*Ratio!T89</f>
        <v>0.00154545119999743</v>
      </c>
      <c r="U97" s="63" t="n">
        <f aca="false">U40*Ratio!U89</f>
        <v>0.00150198592078403</v>
      </c>
      <c r="V97" s="65" t="n">
        <f aca="false">V40*Ratio!V89</f>
        <v>0.0015173467856085</v>
      </c>
      <c r="W97" s="65" t="n">
        <f aca="false">W40*Ratio!W89</f>
        <v>0.00152197613233339</v>
      </c>
      <c r="X97" s="66" t="n">
        <f aca="false">X40*Ratio!X89</f>
        <v>0.00151973316673923</v>
      </c>
      <c r="Y97" s="67" t="n">
        <f aca="false">Y40*Ratio!Y89</f>
        <v>0.00162122792466805</v>
      </c>
      <c r="Z97" s="63" t="n">
        <f aca="false">Z40*Ratio!Z89</f>
        <v>0.0010111733506491</v>
      </c>
      <c r="AA97" s="65" t="n">
        <f aca="false">AA40*Ratio!AA89</f>
        <v>0.00103398143236313</v>
      </c>
      <c r="AB97" s="63" t="n">
        <f aca="false">AB40*Ratio!AB89</f>
        <v>0.00112073830114351</v>
      </c>
      <c r="AC97" s="68" t="n">
        <f aca="false">AC40*Ratio!AC89</f>
        <v>0.00123706802815284</v>
      </c>
      <c r="AD97" s="67" t="n">
        <f aca="false">AD40*Ratio!AD89</f>
        <v>0.00132550918642248</v>
      </c>
      <c r="AE97" s="63" t="n">
        <f aca="false">AE40*Ratio!AE89</f>
        <v>0.000908651156527331</v>
      </c>
      <c r="AF97" s="65" t="n">
        <f aca="false">AF40*Ratio!AF89</f>
        <v>0.000923505423031379</v>
      </c>
      <c r="AG97" s="63" t="n">
        <f aca="false">AG40*Ratio!AG89</f>
        <v>0.000951154783770524</v>
      </c>
      <c r="AH97" s="63" t="n">
        <f aca="false">AH40*Ratio!AH89</f>
        <v>0.000967302206671364</v>
      </c>
      <c r="AI97" s="66" t="n">
        <f aca="false">AI40*Ratio!AI89</f>
        <v>0.000881812850921222</v>
      </c>
      <c r="AJ97" s="67" t="n">
        <f aca="false">AJ40*Ratio!AJ89</f>
        <v>0.000871751025529634</v>
      </c>
      <c r="AK97" s="63" t="n">
        <f aca="false">AK40*Ratio!AK89</f>
        <v>0.000901731923404615</v>
      </c>
      <c r="AL97" s="63" t="n">
        <f aca="false">AL40*Ratio!AL89</f>
        <v>0.000916418803250421</v>
      </c>
      <c r="AM97" s="63" t="n">
        <f aca="false">AM40*Ratio!AM89</f>
        <v>0.000910470465177388</v>
      </c>
      <c r="AN97" s="68" t="n">
        <f aca="false">AN40*Ratio!AN89</f>
        <v>0.000986906910031469</v>
      </c>
      <c r="AO97" s="67" t="n">
        <f aca="false">AO40*Ratio!AO89</f>
        <v>0.00101646983523848</v>
      </c>
      <c r="AP97" s="63" t="n">
        <f aca="false">AP40*Ratio!AP89</f>
        <v>0.00096409137555103</v>
      </c>
      <c r="AQ97" s="63" t="n">
        <f aca="false">AQ40*Ratio!AQ89</f>
        <v>0.000990024806604734</v>
      </c>
    </row>
    <row r="98" customFormat="false" ht="12.8" hidden="false" customHeight="false" outlineLevel="0" collapsed="false">
      <c r="A98" s="189" t="s">
        <v>200</v>
      </c>
      <c r="B98" s="65" t="n">
        <f aca="false">B41*Ratio!B90</f>
        <v>0.000811395424460397</v>
      </c>
      <c r="C98" s="65" t="n">
        <f aca="false">C41*Ratio!C90</f>
        <v>0.000804154712236258</v>
      </c>
      <c r="D98" s="63" t="n">
        <f aca="false">D41*Ratio!D90</f>
        <v>0.000804154712236258</v>
      </c>
      <c r="E98" s="65" t="n">
        <f aca="false">E41*Ratio!E90</f>
        <v>0.000812173222084795</v>
      </c>
      <c r="F98" s="63" t="n">
        <f aca="false">F41*Ratio!F90</f>
        <v>0.000833486753697972</v>
      </c>
      <c r="G98" s="65" t="n">
        <f aca="false">G41*Ratio!G90</f>
        <v>0.000927844025178696</v>
      </c>
      <c r="H98" s="63" t="n">
        <f aca="false">H41*Ratio!H90</f>
        <v>0.000933840707383298</v>
      </c>
      <c r="I98" s="66" t="n">
        <f aca="false">I41*Ratio!I90</f>
        <v>0.000856768492807878</v>
      </c>
      <c r="J98" s="67" t="n">
        <f aca="false">J41*Ratio!J90</f>
        <v>0.000879184113674706</v>
      </c>
      <c r="K98" s="65" t="n">
        <f aca="false">K41*Ratio!K90</f>
        <v>0.000776291394057936</v>
      </c>
      <c r="L98" s="63" t="n">
        <f aca="false">L41*Ratio!L90</f>
        <v>0.000773961484998653</v>
      </c>
      <c r="M98" s="65" t="n">
        <f aca="false">M41*Ratio!M90</f>
        <v>0.000773446690163753</v>
      </c>
      <c r="N98" s="65" t="n">
        <f aca="false">N41*Ratio!N90</f>
        <v>0.000789829274743291</v>
      </c>
      <c r="O98" s="63" t="n">
        <f aca="false">O41*Ratio!O90</f>
        <v>0.000714986810241212</v>
      </c>
      <c r="P98" s="68" t="n">
        <f aca="false">P41*Ratio!P90</f>
        <v>0.000889042832172172</v>
      </c>
      <c r="Q98" s="67" t="n">
        <f aca="false">Q41*Ratio!Q90</f>
        <v>0.000942598165699594</v>
      </c>
      <c r="R98" s="63" t="n">
        <f aca="false">R41*Ratio!R90</f>
        <v>0.000962497296659468</v>
      </c>
      <c r="S98" s="65" t="n">
        <f aca="false">S41*Ratio!S90</f>
        <v>0.000995889212458696</v>
      </c>
      <c r="T98" s="63" t="n">
        <f aca="false">T41*Ratio!T90</f>
        <v>0.000782707125306512</v>
      </c>
      <c r="U98" s="63" t="n">
        <f aca="false">U41*Ratio!U90</f>
        <v>0.000683579302295094</v>
      </c>
      <c r="V98" s="65" t="n">
        <f aca="false">V41*Ratio!V90</f>
        <v>0.000690570292765817</v>
      </c>
      <c r="W98" s="65" t="n">
        <f aca="false">W41*Ratio!W90</f>
        <v>0.000692677187085193</v>
      </c>
      <c r="X98" s="66" t="n">
        <f aca="false">X41*Ratio!X90</f>
        <v>0.000882753605014119</v>
      </c>
      <c r="Y98" s="67" t="n">
        <f aca="false">Y41*Ratio!Y90</f>
        <v>0.000572794541096921</v>
      </c>
      <c r="Z98" s="63" t="n">
        <f aca="false">Z41*Ratio!Z90</f>
        <v>0.000784011620205843</v>
      </c>
      <c r="AA98" s="65" t="n">
        <f aca="false">AA41*Ratio!AA90</f>
        <v>0.00137348179434773</v>
      </c>
      <c r="AB98" s="63" t="n">
        <f aca="false">AB41*Ratio!AB90</f>
        <v>0.00148872465662247</v>
      </c>
      <c r="AC98" s="68" t="n">
        <f aca="false">AC41*Ratio!AC90</f>
        <v>0.00150704891707388</v>
      </c>
      <c r="AD98" s="67" t="n">
        <f aca="false">AD41*Ratio!AD90</f>
        <v>0.000942547456016046</v>
      </c>
      <c r="AE98" s="63" t="n">
        <f aca="false">AE41*Ratio!AE90</f>
        <v>0.000958263933201874</v>
      </c>
      <c r="AF98" s="65" t="n">
        <f aca="false">AF41*Ratio!AF90</f>
        <v>0.000973929249580712</v>
      </c>
      <c r="AG98" s="63" t="n">
        <f aca="false">AG41*Ratio!AG90</f>
        <v>0.0010825690629805</v>
      </c>
      <c r="AH98" s="63" t="n">
        <f aca="false">AH41*Ratio!AH90</f>
        <v>0.00113499506407592</v>
      </c>
      <c r="AI98" s="66" t="n">
        <f aca="false">AI41*Ratio!AI90</f>
        <v>0.00103468515457893</v>
      </c>
      <c r="AJ98" s="67" t="n">
        <f aca="false">AJ41*Ratio!AJ90</f>
        <v>0.0014122123154092</v>
      </c>
      <c r="AK98" s="63" t="n">
        <f aca="false">AK41*Ratio!AK90</f>
        <v>0.00105805742520304</v>
      </c>
      <c r="AL98" s="63" t="n">
        <f aca="false">AL41*Ratio!AL90</f>
        <v>0.00107529044298869</v>
      </c>
      <c r="AM98" s="63" t="n">
        <f aca="false">AM41*Ratio!AM90</f>
        <v>0.00112239413169016</v>
      </c>
      <c r="AN98" s="68" t="n">
        <f aca="false">AN41*Ratio!AN90</f>
        <v>0.00118827386388027</v>
      </c>
      <c r="AO98" s="67" t="n">
        <f aca="false">AO41*Ratio!AO90</f>
        <v>0.000712560413996658</v>
      </c>
      <c r="AP98" s="63" t="n">
        <f aca="false">AP41*Ratio!AP90</f>
        <v>0.0014768879819119</v>
      </c>
      <c r="AQ98" s="63" t="n">
        <f aca="false">AQ41*Ratio!AQ90</f>
        <v>0.00141637154516011</v>
      </c>
    </row>
    <row r="99" customFormat="false" ht="12.8" hidden="false" customHeight="false" outlineLevel="0" collapsed="false">
      <c r="B99" s="39"/>
      <c r="K99" s="40"/>
    </row>
    <row r="100" customFormat="false" ht="12.8" hidden="false" customHeight="false" outlineLevel="0" collapsed="false">
      <c r="A100" s="1" t="s">
        <v>103</v>
      </c>
      <c r="B100" s="39"/>
      <c r="K100" s="40"/>
    </row>
    <row r="101" customFormat="false" ht="12.8" hidden="false" customHeight="false" outlineLevel="0" collapsed="false">
      <c r="A101" s="189" t="s">
        <v>183</v>
      </c>
      <c r="B101" s="72" t="n">
        <f aca="false">B25*Ratio!B98</f>
        <v>5.26004120772383</v>
      </c>
      <c r="C101" s="72" t="n">
        <f aca="false">C25*Ratio!C98</f>
        <v>5.4594465005893</v>
      </c>
      <c r="D101" s="31" t="n">
        <f aca="false">D25*Ratio!D98</f>
        <v>5.4594465005893</v>
      </c>
      <c r="E101" s="96" t="n">
        <f aca="false">E25*Ratio!E98</f>
        <v>5.52869879011607</v>
      </c>
      <c r="F101" s="31" t="n">
        <f aca="false">F25*Ratio!F98</f>
        <v>5.67378618433032</v>
      </c>
      <c r="G101" s="96" t="n">
        <f aca="false">G25*Ratio!G98</f>
        <v>6.56486078987547</v>
      </c>
      <c r="H101" s="31" t="n">
        <f aca="false">H25*Ratio!H98</f>
        <v>6.60728967103009</v>
      </c>
      <c r="I101" s="74" t="n">
        <f aca="false">I25*Ratio!I98</f>
        <v>6.43390632395448</v>
      </c>
      <c r="J101" s="75" t="n">
        <f aca="false">J25*Ratio!J98</f>
        <v>6.49458314639297</v>
      </c>
      <c r="K101" s="96" t="n">
        <f aca="false">K25*Ratio!K98</f>
        <v>5.93465950669551</v>
      </c>
      <c r="L101" s="31" t="n">
        <f aca="false">L25*Ratio!L98</f>
        <v>5.9168476166575</v>
      </c>
      <c r="M101" s="96" t="n">
        <f aca="false">M25*Ratio!M98</f>
        <v>5.91291206863479</v>
      </c>
      <c r="N101" s="96" t="n">
        <f aca="false">N25*Ratio!N98</f>
        <v>6.0381550663846</v>
      </c>
      <c r="O101" s="31" t="n">
        <f aca="false">O25*Ratio!O98</f>
        <v>6.48715728374707</v>
      </c>
      <c r="P101" s="76" t="n">
        <f aca="false">P25*Ratio!P98</f>
        <v>5.83052768882395</v>
      </c>
      <c r="Q101" s="75" t="n">
        <f aca="false">Q25*Ratio!Q98</f>
        <v>5.54933949472672</v>
      </c>
      <c r="R101" s="31" t="n">
        <f aca="false">R25*Ratio!R98</f>
        <v>5.47481332459422</v>
      </c>
      <c r="S101" s="96" t="n">
        <f aca="false">S25*Ratio!S98</f>
        <v>5.33887843854738</v>
      </c>
      <c r="T101" s="31" t="n">
        <f aca="false">T25*Ratio!T98</f>
        <v>7.41520518460658</v>
      </c>
      <c r="U101" s="31" t="n">
        <f aca="false">U25*Ratio!U98</f>
        <v>6.34339882774768</v>
      </c>
      <c r="V101" s="96" t="n">
        <f aca="false">V25*Ratio!V98</f>
        <v>5.96341042753173</v>
      </c>
      <c r="W101" s="96" t="n">
        <f aca="false">W25*Ratio!W98</f>
        <v>5.18829533730915</v>
      </c>
      <c r="X101" s="74" t="n">
        <f aca="false">X25*Ratio!X98</f>
        <v>5.18047457380352</v>
      </c>
      <c r="Y101" s="75" t="n">
        <f aca="false">Y25*Ratio!Y98</f>
        <v>4.37088557234889</v>
      </c>
      <c r="Z101" s="31" t="n">
        <f aca="false">Z25*Ratio!Z98</f>
        <v>4.19298504566177</v>
      </c>
      <c r="AA101" s="96" t="n">
        <f aca="false">AA25*Ratio!AA98</f>
        <v>4.09623896094056</v>
      </c>
      <c r="AB101" s="31" t="n">
        <f aca="false">AB25*Ratio!AB98</f>
        <v>3.7647128097494</v>
      </c>
      <c r="AC101" s="76" t="n">
        <f aca="false">AC25*Ratio!AC98</f>
        <v>5.0383028637267</v>
      </c>
      <c r="AD101" s="75" t="n">
        <f aca="false">AD25*Ratio!AD98</f>
        <v>4.31177351664043</v>
      </c>
      <c r="AE101" s="31" t="n">
        <f aca="false">AE25*Ratio!AE98</f>
        <v>4.04281667564324</v>
      </c>
      <c r="AF101" s="96" t="n">
        <f aca="false">AF25*Ratio!AF98</f>
        <v>4.10856761348983</v>
      </c>
      <c r="AG101" s="31" t="n">
        <f aca="false">AG25*Ratio!AG98</f>
        <v>3.99483480786954</v>
      </c>
      <c r="AH101" s="31" t="n">
        <f aca="false">AH25*Ratio!AH98</f>
        <v>4.57826340406065</v>
      </c>
      <c r="AI101" s="74" t="n">
        <f aca="false">AI25*Ratio!AI98</f>
        <v>4.56345837062556</v>
      </c>
      <c r="AJ101" s="75" t="n">
        <f aca="false">AJ25*Ratio!AJ98</f>
        <v>4.81017861702777</v>
      </c>
      <c r="AK101" s="31" t="n">
        <f aca="false">AK25*Ratio!AK98</f>
        <v>4.18829700364364</v>
      </c>
      <c r="AL101" s="31" t="n">
        <f aca="false">AL25*Ratio!AL98</f>
        <v>4.25613983673905</v>
      </c>
      <c r="AM101" s="31" t="n">
        <f aca="false">AM25*Ratio!AM98</f>
        <v>4.21034196435754</v>
      </c>
      <c r="AN101" s="76" t="n">
        <f aca="false">AN25*Ratio!AN98</f>
        <v>4.14927804977349</v>
      </c>
      <c r="AO101" s="75" t="n">
        <f aca="false">AO25*Ratio!AO98</f>
        <v>4.09171279063096</v>
      </c>
      <c r="AP101" s="31" t="n">
        <f aca="false">AP25*Ratio!AP98</f>
        <v>4.15864581511067</v>
      </c>
      <c r="AQ101" s="31" t="n">
        <f aca="false">AQ25*Ratio!AQ98</f>
        <v>4.27051068316978</v>
      </c>
    </row>
    <row r="102" customFormat="false" ht="12.8" hidden="false" customHeight="false" outlineLevel="0" collapsed="false">
      <c r="A102" s="189" t="s">
        <v>31</v>
      </c>
      <c r="B102" s="72" t="n">
        <f aca="false">B26*Ratio!B100</f>
        <v>0.938817360908935</v>
      </c>
      <c r="C102" s="72" t="n">
        <f aca="false">C26*Ratio!C100</f>
        <v>0.930439563676609</v>
      </c>
      <c r="D102" s="31" t="n">
        <f aca="false">D26*Ratio!D100</f>
        <v>0.930439563676609</v>
      </c>
      <c r="E102" s="96" t="n">
        <f aca="false">E26*Ratio!E100</f>
        <v>0.741758788700939</v>
      </c>
      <c r="F102" s="31" t="n">
        <f aca="false">F26*Ratio!F100</f>
        <v>0.617938417518267</v>
      </c>
      <c r="G102" s="96" t="n">
        <f aca="false">G26*Ratio!G100</f>
        <v>0.437578815697978</v>
      </c>
      <c r="H102" s="31" t="n">
        <f aca="false">H26*Ratio!H100</f>
        <v>0.440406899972921</v>
      </c>
      <c r="I102" s="74" t="n">
        <f aca="false">I26*Ratio!I100</f>
        <v>0.39803059248922</v>
      </c>
      <c r="J102" s="75" t="n">
        <f aca="false">J26*Ratio!J100</f>
        <v>0.423551116982648</v>
      </c>
      <c r="K102" s="96" t="n">
        <f aca="false">K26*Ratio!K100</f>
        <v>0.686193053869148</v>
      </c>
      <c r="L102" s="31" t="n">
        <f aca="false">L26*Ratio!L100</f>
        <v>0.684133559940882</v>
      </c>
      <c r="M102" s="96" t="n">
        <f aca="false">M26*Ratio!M100</f>
        <v>0.691049070631233</v>
      </c>
      <c r="N102" s="96" t="n">
        <f aca="false">N26*Ratio!N100</f>
        <v>0.566365697229269</v>
      </c>
      <c r="O102" s="31" t="n">
        <f aca="false">O26*Ratio!O100</f>
        <v>0.149773475437494</v>
      </c>
      <c r="P102" s="76" t="n">
        <f aca="false">P26*Ratio!P100</f>
        <v>0.205707780674619</v>
      </c>
      <c r="Q102" s="75" t="n">
        <f aca="false">Q26*Ratio!Q100</f>
        <v>0.234640117902019</v>
      </c>
      <c r="R102" s="31" t="n">
        <f aca="false">R26*Ratio!R100</f>
        <v>0.203294822257966</v>
      </c>
      <c r="S102" s="96" t="n">
        <f aca="false">S26*Ratio!S100</f>
        <v>0.263583648547927</v>
      </c>
      <c r="T102" s="31" t="n">
        <f aca="false">T26*Ratio!T100</f>
        <v>0.176838755479399</v>
      </c>
      <c r="U102" s="31" t="n">
        <f aca="false">U26*Ratio!U100</f>
        <v>0.901330521634443</v>
      </c>
      <c r="V102" s="96" t="n">
        <f aca="false">V26*Ratio!V100</f>
        <v>0.918239077870786</v>
      </c>
      <c r="W102" s="96" t="n">
        <f aca="false">W26*Ratio!W100</f>
        <v>0.921040577902371</v>
      </c>
      <c r="X102" s="74" t="n">
        <f aca="false">X26*Ratio!X100</f>
        <v>0.919683222630384</v>
      </c>
      <c r="Y102" s="75" t="n">
        <f aca="false">Y26*Ratio!Y100</f>
        <v>0.944703520030073</v>
      </c>
      <c r="Z102" s="31" t="n">
        <f aca="false">Z26*Ratio!Z100</f>
        <v>0.945859036902816</v>
      </c>
      <c r="AA102" s="96" t="n">
        <f aca="false">AA26*Ratio!AA100</f>
        <v>1.06190085338865</v>
      </c>
      <c r="AB102" s="31" t="n">
        <f aca="false">AB26*Ratio!AB100</f>
        <v>0.915291705769829</v>
      </c>
      <c r="AC102" s="76" t="n">
        <f aca="false">AC26*Ratio!AC100</f>
        <v>0.434600989662261</v>
      </c>
      <c r="AD102" s="75" t="n">
        <f aca="false">AD26*Ratio!AD100</f>
        <v>0.465471948182634</v>
      </c>
      <c r="AE102" s="31" t="n">
        <f aca="false">AE26*Ratio!AE100</f>
        <v>0.529291218736583</v>
      </c>
      <c r="AF102" s="96" t="n">
        <f aca="false">AF26*Ratio!AF100</f>
        <v>0.412381164946783</v>
      </c>
      <c r="AG102" s="31" t="n">
        <f aca="false">AG26*Ratio!AG100</f>
        <v>0.4591614418828</v>
      </c>
      <c r="AH102" s="31" t="n">
        <f aca="false">AH26*Ratio!AH100</f>
        <v>0.678887240959442</v>
      </c>
      <c r="AI102" s="74" t="n">
        <f aca="false">AI26*Ratio!AI100</f>
        <v>1.5906950765555</v>
      </c>
      <c r="AJ102" s="75" t="n">
        <f aca="false">AJ26*Ratio!AJ100</f>
        <v>1.80117067916763</v>
      </c>
      <c r="AK102" s="31" t="n">
        <f aca="false">AK26*Ratio!AK100</f>
        <v>1.85083699794526</v>
      </c>
      <c r="AL102" s="31" t="n">
        <f aca="false">AL26*Ratio!AL100</f>
        <v>1.64740037472729</v>
      </c>
      <c r="AM102" s="31" t="n">
        <f aca="false">AM26*Ratio!AM100</f>
        <v>1.54947210848573</v>
      </c>
      <c r="AN102" s="76" t="n">
        <f aca="false">AN26*Ratio!AN100</f>
        <v>0.882643149314108</v>
      </c>
      <c r="AO102" s="75" t="n">
        <f aca="false">AO26*Ratio!AO100</f>
        <v>0.863424095105612</v>
      </c>
      <c r="AP102" s="31" t="n">
        <f aca="false">AP26*Ratio!AP100</f>
        <v>1.0104730835845</v>
      </c>
      <c r="AQ102" s="31" t="n">
        <f aca="false">AQ26*Ratio!AQ100</f>
        <v>0.815089399451166</v>
      </c>
    </row>
    <row r="103" customFormat="false" ht="12.8" hidden="false" customHeight="false" outlineLevel="0" collapsed="false">
      <c r="A103" s="189" t="s">
        <v>29</v>
      </c>
      <c r="B103" s="72" t="n">
        <f aca="false">B27*Ratio!B103</f>
        <v>1.07683922141918</v>
      </c>
      <c r="C103" s="72" t="n">
        <f aca="false">C27*Ratio!C103</f>
        <v>0.97657185162782</v>
      </c>
      <c r="D103" s="31" t="n">
        <f aca="false">D27*Ratio!D103</f>
        <v>0.97657185162782</v>
      </c>
      <c r="E103" s="96" t="n">
        <f aca="false">E27*Ratio!E103</f>
        <v>1.06286691334634</v>
      </c>
      <c r="F103" s="31" t="n">
        <f aca="false">F27*Ratio!F103</f>
        <v>0.684385433434096</v>
      </c>
      <c r="G103" s="96" t="n">
        <f aca="false">G27*Ratio!G103</f>
        <v>1.48217897361458</v>
      </c>
      <c r="H103" s="31" t="n">
        <f aca="false">H27*Ratio!H103</f>
        <v>1.3589923546876</v>
      </c>
      <c r="I103" s="74" t="n">
        <f aca="false">I27*Ratio!I103</f>
        <v>1.26794759641934</v>
      </c>
      <c r="J103" s="75" t="n">
        <f aca="false">J27*Ratio!J103</f>
        <v>1.15985522843899</v>
      </c>
      <c r="K103" s="96" t="n">
        <f aca="false">K27*Ratio!K103</f>
        <v>1.03571708380124</v>
      </c>
      <c r="L103" s="31" t="n">
        <f aca="false">L27*Ratio!L103</f>
        <v>0.990372546958082</v>
      </c>
      <c r="M103" s="96" t="n">
        <f aca="false">M27*Ratio!M103</f>
        <v>0.989713807884262</v>
      </c>
      <c r="N103" s="96" t="n">
        <f aca="false">N27*Ratio!N103</f>
        <v>0.90680884836108</v>
      </c>
      <c r="O103" s="31" t="n">
        <f aca="false">O27*Ratio!O103</f>
        <v>0.954243194348898</v>
      </c>
      <c r="P103" s="76" t="n">
        <f aca="false">P27*Ratio!P103</f>
        <v>0.946787497488654</v>
      </c>
      <c r="Q103" s="75" t="n">
        <f aca="false">Q27*Ratio!Q103</f>
        <v>1.07535378706936</v>
      </c>
      <c r="R103" s="31" t="n">
        <f aca="false">R27*Ratio!R103</f>
        <v>1.1786079016103</v>
      </c>
      <c r="S103" s="96" t="n">
        <f aca="false">S27*Ratio!S103</f>
        <v>1.17214277390701</v>
      </c>
      <c r="T103" s="31" t="n">
        <f aca="false">T27*Ratio!T103</f>
        <v>0.957834475437327</v>
      </c>
      <c r="U103" s="31" t="n">
        <f aca="false">U27*Ratio!U103</f>
        <v>0.696937213373387</v>
      </c>
      <c r="V103" s="96" t="n">
        <f aca="false">V27*Ratio!V103</f>
        <v>0.850342095446902</v>
      </c>
      <c r="W103" s="96" t="n">
        <f aca="false">W27*Ratio!W103</f>
        <v>0.852936445289622</v>
      </c>
      <c r="X103" s="74" t="n">
        <f aca="false">X27*Ratio!X103</f>
        <v>0.851679456391998</v>
      </c>
      <c r="Y103" s="75" t="n">
        <f aca="false">Y27*Ratio!Y103</f>
        <v>1.09643573702369</v>
      </c>
      <c r="Z103" s="31" t="n">
        <f aca="false">Z27*Ratio!Z103</f>
        <v>1.17713457158252</v>
      </c>
      <c r="AA103" s="96" t="n">
        <f aca="false">AA27*Ratio!AA103</f>
        <v>1.16874874237429</v>
      </c>
      <c r="AB103" s="31" t="n">
        <f aca="false">AB27*Ratio!AB103</f>
        <v>1.35085647347593</v>
      </c>
      <c r="AC103" s="76" t="n">
        <f aca="false">AC27*Ratio!AC103</f>
        <v>1.49148399905791</v>
      </c>
      <c r="AD103" s="75" t="n">
        <f aca="false">AD27*Ratio!AD103</f>
        <v>1.72347861005323</v>
      </c>
      <c r="AE103" s="31" t="n">
        <f aca="false">AE27*Ratio!AE103</f>
        <v>1.30922094560341</v>
      </c>
      <c r="AF103" s="96" t="n">
        <f aca="false">AF27*Ratio!AF103</f>
        <v>1.21564663963806</v>
      </c>
      <c r="AG103" s="31" t="n">
        <f aca="false">AG27*Ratio!AG103</f>
        <v>1.15853858927395</v>
      </c>
      <c r="AH103" s="31" t="n">
        <f aca="false">AH27*Ratio!AH103</f>
        <v>1.53845290237849</v>
      </c>
      <c r="AI103" s="74" t="n">
        <f aca="false">AI27*Ratio!AI103</f>
        <v>1.38657658704598</v>
      </c>
      <c r="AJ103" s="75" t="n">
        <f aca="false">AJ27*Ratio!AJ103</f>
        <v>1.18104637881094</v>
      </c>
      <c r="AK103" s="31" t="n">
        <f aca="false">AK27*Ratio!AK103</f>
        <v>1.24535569157619</v>
      </c>
      <c r="AL103" s="31" t="n">
        <f aca="false">AL27*Ratio!AL103</f>
        <v>1.26069890062604</v>
      </c>
      <c r="AM103" s="31" t="n">
        <f aca="false">AM27*Ratio!AM103</f>
        <v>1.15194472540477</v>
      </c>
      <c r="AN103" s="76" t="n">
        <f aca="false">AN27*Ratio!AN103</f>
        <v>0.995759777519396</v>
      </c>
      <c r="AO103" s="75" t="n">
        <f aca="false">AO27*Ratio!AO103</f>
        <v>0.878885332128118</v>
      </c>
      <c r="AP103" s="31" t="n">
        <f aca="false">AP27*Ratio!AP103</f>
        <v>0.766744288762856</v>
      </c>
      <c r="AQ103" s="31" t="n">
        <f aca="false">AQ27*Ratio!AQ103</f>
        <v>0.754548642704558</v>
      </c>
    </row>
    <row r="104" customFormat="false" ht="12.8" hidden="false" customHeight="false" outlineLevel="0" collapsed="false">
      <c r="A104" s="189" t="s">
        <v>187</v>
      </c>
      <c r="B104" s="72" t="n">
        <f aca="false">B28*Ratio!B105</f>
        <v>0.341252052141656</v>
      </c>
      <c r="C104" s="72" t="n">
        <f aca="false">C28*Ratio!C105</f>
        <v>0.344772079212471</v>
      </c>
      <c r="D104" s="31" t="n">
        <f aca="false">D28*Ratio!D105</f>
        <v>0.344772079212471</v>
      </c>
      <c r="E104" s="96" t="n">
        <f aca="false">E28*Ratio!E105</f>
        <v>0.337173956448851</v>
      </c>
      <c r="F104" s="31" t="n">
        <f aca="false">F28*Ratio!F105</f>
        <v>0.353973129028826</v>
      </c>
      <c r="G104" s="96" t="n">
        <f aca="false">G28*Ratio!G105</f>
        <v>0.198192404429641</v>
      </c>
      <c r="H104" s="31" t="n">
        <f aca="false">H28*Ratio!H105</f>
        <v>0.201449630336373</v>
      </c>
      <c r="I104" s="74" t="n">
        <f aca="false">I28*Ratio!I105</f>
        <v>0.230398070894199</v>
      </c>
      <c r="J104" s="75" t="n">
        <f aca="false">J28*Ratio!J105</f>
        <v>0.196899892681102</v>
      </c>
      <c r="K104" s="96" t="n">
        <f aca="false">K28*Ratio!K105</f>
        <v>0.203970173686273</v>
      </c>
      <c r="L104" s="31" t="n">
        <f aca="false">L28*Ratio!L105</f>
        <v>0.195679211150278</v>
      </c>
      <c r="M104" s="96" t="n">
        <f aca="false">M28*Ratio!M105</f>
        <v>0.195549056550663</v>
      </c>
      <c r="N104" s="96" t="n">
        <f aca="false">N28*Ratio!N105</f>
        <v>0.197641248832518</v>
      </c>
      <c r="O104" s="31" t="n">
        <f aca="false">O28*Ratio!O105</f>
        <v>0.218988774597873</v>
      </c>
      <c r="P104" s="76" t="n">
        <f aca="false">P28*Ratio!P105</f>
        <v>0.315014631333981</v>
      </c>
      <c r="Q104" s="75" t="n">
        <f aca="false">Q28*Ratio!Q105</f>
        <v>0.311465557360527</v>
      </c>
      <c r="R104" s="31" t="n">
        <f aca="false">R28*Ratio!R105</f>
        <v>0.276029963839224</v>
      </c>
      <c r="S104" s="96" t="n">
        <f aca="false">S28*Ratio!S105</f>
        <v>0.284689302432302</v>
      </c>
      <c r="T104" s="31" t="n">
        <f aca="false">T28*Ratio!T105</f>
        <v>0.256361439815724</v>
      </c>
      <c r="U104" s="31" t="n">
        <f aca="false">U28*Ratio!U105</f>
        <v>0.610149608398915</v>
      </c>
      <c r="V104" s="96" t="n">
        <f aca="false">V28*Ratio!V105</f>
        <v>0.520172648554863</v>
      </c>
      <c r="W104" s="96" t="n">
        <f aca="false">W28*Ratio!W105</f>
        <v>0.468295124169009</v>
      </c>
      <c r="X104" s="74" t="n">
        <f aca="false">X28*Ratio!X105</f>
        <v>0.487831343969183</v>
      </c>
      <c r="Y104" s="75" t="n">
        <f aca="false">Y28*Ratio!Y105</f>
        <v>0.577348251357294</v>
      </c>
      <c r="Z104" s="31" t="n">
        <f aca="false">Z28*Ratio!Z105</f>
        <v>0.51396343174802</v>
      </c>
      <c r="AA104" s="96" t="n">
        <f aca="false">AA28*Ratio!AA105</f>
        <v>0.581158789354796</v>
      </c>
      <c r="AB104" s="31" t="n">
        <f aca="false">AB28*Ratio!AB105</f>
        <v>0.590525609381279</v>
      </c>
      <c r="AC104" s="76" t="n">
        <f aca="false">AC28*Ratio!AC105</f>
        <v>0.469941360592063</v>
      </c>
      <c r="AD104" s="75" t="n">
        <f aca="false">AD28*Ratio!AD105</f>
        <v>0.526143406162574</v>
      </c>
      <c r="AE104" s="31" t="n">
        <f aca="false">AE28*Ratio!AE105</f>
        <v>0.608358942549585</v>
      </c>
      <c r="AF104" s="96" t="n">
        <f aca="false">AF28*Ratio!AF105</f>
        <v>0.658091871535469</v>
      </c>
      <c r="AG104" s="31" t="n">
        <f aca="false">AG28*Ratio!AG105</f>
        <v>0.80742592075676</v>
      </c>
      <c r="AH104" s="31" t="n">
        <f aca="false">AH28*Ratio!AH105</f>
        <v>0.784018684964659</v>
      </c>
      <c r="AI104" s="74" t="n">
        <f aca="false">AI28*Ratio!AI105</f>
        <v>0.923413928326372</v>
      </c>
      <c r="AJ104" s="75" t="n">
        <f aca="false">AJ28*Ratio!AJ105</f>
        <v>0.923427655237792</v>
      </c>
      <c r="AK104" s="31" t="n">
        <f aca="false">AK28*Ratio!AK105</f>
        <v>1.14566306831287</v>
      </c>
      <c r="AL104" s="31" t="n">
        <f aca="false">AL28*Ratio!AL105</f>
        <v>1.0604607479173</v>
      </c>
      <c r="AM104" s="31" t="n">
        <f aca="false">AM28*Ratio!AM105</f>
        <v>0.964981112458368</v>
      </c>
      <c r="AN104" s="76" t="n">
        <f aca="false">AN28*Ratio!AN105</f>
        <v>1.01111381921512</v>
      </c>
      <c r="AO104" s="75" t="n">
        <f aca="false">AO28*Ratio!AO105</f>
        <v>1.08881038973342</v>
      </c>
      <c r="AP104" s="31" t="n">
        <f aca="false">AP28*Ratio!AP105</f>
        <v>1.38718299002919</v>
      </c>
      <c r="AQ104" s="31" t="n">
        <f aca="false">AQ28*Ratio!AQ105</f>
        <v>1.31359976875457</v>
      </c>
    </row>
    <row r="105" customFormat="false" ht="12.8" hidden="false" customHeight="false" outlineLevel="0" collapsed="false">
      <c r="A105" s="189" t="s">
        <v>188</v>
      </c>
      <c r="B105" s="72" t="n">
        <f aca="false">B29*Ratio!B106</f>
        <v>0.314930260485424</v>
      </c>
      <c r="C105" s="72" t="n">
        <f aca="false">C29*Ratio!C106</f>
        <v>0.312119892916043</v>
      </c>
      <c r="D105" s="31" t="n">
        <f aca="false">D29*Ratio!D106</f>
        <v>0.312119892916043</v>
      </c>
      <c r="E105" s="96" t="n">
        <f aca="false">E29*Ratio!E106</f>
        <v>0.315232150292875</v>
      </c>
      <c r="F105" s="31" t="n">
        <f aca="false">F29*Ratio!F106</f>
        <v>0.323504659430163</v>
      </c>
      <c r="G105" s="96" t="n">
        <f aca="false">G29*Ratio!G106</f>
        <v>0.430049622062027</v>
      </c>
      <c r="H105" s="31" t="n">
        <f aca="false">H29*Ratio!H106</f>
        <v>0.432829044945327</v>
      </c>
      <c r="I105" s="74" t="n">
        <f aca="false">I29*Ratio!I106</f>
        <v>0.400787250139095</v>
      </c>
      <c r="J105" s="75" t="n">
        <f aca="false">J29*Ratio!J106</f>
        <v>0.407644695097016</v>
      </c>
      <c r="K105" s="96" t="n">
        <f aca="false">K29*Ratio!K106</f>
        <v>0.376266875781688</v>
      </c>
      <c r="L105" s="31" t="n">
        <f aca="false">L29*Ratio!L106</f>
        <v>0.375137573551492</v>
      </c>
      <c r="M105" s="96" t="n">
        <f aca="false">M29*Ratio!M106</f>
        <v>0.374888053531459</v>
      </c>
      <c r="N105" s="96" t="n">
        <f aca="false">N29*Ratio!N106</f>
        <v>0.376720072481017</v>
      </c>
      <c r="O105" s="31" t="n">
        <f aca="false">O29*Ratio!O106</f>
        <v>0.396900180618987</v>
      </c>
      <c r="P105" s="76" t="n">
        <f aca="false">P29*Ratio!P106</f>
        <v>0.449325639185167</v>
      </c>
      <c r="Q105" s="75" t="n">
        <f aca="false">Q29*Ratio!Q106</f>
        <v>0.425811456186089</v>
      </c>
      <c r="R105" s="31" t="n">
        <f aca="false">R29*Ratio!R106</f>
        <v>0.397129441649441</v>
      </c>
      <c r="S105" s="96" t="n">
        <f aca="false">S29*Ratio!S106</f>
        <v>0.394951030532824</v>
      </c>
      <c r="T105" s="31" t="n">
        <f aca="false">T29*Ratio!T106</f>
        <v>0.338894810302682</v>
      </c>
      <c r="U105" s="31" t="n">
        <f aca="false">U29*Ratio!U106</f>
        <v>0.556113837044403</v>
      </c>
      <c r="V105" s="96" t="n">
        <f aca="false">V29*Ratio!V106</f>
        <v>0.561801233550356</v>
      </c>
      <c r="W105" s="96" t="n">
        <f aca="false">W29*Ratio!W106</f>
        <v>0.563515260116493</v>
      </c>
      <c r="X105" s="74" t="n">
        <f aca="false">X29*Ratio!X106</f>
        <v>0.562684796804109</v>
      </c>
      <c r="Y105" s="75" t="n">
        <f aca="false">Y29*Ratio!Y106</f>
        <v>0.600263470805412</v>
      </c>
      <c r="Z105" s="31" t="n">
        <f aca="false">Z29*Ratio!Z106</f>
        <v>0.586715334456136</v>
      </c>
      <c r="AA105" s="96" t="n">
        <f aca="false">AA29*Ratio!AA106</f>
        <v>0.588815775955765</v>
      </c>
      <c r="AB105" s="31" t="n">
        <f aca="false">AB29*Ratio!AB106</f>
        <v>0.607872741885569</v>
      </c>
      <c r="AC105" s="76" t="n">
        <f aca="false">AC29*Ratio!AC106</f>
        <v>0.395831963755204</v>
      </c>
      <c r="AD105" s="75" t="n">
        <f aca="false">AD29*Ratio!AD106</f>
        <v>0.361835669357928</v>
      </c>
      <c r="AE105" s="31" t="n">
        <f aca="false">AE29*Ratio!AE106</f>
        <v>0.367991507492904</v>
      </c>
      <c r="AF105" s="96" t="n">
        <f aca="false">AF29*Ratio!AF106</f>
        <v>0.374007285808112</v>
      </c>
      <c r="AG105" s="31" t="n">
        <f aca="false">AG29*Ratio!AG106</f>
        <v>0.408573919625503</v>
      </c>
      <c r="AH105" s="31" t="n">
        <f aca="false">AH29*Ratio!AH106</f>
        <v>0.445966011063486</v>
      </c>
      <c r="AI105" s="74" t="n">
        <f aca="false">AI29*Ratio!AI106</f>
        <v>0.474940906391521</v>
      </c>
      <c r="AJ105" s="75" t="n">
        <f aca="false">AJ29*Ratio!AJ106</f>
        <v>0.500611892792106</v>
      </c>
      <c r="AK105" s="31" t="n">
        <f aca="false">AK29*Ratio!AK106</f>
        <v>0.487226230435304</v>
      </c>
      <c r="AL105" s="31" t="n">
        <f aca="false">AL29*Ratio!AL106</f>
        <v>0.447473690289321</v>
      </c>
      <c r="AM105" s="31" t="n">
        <f aca="false">AM29*Ratio!AM106</f>
        <v>0.579781859099037</v>
      </c>
      <c r="AN105" s="76" t="n">
        <f aca="false">AN29*Ratio!AN106</f>
        <v>0.573478989714141</v>
      </c>
      <c r="AO105" s="75" t="n">
        <f aca="false">AO29*Ratio!AO106</f>
        <v>0.479726438623005</v>
      </c>
      <c r="AP105" s="31" t="n">
        <f aca="false">AP29*Ratio!AP106</f>
        <v>0.455006244225377</v>
      </c>
      <c r="AQ105" s="31" t="n">
        <f aca="false">AQ29*Ratio!AQ106</f>
        <v>0.481018318424756</v>
      </c>
    </row>
    <row r="106" customFormat="false" ht="12.8" hidden="false" customHeight="false" outlineLevel="0" collapsed="false">
      <c r="A106" s="189" t="s">
        <v>190</v>
      </c>
      <c r="B106" s="72" t="n">
        <f aca="false">B30*Ratio!B108</f>
        <v>0.156859324435527</v>
      </c>
      <c r="C106" s="72" t="n">
        <f aca="false">C30*Ratio!C108</f>
        <v>0.155549495604381</v>
      </c>
      <c r="D106" s="31" t="n">
        <f aca="false">D30*Ratio!D108</f>
        <v>0.155549495604381</v>
      </c>
      <c r="E106" s="96" t="n">
        <f aca="false">E30*Ratio!E108</f>
        <v>0.157100534407561</v>
      </c>
      <c r="F106" s="31" t="n">
        <f aca="false">F30*Ratio!F108</f>
        <v>0.161223259850229</v>
      </c>
      <c r="G106" s="96" t="n">
        <f aca="false">G30*Ratio!G108</f>
        <v>0.221470186767418</v>
      </c>
      <c r="H106" s="31" t="n">
        <f aca="false">H30*Ratio!H108</f>
        <v>0.210128704550213</v>
      </c>
      <c r="I106" s="74" t="n">
        <f aca="false">I30*Ratio!I108</f>
        <v>0.214492345779308</v>
      </c>
      <c r="J106" s="75" t="n">
        <f aca="false">J30*Ratio!J108</f>
        <v>0.178273207240464</v>
      </c>
      <c r="K106" s="96" t="n">
        <f aca="false">K30*Ratio!K108</f>
        <v>0.169568411779301</v>
      </c>
      <c r="L106" s="31" t="n">
        <f aca="false">L30*Ratio!L108</f>
        <v>0.17899319320918</v>
      </c>
      <c r="M106" s="96" t="n">
        <f aca="false">M30*Ratio!M108</f>
        <v>0.178874137192657</v>
      </c>
      <c r="N106" s="96" t="n">
        <f aca="false">N30*Ratio!N108</f>
        <v>0.182662918913386</v>
      </c>
      <c r="O106" s="31" t="n">
        <f aca="false">O30*Ratio!O108</f>
        <v>0.191059854073773</v>
      </c>
      <c r="P106" s="76" t="n">
        <f aca="false">P30*Ratio!P108</f>
        <v>0.190406305299146</v>
      </c>
      <c r="Q106" s="75" t="n">
        <f aca="false">Q30*Ratio!Q108</f>
        <v>0.191908611294288</v>
      </c>
      <c r="R106" s="31" t="n">
        <f aca="false">R30*Ratio!R108</f>
        <v>0.208418225946622</v>
      </c>
      <c r="S106" s="96" t="n">
        <f aca="false">S30*Ratio!S108</f>
        <v>0.207300182839904</v>
      </c>
      <c r="T106" s="31" t="n">
        <f aca="false">T30*Ratio!T108</f>
        <v>0.187819671836978</v>
      </c>
      <c r="U106" s="31" t="n">
        <f aca="false">U30*Ratio!U108</f>
        <v>0.160225636474735</v>
      </c>
      <c r="V106" s="96" t="n">
        <f aca="false">V30*Ratio!V108</f>
        <v>0.203446618671983</v>
      </c>
      <c r="W106" s="96" t="n">
        <f aca="false">W30*Ratio!W108</f>
        <v>0.204067323804635</v>
      </c>
      <c r="X106" s="74" t="n">
        <f aca="false">X30*Ratio!X108</f>
        <v>0.203766585851876</v>
      </c>
      <c r="Y106" s="75" t="n">
        <f aca="false">Y30*Ratio!Y108</f>
        <v>0.217257654689046</v>
      </c>
      <c r="Z106" s="31" t="n">
        <f aca="false">Z30*Ratio!Z108</f>
        <v>0.227329640989455</v>
      </c>
      <c r="AA106" s="96" t="n">
        <f aca="false">AA30*Ratio!AA108</f>
        <v>0.192678970343281</v>
      </c>
      <c r="AB106" s="31" t="n">
        <f aca="false">AB30*Ratio!AB108</f>
        <v>0.20883372462797</v>
      </c>
      <c r="AC106" s="76" t="n">
        <f aca="false">AC30*Ratio!AC108</f>
        <v>0.296839572659908</v>
      </c>
      <c r="AD106" s="75" t="n">
        <f aca="false">AD30*Ratio!AD108</f>
        <v>0.292409942508348</v>
      </c>
      <c r="AE106" s="31" t="n">
        <f aca="false">AE30*Ratio!AE108</f>
        <v>0.287913375795859</v>
      </c>
      <c r="AF106" s="96" t="n">
        <f aca="false">AF30*Ratio!AF108</f>
        <v>0.292620068769758</v>
      </c>
      <c r="AG106" s="31" t="n">
        <f aca="false">AG30*Ratio!AG108</f>
        <v>0.280558656433544</v>
      </c>
      <c r="AH106" s="31" t="n">
        <f aca="false">AH30*Ratio!AH108</f>
        <v>0.421276595828797</v>
      </c>
      <c r="AI106" s="74" t="n">
        <f aca="false">AI30*Ratio!AI108</f>
        <v>0.384044524484776</v>
      </c>
      <c r="AJ106" s="75" t="n">
        <f aca="false">AJ30*Ratio!AJ108</f>
        <v>0.443459898063885</v>
      </c>
      <c r="AK106" s="31" t="n">
        <f aca="false">AK30*Ratio!AK108</f>
        <v>0.42684725682747</v>
      </c>
      <c r="AL106" s="31" t="n">
        <f aca="false">AL30*Ratio!AL108</f>
        <v>0.433799494195165</v>
      </c>
      <c r="AM106" s="31" t="n">
        <f aca="false">AM30*Ratio!AM108</f>
        <v>0.465386225334701</v>
      </c>
      <c r="AN106" s="76" t="n">
        <f aca="false">AN30*Ratio!AN108</f>
        <v>0.346957609328056</v>
      </c>
      <c r="AO106" s="75" t="n">
        <f aca="false">AO30*Ratio!AO108</f>
        <v>0.380648584335565</v>
      </c>
      <c r="AP106" s="31" t="n">
        <f aca="false">AP30*Ratio!AP108</f>
        <v>0.368156317073407</v>
      </c>
      <c r="AQ106" s="31" t="n">
        <f aca="false">AQ30*Ratio!AQ108</f>
        <v>0.348053738993576</v>
      </c>
    </row>
    <row r="107" customFormat="false" ht="12.8" hidden="false" customHeight="false" outlineLevel="0" collapsed="false">
      <c r="A107" s="189" t="s">
        <v>191</v>
      </c>
      <c r="B107" s="72" t="n">
        <f aca="false">B31*Ratio!B110</f>
        <v>0.540466117946847</v>
      </c>
      <c r="C107" s="72" t="n">
        <f aca="false">C31*Ratio!C110</f>
        <v>0.643599768851477</v>
      </c>
      <c r="D107" s="31" t="n">
        <f aca="false">D31*Ratio!D110</f>
        <v>0.643599768851477</v>
      </c>
      <c r="E107" s="96" t="n">
        <f aca="false">E31*Ratio!E110</f>
        <v>0.613246097656138</v>
      </c>
      <c r="F107" s="31" t="n">
        <f aca="false">F31*Ratio!F110</f>
        <v>0.642906711423412</v>
      </c>
      <c r="G107" s="96" t="n">
        <f aca="false">G31*Ratio!G110</f>
        <v>0.650542994590497</v>
      </c>
      <c r="H107" s="31" t="n">
        <f aca="false">H31*Ratio!H110</f>
        <v>0.616172494691107</v>
      </c>
      <c r="I107" s="74" t="n">
        <f aca="false">I31*Ratio!I110</f>
        <v>0.628968251024465</v>
      </c>
      <c r="J107" s="75" t="n">
        <f aca="false">J31*Ratio!J110</f>
        <v>0.580159524829215</v>
      </c>
      <c r="K107" s="96" t="n">
        <f aca="false">K31*Ratio!K110</f>
        <v>0.531422899175088</v>
      </c>
      <c r="L107" s="31" t="n">
        <f aca="false">L31*Ratio!L110</f>
        <v>0.626375661633199</v>
      </c>
      <c r="M107" s="96" t="n">
        <f aca="false">M31*Ratio!M110</f>
        <v>0.62595903243192</v>
      </c>
      <c r="N107" s="96" t="n">
        <f aca="false">N31*Ratio!N110</f>
        <v>0.635117456962346</v>
      </c>
      <c r="O107" s="31" t="n">
        <f aca="false">O31*Ratio!O110</f>
        <v>0.673102590079418</v>
      </c>
      <c r="P107" s="76" t="n">
        <f aca="false">P31*Ratio!P110</f>
        <v>0.463749147831076</v>
      </c>
      <c r="Q107" s="75" t="n">
        <f aca="false">Q31*Ratio!Q110</f>
        <v>1.028987953184</v>
      </c>
      <c r="R107" s="31" t="n">
        <f aca="false">R31*Ratio!R110</f>
        <v>0.864826405393364</v>
      </c>
      <c r="S107" s="96" t="n">
        <f aca="false">S31*Ratio!S110</f>
        <v>0.869923200065907</v>
      </c>
      <c r="T107" s="31" t="n">
        <f aca="false">T31*Ratio!T110</f>
        <v>0.774710348546975</v>
      </c>
      <c r="U107" s="31" t="n">
        <f aca="false">U31*Ratio!U110</f>
        <v>0.760772998724485</v>
      </c>
      <c r="V107" s="96" t="n">
        <f aca="false">V31*Ratio!V110</f>
        <v>0.739546711795174</v>
      </c>
      <c r="W107" s="96" t="n">
        <f aca="false">W31*Ratio!W110</f>
        <v>0.48224608258976</v>
      </c>
      <c r="X107" s="74" t="n">
        <f aca="false">X31*Ratio!X110</f>
        <v>0.481535387232462</v>
      </c>
      <c r="Y107" s="75" t="n">
        <f aca="false">Y31*Ratio!Y110</f>
        <v>0.533455529060788</v>
      </c>
      <c r="Z107" s="31" t="n">
        <f aca="false">Z31*Ratio!Z110</f>
        <v>0.477557467786577</v>
      </c>
      <c r="AA107" s="96" t="n">
        <f aca="false">AA31*Ratio!AA110</f>
        <v>0.49693095417935</v>
      </c>
      <c r="AB107" s="31" t="n">
        <f aca="false">AB31*Ratio!AB110</f>
        <v>0.447344285919546</v>
      </c>
      <c r="AC107" s="76" t="n">
        <f aca="false">AC31*Ratio!AC110</f>
        <v>0.397493981425665</v>
      </c>
      <c r="AD107" s="75" t="n">
        <f aca="false">AD31*Ratio!AD110</f>
        <v>6.63510823982906</v>
      </c>
      <c r="AE107" s="31" t="n">
        <f aca="false">AE31*Ratio!AE110</f>
        <v>7.10638586912882</v>
      </c>
      <c r="AF107" s="96" t="n">
        <f aca="false">AF31*Ratio!AF110</f>
        <v>6.44043031186343</v>
      </c>
      <c r="AG107" s="31" t="n">
        <f aca="false">AG31*Ratio!AG110</f>
        <v>3.83790470979842</v>
      </c>
      <c r="AH107" s="31" t="n">
        <f aca="false">AH31*Ratio!AH110</f>
        <v>11.0850241772283</v>
      </c>
      <c r="AI107" s="74" t="n">
        <f aca="false">AI31*Ratio!AI110</f>
        <v>12.7711015165805</v>
      </c>
      <c r="AJ107" s="75" t="n">
        <f aca="false">AJ31*Ratio!AJ110</f>
        <v>13.1812978372149</v>
      </c>
      <c r="AK107" s="31" t="n">
        <f aca="false">AK31*Ratio!AK110</f>
        <v>14.8162946296135</v>
      </c>
      <c r="AL107" s="31" t="n">
        <f aca="false">AL31*Ratio!AL110</f>
        <v>14.4629327934138</v>
      </c>
      <c r="AM107" s="31" t="n">
        <f aca="false">AM31*Ratio!AM110</f>
        <v>14.7731505830069</v>
      </c>
      <c r="AN107" s="76" t="n">
        <f aca="false">AN31*Ratio!AN110</f>
        <v>12.7203918107062</v>
      </c>
      <c r="AO107" s="75" t="n">
        <f aca="false">AO31*Ratio!AO110</f>
        <v>13.8441042416149</v>
      </c>
      <c r="AP107" s="31" t="n">
        <f aca="false">AP31*Ratio!AP110</f>
        <v>13.1869311692967</v>
      </c>
      <c r="AQ107" s="31" t="n">
        <f aca="false">AQ31*Ratio!AQ110</f>
        <v>12.9733435655506</v>
      </c>
    </row>
    <row r="108" customFormat="false" ht="12.8" hidden="false" customHeight="false" outlineLevel="0" collapsed="false">
      <c r="A108" s="189" t="s">
        <v>192</v>
      </c>
      <c r="B108" s="72" t="n">
        <f aca="false">B32*Ratio!B111</f>
        <v>0.105498646051374</v>
      </c>
      <c r="C108" s="72" t="n">
        <f aca="false">C32*Ratio!C111</f>
        <v>0.104553587196472</v>
      </c>
      <c r="D108" s="31" t="n">
        <f aca="false">D32*Ratio!D111</f>
        <v>0.104553587196472</v>
      </c>
      <c r="E108" s="96" t="n">
        <f aca="false">E32*Ratio!E111</f>
        <v>0.105596127836821</v>
      </c>
      <c r="F108" s="31" t="n">
        <f aca="false">F32*Ratio!F111</f>
        <v>0.10836724408109</v>
      </c>
      <c r="G108" s="96" t="n">
        <f aca="false">G32*Ratio!G111</f>
        <v>0.135906254185198</v>
      </c>
      <c r="H108" s="31" t="n">
        <f aca="false">H32*Ratio!H111</f>
        <v>0.129284146498697</v>
      </c>
      <c r="I108" s="74" t="n">
        <f aca="false">I32*Ratio!I111</f>
        <v>0.136530668916905</v>
      </c>
      <c r="J108" s="75" t="n">
        <f aca="false">J32*Ratio!J111</f>
        <v>0.138831952307769</v>
      </c>
      <c r="K108" s="96" t="n">
        <f aca="false">K32*Ratio!K111</f>
        <v>0.139880327585308</v>
      </c>
      <c r="L108" s="31" t="n">
        <f aca="false">L32*Ratio!L111</f>
        <v>0.13944484053075</v>
      </c>
      <c r="M108" s="96" t="n">
        <f aca="false">M32*Ratio!M111</f>
        <v>0.139352089812465</v>
      </c>
      <c r="N108" s="96" t="n">
        <f aca="false">N32*Ratio!N111</f>
        <v>0.14230374430491</v>
      </c>
      <c r="O108" s="31" t="n">
        <f aca="false">O32*Ratio!O111</f>
        <v>0.149847270709288</v>
      </c>
      <c r="P108" s="76" t="n">
        <f aca="false">P32*Ratio!P111</f>
        <v>0.208704008663388</v>
      </c>
      <c r="Q108" s="75" t="n">
        <f aca="false">Q32*Ratio!Q111</f>
        <v>0.209987741159939</v>
      </c>
      <c r="R108" s="31" t="n">
        <f aca="false">R32*Ratio!R111</f>
        <v>0.221893152873429</v>
      </c>
      <c r="S108" s="96" t="n">
        <f aca="false">S32*Ratio!S111</f>
        <v>0.220675981693894</v>
      </c>
      <c r="T108" s="31" t="n">
        <f aca="false">T32*Ratio!T111</f>
        <v>0.21025249279895</v>
      </c>
      <c r="U108" s="31" t="n">
        <f aca="false">U32*Ratio!U111</f>
        <v>0.411756071690737</v>
      </c>
      <c r="V108" s="96" t="n">
        <f aca="false">V32*Ratio!V111</f>
        <v>0.450007141480385</v>
      </c>
      <c r="W108" s="96" t="n">
        <f aca="false">W32*Ratio!W111</f>
        <v>0.45138009004188</v>
      </c>
      <c r="X108" s="74" t="n">
        <f aca="false">X32*Ratio!X111</f>
        <v>0.450714882493387</v>
      </c>
      <c r="Y108" s="75" t="n">
        <f aca="false">Y32*Ratio!Y111</f>
        <v>0.486020736603205</v>
      </c>
      <c r="Z108" s="31" t="n">
        <f aca="false">Z32*Ratio!Z111</f>
        <v>0.518202339919315</v>
      </c>
      <c r="AA108" s="96" t="n">
        <f aca="false">AA32*Ratio!AA111</f>
        <v>0.52989094040082</v>
      </c>
      <c r="AB108" s="31" t="n">
        <f aca="false">AB32*Ratio!AB111</f>
        <v>0.643051754931657</v>
      </c>
      <c r="AC108" s="76" t="n">
        <f aca="false">AC32*Ratio!AC111</f>
        <v>0.485664918697048</v>
      </c>
      <c r="AD108" s="75" t="n">
        <f aca="false">AD32*Ratio!AD111</f>
        <v>0.432195180682638</v>
      </c>
      <c r="AE108" s="31" t="n">
        <f aca="false">AE32*Ratio!AE111</f>
        <v>0.439401805297312</v>
      </c>
      <c r="AF108" s="96" t="n">
        <f aca="false">AF32*Ratio!AF111</f>
        <v>0.459098718352404</v>
      </c>
      <c r="AG108" s="31" t="n">
        <f aca="false">AG32*Ratio!AG111</f>
        <v>0.434019264752345</v>
      </c>
      <c r="AH108" s="31" t="n">
        <f aca="false">AH32*Ratio!AH111</f>
        <v>0.531964861857865</v>
      </c>
      <c r="AI108" s="74" t="n">
        <f aca="false">AI32*Ratio!AI111</f>
        <v>0.810746075023593</v>
      </c>
      <c r="AJ108" s="75" t="n">
        <f aca="false">AJ32*Ratio!AJ111</f>
        <v>0.801495149007624</v>
      </c>
      <c r="AK108" s="31" t="n">
        <f aca="false">AK32*Ratio!AK111</f>
        <v>0.856491687660893</v>
      </c>
      <c r="AL108" s="31" t="n">
        <f aca="false">AL32*Ratio!AL111</f>
        <v>0.870441721123292</v>
      </c>
      <c r="AM108" s="31" t="n">
        <f aca="false">AM32*Ratio!AM111</f>
        <v>0.894805937209118</v>
      </c>
      <c r="AN108" s="76" t="n">
        <f aca="false">AN32*Ratio!AN111</f>
        <v>0.483514257268708</v>
      </c>
      <c r="AO108" s="75" t="n">
        <f aca="false">AO32*Ratio!AO111</f>
        <v>0.416576290957385</v>
      </c>
      <c r="AP108" s="31" t="n">
        <f aca="false">AP32*Ratio!AP111</f>
        <v>0.350038564301352</v>
      </c>
      <c r="AQ108" s="31" t="n">
        <f aca="false">AQ32*Ratio!AQ111</f>
        <v>0.344248747623613</v>
      </c>
    </row>
    <row r="109" customFormat="false" ht="12.8" hidden="false" customHeight="false" outlineLevel="0" collapsed="false">
      <c r="A109" s="189" t="s">
        <v>193</v>
      </c>
      <c r="B109" s="72" t="n">
        <f aca="false">B33*Ratio!B112</f>
        <v>0.23416350194317</v>
      </c>
      <c r="C109" s="72" t="n">
        <f aca="false">C33*Ratio!C112</f>
        <v>0.229684820565216</v>
      </c>
      <c r="D109" s="31" t="n">
        <f aca="false">D33*Ratio!D112</f>
        <v>0.229684820565216</v>
      </c>
      <c r="E109" s="96" t="n">
        <f aca="false">E33*Ratio!E112</f>
        <v>0.23172231084248</v>
      </c>
      <c r="F109" s="31" t="n">
        <f aca="false">F33*Ratio!F112</f>
        <v>0.261362586886242</v>
      </c>
      <c r="G109" s="96" t="n">
        <f aca="false">G33*Ratio!G112</f>
        <v>0.246685461905802</v>
      </c>
      <c r="H109" s="31" t="n">
        <f aca="false">H33*Ratio!H112</f>
        <v>0.248022578347773</v>
      </c>
      <c r="I109" s="74" t="n">
        <f aca="false">I33*Ratio!I112</f>
        <v>0.253225655379493</v>
      </c>
      <c r="J109" s="75" t="n">
        <f aca="false">J33*Ratio!J112</f>
        <v>0.276129490932384</v>
      </c>
      <c r="K109" s="96" t="n">
        <f aca="false">K33*Ratio!K112</f>
        <v>0.28211235969237</v>
      </c>
      <c r="L109" s="31" t="n">
        <f aca="false">L33*Ratio!L112</f>
        <v>0.281265646528197</v>
      </c>
      <c r="M109" s="96" t="n">
        <f aca="false">M33*Ratio!M112</f>
        <v>0.281078564735532</v>
      </c>
      <c r="N109" s="96" t="n">
        <f aca="false">N33*Ratio!N112</f>
        <v>0.287032166216844</v>
      </c>
      <c r="O109" s="31" t="n">
        <f aca="false">O33*Ratio!O112</f>
        <v>0.306568671241095</v>
      </c>
      <c r="P109" s="76" t="n">
        <f aca="false">P33*Ratio!P112</f>
        <v>0.274919040570501</v>
      </c>
      <c r="Q109" s="75" t="n">
        <f aca="false">Q33*Ratio!Q112</f>
        <v>0.26875414642671</v>
      </c>
      <c r="R109" s="31" t="n">
        <f aca="false">R33*Ratio!R112</f>
        <v>0.279808583873815</v>
      </c>
      <c r="S109" s="96" t="n">
        <f aca="false">S33*Ratio!S112</f>
        <v>0.278273723786122</v>
      </c>
      <c r="T109" s="31" t="n">
        <f aca="false">T33*Ratio!T112</f>
        <v>0.259396250087276</v>
      </c>
      <c r="U109" s="31" t="n">
        <f aca="false">U33*Ratio!U112</f>
        <v>0.252732031208493</v>
      </c>
      <c r="V109" s="96" t="n">
        <f aca="false">V33*Ratio!V112</f>
        <v>0.266362452645959</v>
      </c>
      <c r="W109" s="96" t="n">
        <f aca="false">W33*Ratio!W112</f>
        <v>0.267175110740659</v>
      </c>
      <c r="X109" s="74" t="n">
        <f aca="false">X33*Ratio!X112</f>
        <v>0.266781369624568</v>
      </c>
      <c r="Y109" s="75" t="n">
        <f aca="false">Y33*Ratio!Y112</f>
        <v>0.286250525578534</v>
      </c>
      <c r="Z109" s="31" t="n">
        <f aca="false">Z33*Ratio!Z112</f>
        <v>0.329849686456115</v>
      </c>
      <c r="AA109" s="96" t="n">
        <f aca="false">AA33*Ratio!AA112</f>
        <v>0.337289794126288</v>
      </c>
      <c r="AB109" s="31" t="n">
        <f aca="false">AB33*Ratio!AB112</f>
        <v>0.388386514218363</v>
      </c>
      <c r="AC109" s="76" t="n">
        <f aca="false">AC33*Ratio!AC112</f>
        <v>0.212655289076946</v>
      </c>
      <c r="AD109" s="75" t="n">
        <f aca="false">AD33*Ratio!AD112</f>
        <v>0.227858559754156</v>
      </c>
      <c r="AE109" s="31" t="n">
        <f aca="false">AE33*Ratio!AE112</f>
        <v>0.397167082499271</v>
      </c>
      <c r="AF109" s="96" t="n">
        <f aca="false">AF33*Ratio!AF112</f>
        <v>0.40365981147199</v>
      </c>
      <c r="AG109" s="31" t="n">
        <f aca="false">AG33*Ratio!AG112</f>
        <v>0.409213977175342</v>
      </c>
      <c r="AH109" s="31" t="n">
        <f aca="false">AH33*Ratio!AH112</f>
        <v>0.391182846596679</v>
      </c>
      <c r="AI109" s="74" t="n">
        <f aca="false">AI33*Ratio!AI112</f>
        <v>0.356610435507971</v>
      </c>
      <c r="AJ109" s="75" t="n">
        <f aca="false">AJ33*Ratio!AJ112</f>
        <v>0.310233157067851</v>
      </c>
      <c r="AK109" s="31" t="n">
        <f aca="false">AK33*Ratio!AK112</f>
        <v>0.320902566483038</v>
      </c>
      <c r="AL109" s="31" t="n">
        <f aca="false">AL33*Ratio!AL112</f>
        <v>0.326129238971633</v>
      </c>
      <c r="AM109" s="31" t="n">
        <f aca="false">AM33*Ratio!AM112</f>
        <v>0.302563493941375</v>
      </c>
      <c r="AN109" s="76" t="n">
        <f aca="false">AN33*Ratio!AN112</f>
        <v>0.266391091598089</v>
      </c>
      <c r="AO109" s="75" t="n">
        <f aca="false">AO33*Ratio!AO112</f>
        <v>0.293812517644381</v>
      </c>
      <c r="AP109" s="31" t="n">
        <f aca="false">AP33*Ratio!AP112</f>
        <v>0.278672425358717</v>
      </c>
      <c r="AQ109" s="31" t="n">
        <f aca="false">AQ33*Ratio!AQ112</f>
        <v>0.286553848342953</v>
      </c>
    </row>
    <row r="110" customFormat="false" ht="12.8" hidden="false" customHeight="false" outlineLevel="0" collapsed="false">
      <c r="A110" s="189" t="s">
        <v>194</v>
      </c>
      <c r="B110" s="72" t="n">
        <f aca="false">B34*Ratio!B113</f>
        <v>0.219936717896577</v>
      </c>
      <c r="C110" s="72" t="n">
        <f aca="false">C34*Ratio!C113</f>
        <v>0.217974051564228</v>
      </c>
      <c r="D110" s="31" t="n">
        <f aca="false">D34*Ratio!D113</f>
        <v>0.217974051564228</v>
      </c>
      <c r="E110" s="96" t="n">
        <f aca="false">E34*Ratio!E113</f>
        <v>0.2201475476</v>
      </c>
      <c r="F110" s="31" t="n">
        <f aca="false">F34*Ratio!F113</f>
        <v>0.196868569825404</v>
      </c>
      <c r="G110" s="96" t="n">
        <f aca="false">G34*Ratio!G113</f>
        <v>0.217093213567663</v>
      </c>
      <c r="H110" s="31" t="n">
        <f aca="false">H34*Ratio!H113</f>
        <v>0.21849629315347</v>
      </c>
      <c r="I110" s="74" t="n">
        <f aca="false">I34*Ratio!I113</f>
        <v>0.19954174832042</v>
      </c>
      <c r="J110" s="75" t="n">
        <f aca="false">J34*Ratio!J113</f>
        <v>0.202905110668503</v>
      </c>
      <c r="K110" s="96" t="n">
        <f aca="false">K34*Ratio!K113</f>
        <v>0.193249460008311</v>
      </c>
      <c r="L110" s="31" t="n">
        <f aca="false">L34*Ratio!L113</f>
        <v>0.192669454006671</v>
      </c>
      <c r="M110" s="96" t="n">
        <f aca="false">M34*Ratio!M113</f>
        <v>0.192541301325061</v>
      </c>
      <c r="N110" s="96" t="n">
        <f aca="false">N34*Ratio!N113</f>
        <v>0.196619570964232</v>
      </c>
      <c r="O110" s="31" t="n">
        <f aca="false">O34*Ratio!O113</f>
        <v>0.207042381217266</v>
      </c>
      <c r="P110" s="76" t="n">
        <f aca="false">P34*Ratio!P113</f>
        <v>0.149367011051621</v>
      </c>
      <c r="Q110" s="75" t="n">
        <f aca="false">Q34*Ratio!Q113</f>
        <v>0.150545516962056</v>
      </c>
      <c r="R110" s="31" t="n">
        <f aca="false">R34*Ratio!R113</f>
        <v>0.153723673960937</v>
      </c>
      <c r="S110" s="96" t="n">
        <f aca="false">S34*Ratio!S113</f>
        <v>0.152880439173677</v>
      </c>
      <c r="T110" s="31" t="n">
        <f aca="false">T34*Ratio!T113</f>
        <v>0.138513886107224</v>
      </c>
      <c r="U110" s="31" t="n">
        <f aca="false">U34*Ratio!U113</f>
        <v>0.109703336693197</v>
      </c>
      <c r="V110" s="96" t="n">
        <f aca="false">V34*Ratio!V113</f>
        <v>0.110825276721009</v>
      </c>
      <c r="W110" s="96" t="n">
        <f aca="false">W34*Ratio!W113</f>
        <v>0.111163398920027</v>
      </c>
      <c r="X110" s="74" t="n">
        <f aca="false">X34*Ratio!X113</f>
        <v>0.110999575274038</v>
      </c>
      <c r="Y110" s="75" t="n">
        <f aca="false">Y34*Ratio!Y113</f>
        <v>0.118412636506894</v>
      </c>
      <c r="Z110" s="31" t="n">
        <f aca="false">Z34*Ratio!Z113</f>
        <v>0.118040259215324</v>
      </c>
      <c r="AA110" s="96" t="n">
        <f aca="false">AA34*Ratio!AA113</f>
        <v>0.120702781794662</v>
      </c>
      <c r="AB110" s="31" t="n">
        <f aca="false">AB34*Ratio!AB113</f>
        <v>0.16913140599166</v>
      </c>
      <c r="AC110" s="76" t="n">
        <f aca="false">AC34*Ratio!AC113</f>
        <v>0.193075795108857</v>
      </c>
      <c r="AD110" s="75" t="n">
        <f aca="false">AD34*Ratio!AD113</f>
        <v>0.206879277669761</v>
      </c>
      <c r="AE110" s="31" t="n">
        <f aca="false">AE34*Ratio!AE113</f>
        <v>0.176981553223041</v>
      </c>
      <c r="AF110" s="96" t="n">
        <f aca="false">AF34*Ratio!AF113</f>
        <v>0.179874777029549</v>
      </c>
      <c r="AG110" s="31" t="n">
        <f aca="false">AG34*Ratio!AG113</f>
        <v>0.182349767823981</v>
      </c>
      <c r="AH110" s="31" t="n">
        <f aca="false">AH34*Ratio!AH113</f>
        <v>0.152891892991544</v>
      </c>
      <c r="AI110" s="74" t="n">
        <f aca="false">AI34*Ratio!AI113</f>
        <v>0.139379436035362</v>
      </c>
      <c r="AJ110" s="75" t="n">
        <f aca="false">AJ34*Ratio!AJ113</f>
        <v>0.137789062809228</v>
      </c>
      <c r="AK110" s="31" t="n">
        <f aca="false">AK34*Ratio!AK113</f>
        <v>0.142527846819104</v>
      </c>
      <c r="AL110" s="31" t="n">
        <f aca="false">AL34*Ratio!AL113</f>
        <v>0.14484925666008</v>
      </c>
      <c r="AM110" s="31" t="n">
        <f aca="false">AM34*Ratio!AM113</f>
        <v>0.143909061691158</v>
      </c>
      <c r="AN110" s="76" t="n">
        <f aca="false">AN34*Ratio!AN113</f>
        <v>0.233883397113363</v>
      </c>
      <c r="AO110" s="75" t="n">
        <f aca="false">AO34*Ratio!AO113</f>
        <v>0.28195769537644</v>
      </c>
      <c r="AP110" s="31" t="n">
        <f aca="false">AP34*Ratio!AP113</f>
        <v>0.267428479389055</v>
      </c>
      <c r="AQ110" s="31" t="n">
        <f aca="false">AQ34*Ratio!AQ113</f>
        <v>0.274622131575881</v>
      </c>
    </row>
    <row r="111" customFormat="false" ht="12.8" hidden="false" customHeight="false" outlineLevel="0" collapsed="false">
      <c r="A111" s="189" t="s">
        <v>195</v>
      </c>
      <c r="B111" s="72" t="n">
        <f aca="false">B35*Ratio!B114</f>
        <v>0.167731970115104</v>
      </c>
      <c r="C111" s="72" t="n">
        <f aca="false">C35*Ratio!C114</f>
        <v>0.164045156959162</v>
      </c>
      <c r="D111" s="31" t="n">
        <f aca="false">D35*Ratio!D114</f>
        <v>0.164045156959162</v>
      </c>
      <c r="E111" s="96" t="n">
        <f aca="false">E35*Ratio!E114</f>
        <v>0.16544976116074</v>
      </c>
      <c r="F111" s="31" t="n">
        <f aca="false">F35*Ratio!F114</f>
        <v>0.191787033048175</v>
      </c>
      <c r="G111" s="96" t="n">
        <f aca="false">G35*Ratio!G114</f>
        <v>0.178186918317157</v>
      </c>
      <c r="H111" s="31" t="n">
        <f aca="false">H35*Ratio!H114</f>
        <v>0.179159386029185</v>
      </c>
      <c r="I111" s="74" t="n">
        <f aca="false">I35*Ratio!I114</f>
        <v>0.182916478371909</v>
      </c>
      <c r="J111" s="75" t="n">
        <f aca="false">J35*Ratio!J114</f>
        <v>0.198979791679411</v>
      </c>
      <c r="K111" s="96" t="n">
        <f aca="false">K35*Ratio!K114</f>
        <v>0.203193959320611</v>
      </c>
      <c r="L111" s="31" t="n">
        <f aca="false">L35*Ratio!L114</f>
        <v>0.202584106563983</v>
      </c>
      <c r="M111" s="96" t="n">
        <f aca="false">M35*Ratio!M114</f>
        <v>0.202449359223562</v>
      </c>
      <c r="N111" s="96" t="n">
        <f aca="false">N35*Ratio!N114</f>
        <v>0.20673749413025</v>
      </c>
      <c r="O111" s="31" t="n">
        <f aca="false">O35*Ratio!O114</f>
        <v>0.220706287026772</v>
      </c>
      <c r="P111" s="76" t="n">
        <f aca="false">P35*Ratio!P114</f>
        <v>0.286455515504987</v>
      </c>
      <c r="Q111" s="75" t="n">
        <f aca="false">Q35*Ratio!Q114</f>
        <v>0.330946036395198</v>
      </c>
      <c r="R111" s="31" t="n">
        <f aca="false">R35*Ratio!R114</f>
        <v>0.337932617484067</v>
      </c>
      <c r="S111" s="96" t="n">
        <f aca="false">S35*Ratio!S114</f>
        <v>0.33607892422089</v>
      </c>
      <c r="T111" s="31" t="n">
        <f aca="false">T35*Ratio!T114</f>
        <v>0.304496756316134</v>
      </c>
      <c r="U111" s="31" t="n">
        <f aca="false">U35*Ratio!U114</f>
        <v>0.326013759903909</v>
      </c>
      <c r="V111" s="96" t="n">
        <f aca="false">V35*Ratio!V114</f>
        <v>0.329347914523806</v>
      </c>
      <c r="W111" s="96" t="n">
        <f aca="false">W35*Ratio!W114</f>
        <v>0.330352738011694</v>
      </c>
      <c r="X111" s="74" t="n">
        <f aca="false">X35*Ratio!X114</f>
        <v>0.329865890807223</v>
      </c>
      <c r="Y111" s="75" t="n">
        <f aca="false">Y35*Ratio!Y114</f>
        <v>0.351895849400736</v>
      </c>
      <c r="Z111" s="31" t="n">
        <f aca="false">Z35*Ratio!Z114</f>
        <v>0.40568540310094</v>
      </c>
      <c r="AA111" s="96" t="n">
        <f aca="false">AA35*Ratio!AA114</f>
        <v>0.414836065366887</v>
      </c>
      <c r="AB111" s="31" t="n">
        <f aca="false">AB35*Ratio!AB114</f>
        <v>0.449550542087708</v>
      </c>
      <c r="AC111" s="76" t="n">
        <f aca="false">AC35*Ratio!AC114</f>
        <v>0.478635326234306</v>
      </c>
      <c r="AD111" s="75" t="n">
        <f aca="false">AD35*Ratio!AD114</f>
        <v>0.512854190255985</v>
      </c>
      <c r="AE111" s="31" t="n">
        <f aca="false">AE35*Ratio!AE114</f>
        <v>0.575413847006811</v>
      </c>
      <c r="AF111" s="96" t="n">
        <f aca="false">AF35*Ratio!AF114</f>
        <v>0.584820482955226</v>
      </c>
      <c r="AG111" s="31" t="n">
        <f aca="false">AG35*Ratio!AG114</f>
        <v>0.592867332744911</v>
      </c>
      <c r="AH111" s="31" t="n">
        <f aca="false">AH35*Ratio!AH114</f>
        <v>0.534490570222825</v>
      </c>
      <c r="AI111" s="74" t="n">
        <f aca="false">AI35*Ratio!AI114</f>
        <v>0.487352720308457</v>
      </c>
      <c r="AJ111" s="75" t="n">
        <f aca="false">AJ35*Ratio!AJ114</f>
        <v>0.432695420870394</v>
      </c>
      <c r="AK111" s="31" t="n">
        <f aca="false">AK35*Ratio!AK114</f>
        <v>0.393987385104693</v>
      </c>
      <c r="AL111" s="31" t="n">
        <f aca="false">AL35*Ratio!AL114</f>
        <v>0.360656922207833</v>
      </c>
      <c r="AM111" s="31" t="n">
        <f aca="false">AM35*Ratio!AM114</f>
        <v>0.34373001050606</v>
      </c>
      <c r="AN111" s="76" t="n">
        <f aca="false">AN35*Ratio!AN114</f>
        <v>0.261168569029938</v>
      </c>
      <c r="AO111" s="75" t="n">
        <f aca="false">AO35*Ratio!AO114</f>
        <v>0.217796915372888</v>
      </c>
      <c r="AP111" s="31" t="n">
        <f aca="false">AP35*Ratio!AP114</f>
        <v>0.198349076155059</v>
      </c>
      <c r="AQ111" s="31" t="n">
        <f aca="false">AQ35*Ratio!AQ114</f>
        <v>0.189334663598401</v>
      </c>
    </row>
    <row r="112" customFormat="false" ht="12.8" hidden="false" customHeight="false" outlineLevel="0" collapsed="false">
      <c r="A112" s="189" t="s">
        <v>196</v>
      </c>
      <c r="B112" s="72" t="n">
        <f aca="false">B36*Ratio!B115</f>
        <v>0.154373928622123</v>
      </c>
      <c r="C112" s="72" t="n">
        <f aca="false">C36*Ratio!C115</f>
        <v>0.153880546866698</v>
      </c>
      <c r="D112" s="31" t="n">
        <f aca="false">D36*Ratio!D115</f>
        <v>0.153880546866698</v>
      </c>
      <c r="E112" s="96" t="n">
        <f aca="false">E36*Ratio!E115</f>
        <v>0.118288982399451</v>
      </c>
      <c r="F112" s="31" t="n">
        <f aca="false">F36*Ratio!F115</f>
        <v>0.121393192064712</v>
      </c>
      <c r="G112" s="96" t="n">
        <f aca="false">G36*Ratio!G115</f>
        <v>0.133864121601213</v>
      </c>
      <c r="H112" s="31" t="n">
        <f aca="false">H36*Ratio!H115</f>
        <v>0.134168776043031</v>
      </c>
      <c r="I112" s="74" t="n">
        <f aca="false">I36*Ratio!I115</f>
        <v>0.136764447768404</v>
      </c>
      <c r="J112" s="75" t="n">
        <f aca="false">J36*Ratio!J115</f>
        <v>0.139069671602776</v>
      </c>
      <c r="K112" s="96" t="n">
        <f aca="false">K36*Ratio!K115</f>
        <v>0.140051669290193</v>
      </c>
      <c r="L112" s="31" t="n">
        <f aca="false">L36*Ratio!L115</f>
        <v>0.139631327578892</v>
      </c>
      <c r="M112" s="96" t="n">
        <f aca="false">M36*Ratio!M115</f>
        <v>0.139538452820107</v>
      </c>
      <c r="N112" s="96" t="n">
        <f aca="false">N36*Ratio!N115</f>
        <v>0.142494054718073</v>
      </c>
      <c r="O112" s="31" t="n">
        <f aca="false">O36*Ratio!O115</f>
        <v>0.150047669484031</v>
      </c>
      <c r="P112" s="76" t="n">
        <f aca="false">P36*Ratio!P115</f>
        <v>0.164643122725405</v>
      </c>
      <c r="Q112" s="75" t="n">
        <f aca="false">Q36*Ratio!Q115</f>
        <v>0.155447632447143</v>
      </c>
      <c r="R112" s="31" t="n">
        <f aca="false">R36*Ratio!R115</f>
        <v>0.163127055151195</v>
      </c>
      <c r="S112" s="96" t="n">
        <f aca="false">S36*Ratio!S115</f>
        <v>0.162232239121221</v>
      </c>
      <c r="T112" s="31" t="n">
        <f aca="false">T36*Ratio!T115</f>
        <v>0.152113006498806</v>
      </c>
      <c r="U112" s="31" t="n">
        <f aca="false">U36*Ratio!U115</f>
        <v>0.150729511161645</v>
      </c>
      <c r="V112" s="96" t="n">
        <f aca="false">V36*Ratio!V115</f>
        <v>0.152271027372931</v>
      </c>
      <c r="W112" s="96" t="n">
        <f aca="false">W36*Ratio!W115</f>
        <v>0.152735598417962</v>
      </c>
      <c r="X112" s="74" t="n">
        <f aca="false">X36*Ratio!X115</f>
        <v>0.152510509019399</v>
      </c>
      <c r="Y112" s="75" t="n">
        <f aca="false">Y36*Ratio!Y115</f>
        <v>0.162695860983347</v>
      </c>
      <c r="Z112" s="31" t="n">
        <f aca="false">Z36*Ratio!Z115</f>
        <v>0.16229314242382</v>
      </c>
      <c r="AA112" s="96" t="n">
        <f aca="false">AA36*Ratio!AA115</f>
        <v>0.165953835470817</v>
      </c>
      <c r="AB112" s="31" t="n">
        <f aca="false">AB36*Ratio!AB115</f>
        <v>0.183449939870537</v>
      </c>
      <c r="AC112" s="76" t="n">
        <f aca="false">AC36*Ratio!AC115</f>
        <v>0.367178564698544</v>
      </c>
      <c r="AD112" s="75" t="n">
        <f aca="false">AD36*Ratio!AD115</f>
        <v>0.27652916413292</v>
      </c>
      <c r="AE112" s="31" t="n">
        <f aca="false">AE36*Ratio!AE115</f>
        <v>0.243638879684723</v>
      </c>
      <c r="AF112" s="96" t="n">
        <f aca="false">AF36*Ratio!AF115</f>
        <v>0.231757854064813</v>
      </c>
      <c r="AG112" s="31" t="n">
        <f aca="false">AG36*Ratio!AG115</f>
        <v>0.234946731153754</v>
      </c>
      <c r="AH112" s="31" t="n">
        <f aca="false">AH36*Ratio!AH115</f>
        <v>0.216548629165784</v>
      </c>
      <c r="AI112" s="74" t="n">
        <f aca="false">AI36*Ratio!AI115</f>
        <v>0.197410243386986</v>
      </c>
      <c r="AJ112" s="75" t="n">
        <f aca="false">AJ36*Ratio!AJ115</f>
        <v>0.0923783314567881</v>
      </c>
      <c r="AK112" s="31" t="n">
        <f aca="false">AK36*Ratio!AK115</f>
        <v>0.107858351656912</v>
      </c>
      <c r="AL112" s="31" t="n">
        <f aca="false">AL36*Ratio!AL115</f>
        <v>0.124590282410815</v>
      </c>
      <c r="AM112" s="31" t="n">
        <f aca="false">AM36*Ratio!AM115</f>
        <v>0.160965236144467</v>
      </c>
      <c r="AN112" s="76" t="n">
        <f aca="false">AN36*Ratio!AN115</f>
        <v>0.0237868161353323</v>
      </c>
      <c r="AO112" s="75" t="n">
        <f aca="false">AO36*Ratio!AO115</f>
        <v>0.0244993533150541</v>
      </c>
      <c r="AP112" s="31" t="n">
        <f aca="false">AP36*Ratio!AP115</f>
        <v>0.032177182996393</v>
      </c>
      <c r="AQ112" s="31" t="n">
        <f aca="false">AQ36*Ratio!AQ115</f>
        <v>0.0330427282941739</v>
      </c>
    </row>
    <row r="113" customFormat="false" ht="12.8" hidden="false" customHeight="false" outlineLevel="0" collapsed="false">
      <c r="A113" s="189" t="s">
        <v>197</v>
      </c>
      <c r="B113" s="72" t="n">
        <f aca="false">B37*Ratio!B116</f>
        <v>0.0530682424007349</v>
      </c>
      <c r="C113" s="72" t="n">
        <f aca="false">C37*Ratio!C116</f>
        <v>0.0441363213253384</v>
      </c>
      <c r="D113" s="31" t="n">
        <f aca="false">D37*Ratio!D116</f>
        <v>0.0441363213253384</v>
      </c>
      <c r="E113" s="96" t="n">
        <f aca="false">E37*Ratio!E116</f>
        <v>0.0445764201295116</v>
      </c>
      <c r="F113" s="31" t="n">
        <f aca="false">F37*Ratio!F116</f>
        <v>0.0516683493214197</v>
      </c>
      <c r="G113" s="96" t="n">
        <f aca="false">G37*Ratio!G116</f>
        <v>0.0765081628062502</v>
      </c>
      <c r="H113" s="31" t="n">
        <f aca="false">H37*Ratio!H116</f>
        <v>0.0770026372286281</v>
      </c>
      <c r="I113" s="74" t="n">
        <f aca="false">I37*Ratio!I116</f>
        <v>0.0786017137721169</v>
      </c>
      <c r="J113" s="75" t="n">
        <f aca="false">J37*Ratio!J116</f>
        <v>0.057882815919974</v>
      </c>
      <c r="K113" s="96" t="n">
        <f aca="false">K37*Ratio!K116</f>
        <v>0.0582915376111919</v>
      </c>
      <c r="L113" s="31" t="n">
        <f aca="false">L37*Ratio!L116</f>
        <v>0.0451573303180891</v>
      </c>
      <c r="M113" s="96" t="n">
        <f aca="false">M37*Ratio!M116</f>
        <v>0.0451272942492973</v>
      </c>
      <c r="N113" s="96" t="n">
        <f aca="false">N37*Ratio!N116</f>
        <v>0.0460831477351119</v>
      </c>
      <c r="O113" s="31" t="n">
        <f aca="false">O37*Ratio!O116</f>
        <v>0.0356454405382929</v>
      </c>
      <c r="P113" s="76" t="n">
        <f aca="false">P37*Ratio!P116</f>
        <v>0.04147283152033</v>
      </c>
      <c r="Q113" s="75" t="n">
        <f aca="false">Q37*Ratio!Q116</f>
        <v>0.0536560449095212</v>
      </c>
      <c r="R113" s="31" t="n">
        <f aca="false">R37*Ratio!R116</f>
        <v>0.0521035411199574</v>
      </c>
      <c r="S113" s="96" t="n">
        <f aca="false">S37*Ratio!S116</f>
        <v>0.0518177327127051</v>
      </c>
      <c r="T113" s="31" t="n">
        <f aca="false">T37*Ratio!T116</f>
        <v>0.0459967958954607</v>
      </c>
      <c r="U113" s="31" t="n">
        <f aca="false">U37*Ratio!U116</f>
        <v>0.0355961059364009</v>
      </c>
      <c r="V113" s="96" t="n">
        <f aca="false">V37*Ratio!V116</f>
        <v>0.0351790168147181</v>
      </c>
      <c r="W113" s="96" t="n">
        <f aca="false">W37*Ratio!W116</f>
        <v>0.0352863461792515</v>
      </c>
      <c r="X113" s="74" t="n">
        <f aca="false">X37*Ratio!X116</f>
        <v>0.0338468237196502</v>
      </c>
      <c r="Y113" s="75" t="n">
        <f aca="false">Y37*Ratio!Y116</f>
        <v>0.0335460282310756</v>
      </c>
      <c r="Z113" s="31" t="n">
        <f aca="false">Z37*Ratio!Z116</f>
        <v>0.0334405345987731</v>
      </c>
      <c r="AA113" s="96" t="n">
        <f aca="false">AA37*Ratio!AA116</f>
        <v>0.0304503907064979</v>
      </c>
      <c r="AB113" s="31" t="n">
        <f aca="false">AB37*Ratio!AB116</f>
        <v>0.0337493245078266</v>
      </c>
      <c r="AC113" s="76" t="n">
        <f aca="false">AC37*Ratio!AC116</f>
        <v>0.066861057008294</v>
      </c>
      <c r="AD113" s="75" t="n">
        <f aca="false">AD37*Ratio!AD116</f>
        <v>0.0609328962011363</v>
      </c>
      <c r="AE113" s="31" t="n">
        <f aca="false">AE37*Ratio!AE116</f>
        <v>0.053262186329</v>
      </c>
      <c r="AF113" s="96" t="n">
        <f aca="false">AF37*Ratio!AF116</f>
        <v>0.0541328952965018</v>
      </c>
      <c r="AG113" s="31" t="n">
        <f aca="false">AG37*Ratio!AG116</f>
        <v>0.0548777380129035</v>
      </c>
      <c r="AH113" s="31" t="n">
        <f aca="false">AH37*Ratio!AH116</f>
        <v>0.134329913793847</v>
      </c>
      <c r="AI113" s="74" t="n">
        <f aca="false">AI37*Ratio!AI116</f>
        <v>0.122457948952864</v>
      </c>
      <c r="AJ113" s="75" t="n">
        <f aca="false">AJ37*Ratio!AJ116</f>
        <v>0.121060656433382</v>
      </c>
      <c r="AK113" s="31" t="n">
        <f aca="false">AK37*Ratio!AK116</f>
        <v>0.125224124064523</v>
      </c>
      <c r="AL113" s="31" t="n">
        <f aca="false">AL37*Ratio!AL116</f>
        <v>0.133158272713336</v>
      </c>
      <c r="AM113" s="31" t="n">
        <f aca="false">AM37*Ratio!AM116</f>
        <v>0.132293962181393</v>
      </c>
      <c r="AN113" s="76" t="n">
        <f aca="false">AN37*Ratio!AN116</f>
        <v>0.147388756010415</v>
      </c>
      <c r="AO113" s="75" t="n">
        <f aca="false">AO37*Ratio!AO116</f>
        <v>0.141102430421346</v>
      </c>
      <c r="AP113" s="31" t="n">
        <f aca="false">AP37*Ratio!AP116</f>
        <v>0.103452700136548</v>
      </c>
      <c r="AQ113" s="31" t="n">
        <f aca="false">AQ37*Ratio!AQ116</f>
        <v>0.11037992065593</v>
      </c>
    </row>
    <row r="114" customFormat="false" ht="12.8" hidden="false" customHeight="false" outlineLevel="0" collapsed="false">
      <c r="A114" s="189" t="s">
        <v>198</v>
      </c>
      <c r="B114" s="72" t="n">
        <f aca="false">B38*Ratio!B117</f>
        <v>0.135455827099386</v>
      </c>
      <c r="C114" s="72" t="n">
        <f aca="false">C38*Ratio!C117</f>
        <v>0.134247049438652</v>
      </c>
      <c r="D114" s="31" t="n">
        <f aca="false">D38*Ratio!D117</f>
        <v>0.134247049438652</v>
      </c>
      <c r="E114" s="96" t="n">
        <f aca="false">E38*Ratio!E117</f>
        <v>0.135585674048669</v>
      </c>
      <c r="F114" s="31" t="n">
        <f aca="false">F38*Ratio!F117</f>
        <v>0.139143793759526</v>
      </c>
      <c r="G114" s="96" t="n">
        <f aca="false">G38*Ratio!G117</f>
        <v>0.494343590066269</v>
      </c>
      <c r="H114" s="31" t="n">
        <f aca="false">H38*Ratio!H117</f>
        <v>0.497538546685124</v>
      </c>
      <c r="I114" s="74" t="n">
        <f aca="false">I38*Ratio!I117</f>
        <v>0.507870689169068</v>
      </c>
      <c r="J114" s="75" t="n">
        <f aca="false">J38*Ratio!J117</f>
        <v>0.250044333189355</v>
      </c>
      <c r="K114" s="96" t="n">
        <f aca="false">K38*Ratio!K117</f>
        <v>0.520077688041684</v>
      </c>
      <c r="L114" s="31" t="n">
        <f aca="false">L38*Ratio!L117</f>
        <v>0.518516761659948</v>
      </c>
      <c r="M114" s="96" t="n">
        <f aca="false">M38*Ratio!M117</f>
        <v>0.518171874019044</v>
      </c>
      <c r="N114" s="96" t="n">
        <f aca="false">N38*Ratio!N117</f>
        <v>0.529147413330044</v>
      </c>
      <c r="O114" s="31" t="n">
        <f aca="false">O38*Ratio!O117</f>
        <v>0.557197536000822</v>
      </c>
      <c r="P114" s="76" t="n">
        <f aca="false">P38*Ratio!P117</f>
        <v>0.140375990892984</v>
      </c>
      <c r="Q114" s="75" t="n">
        <f aca="false">Q38*Ratio!Q117</f>
        <v>0.141483557642736</v>
      </c>
      <c r="R114" s="31" t="n">
        <f aca="false">R38*Ratio!R117</f>
        <v>0.144470408184835</v>
      </c>
      <c r="S114" s="96" t="n">
        <f aca="false">S38*Ratio!S117</f>
        <v>0.143677931198226</v>
      </c>
      <c r="T114" s="31" t="n">
        <f aca="false">T38*Ratio!T117</f>
        <v>0.136466156068141</v>
      </c>
      <c r="U114" s="31" t="n">
        <f aca="false">U38*Ratio!U117</f>
        <v>0.181199433983957</v>
      </c>
      <c r="V114" s="96" t="n">
        <f aca="false">V38*Ratio!V117</f>
        <v>0.183052567207899</v>
      </c>
      <c r="W114" s="96" t="n">
        <f aca="false">W38*Ratio!W117</f>
        <v>0.183611051142174</v>
      </c>
      <c r="X114" s="74" t="n">
        <f aca="false">X38*Ratio!X117</f>
        <v>0.18334045999316</v>
      </c>
      <c r="Y114" s="75" t="n">
        <f aca="false">Y38*Ratio!Y117</f>
        <v>0.168619921212957</v>
      </c>
      <c r="Z114" s="31" t="n">
        <f aca="false">Z38*Ratio!Z117</f>
        <v>0.168089654921974</v>
      </c>
      <c r="AA114" s="96" t="n">
        <f aca="false">AA38*Ratio!AA117</f>
        <v>0.172057593622183</v>
      </c>
      <c r="AB114" s="31" t="n">
        <f aca="false">AB38*Ratio!AB117</f>
        <v>0.186494195291549</v>
      </c>
      <c r="AC114" s="76" t="n">
        <f aca="false">AC38*Ratio!AC117</f>
        <v>0.220272344624086</v>
      </c>
      <c r="AD114" s="75" t="n">
        <f aca="false">AD38*Ratio!AD117</f>
        <v>0.212342233195243</v>
      </c>
      <c r="AE114" s="31" t="n">
        <f aca="false">AE38*Ratio!AE117</f>
        <v>0.193520979885339</v>
      </c>
      <c r="AF114" s="96" t="n">
        <f aca="false">AF38*Ratio!AF117</f>
        <v>0.196684583638761</v>
      </c>
      <c r="AG114" s="31" t="n">
        <f aca="false">AG38*Ratio!AG117</f>
        <v>0.199390869322344</v>
      </c>
      <c r="AH114" s="31" t="n">
        <f aca="false">AH38*Ratio!AH117</f>
        <v>0.248724902005856</v>
      </c>
      <c r="AI114" s="74" t="n">
        <f aca="false">AI38*Ratio!AI117</f>
        <v>0.226742804286191</v>
      </c>
      <c r="AJ114" s="75" t="n">
        <f aca="false">AJ38*Ratio!AJ117</f>
        <v>0.224155581268128</v>
      </c>
      <c r="AK114" s="31" t="n">
        <f aca="false">AK38*Ratio!AK117</f>
        <v>0.231864646578403</v>
      </c>
      <c r="AL114" s="31" t="n">
        <f aca="false">AL38*Ratio!AL117</f>
        <v>0.235641121732936</v>
      </c>
      <c r="AM114" s="31" t="n">
        <f aca="false">AM38*Ratio!AM117</f>
        <v>0.234111610279216</v>
      </c>
      <c r="AN114" s="76" t="n">
        <f aca="false">AN38*Ratio!AN117</f>
        <v>0.0481285463150785</v>
      </c>
      <c r="AO114" s="75" t="n">
        <f aca="false">AO38*Ratio!AO117</f>
        <v>0.049570243197097</v>
      </c>
      <c r="AP114" s="31" t="n">
        <f aca="false">AP38*Ratio!AP117</f>
        <v>0.0419348474825071</v>
      </c>
      <c r="AQ114" s="31" t="n">
        <f aca="false">AQ38*Ratio!AQ117</f>
        <v>0.0430628676095554</v>
      </c>
    </row>
    <row r="115" customFormat="false" ht="12.8" hidden="false" customHeight="false" outlineLevel="0" collapsed="false">
      <c r="A115" s="189" t="s">
        <v>28</v>
      </c>
      <c r="B115" s="72" t="n">
        <f aca="false">B39*Ratio!B118</f>
        <v>0.052457597186205</v>
      </c>
      <c r="C115" s="72" t="n">
        <f aca="false">C39*Ratio!C118</f>
        <v>0.051989477261265</v>
      </c>
      <c r="D115" s="31" t="n">
        <f aca="false">D39*Ratio!D118</f>
        <v>0.051989477261265</v>
      </c>
      <c r="E115" s="96" t="n">
        <f aca="false">E39*Ratio!E118</f>
        <v>0.0525078826490546</v>
      </c>
      <c r="F115" s="31" t="n">
        <f aca="false">F39*Ratio!F118</f>
        <v>0.0538858256621337</v>
      </c>
      <c r="G115" s="96" t="n">
        <f aca="false">G39*Ratio!G118</f>
        <v>0.0849232946482043</v>
      </c>
      <c r="H115" s="31" t="n">
        <f aca="false">H39*Ratio!H118</f>
        <v>0.0821619128947982</v>
      </c>
      <c r="I115" s="74" t="n">
        <f aca="false">I39*Ratio!I118</f>
        <v>0.0789246853299811</v>
      </c>
      <c r="J115" s="75" t="n">
        <f aca="false">J39*Ratio!J118</f>
        <v>0.0802549949880226</v>
      </c>
      <c r="K115" s="96" t="n">
        <f aca="false">K39*Ratio!K118</f>
        <v>0.0808216909367052</v>
      </c>
      <c r="L115" s="31" t="n">
        <f aca="false">L39*Ratio!L118</f>
        <v>0.0805791181201812</v>
      </c>
      <c r="M115" s="96" t="n">
        <f aca="false">M39*Ratio!M118</f>
        <v>0.0805255215076713</v>
      </c>
      <c r="N115" s="96" t="n">
        <f aca="false">N39*Ratio!N118</f>
        <v>0.0336922787847469</v>
      </c>
      <c r="O115" s="31" t="n">
        <f aca="false">O39*Ratio!O118</f>
        <v>0.0354783076477109</v>
      </c>
      <c r="P115" s="76" t="n">
        <f aca="false">P39*Ratio!P118</f>
        <v>0.320546319244292</v>
      </c>
      <c r="Q115" s="75" t="n">
        <f aca="false">Q39*Ratio!Q118</f>
        <v>0.323075430117824</v>
      </c>
      <c r="R115" s="31" t="n">
        <f aca="false">R39*Ratio!R118</f>
        <v>0.329895855329516</v>
      </c>
      <c r="S115" s="96" t="n">
        <f aca="false">S39*Ratio!S118</f>
        <v>0.328086246866364</v>
      </c>
      <c r="T115" s="31" t="n">
        <f aca="false">T39*Ratio!T118</f>
        <v>0.297255170624986</v>
      </c>
      <c r="U115" s="31" t="n">
        <f aca="false">U39*Ratio!U118</f>
        <v>0.0546930330229801</v>
      </c>
      <c r="V115" s="96" t="n">
        <f aca="false">V39*Ratio!V118</f>
        <v>0.0552523806676423</v>
      </c>
      <c r="W115" s="96" t="n">
        <f aca="false">W39*Ratio!W118</f>
        <v>0.0554209528292023</v>
      </c>
      <c r="X115" s="74" t="n">
        <f aca="false">X39*Ratio!X118</f>
        <v>0.0553392779016192</v>
      </c>
      <c r="Y115" s="75" t="n">
        <f aca="false">Y39*Ratio!Y118</f>
        <v>0.0590350889410214</v>
      </c>
      <c r="Z115" s="31" t="n">
        <f aca="false">Z39*Ratio!Z118</f>
        <v>0.039425455574532</v>
      </c>
      <c r="AA115" s="96" t="n">
        <f aca="false">AA39*Ratio!AA118</f>
        <v>0.0403147383189592</v>
      </c>
      <c r="AB115" s="31" t="n">
        <f aca="false">AB39*Ratio!AB118</f>
        <v>0.0436973720421389</v>
      </c>
      <c r="AC115" s="76" t="n">
        <f aca="false">AC39*Ratio!AC118</f>
        <v>0.0364294066060312</v>
      </c>
      <c r="AD115" s="75" t="n">
        <f aca="false">AD39*Ratio!AD118</f>
        <v>0.0390338380859425</v>
      </c>
      <c r="AE115" s="31" t="n">
        <f aca="false">AE39*Ratio!AE118</f>
        <v>0.0532427080846769</v>
      </c>
      <c r="AF115" s="96" t="n">
        <f aca="false">AF39*Ratio!AF118</f>
        <v>0.0574081378727596</v>
      </c>
      <c r="AG115" s="31" t="n">
        <f aca="false">AG39*Ratio!AG118</f>
        <v>0.065974208781937</v>
      </c>
      <c r="AH115" s="31" t="n">
        <f aca="false">AH39*Ratio!AH118</f>
        <v>0.0822663730131668</v>
      </c>
      <c r="AI115" s="74" t="n">
        <f aca="false">AI39*Ratio!AI118</f>
        <v>0.0749957401330891</v>
      </c>
      <c r="AJ115" s="75" t="n">
        <f aca="false">AJ39*Ratio!AJ118</f>
        <v>0.0592052828191113</v>
      </c>
      <c r="AK115" s="31" t="n">
        <f aca="false">AK39*Ratio!AK118</f>
        <v>0.0653591294859717</v>
      </c>
      <c r="AL115" s="31" t="n">
        <f aca="false">AL39*Ratio!AL118</f>
        <v>0.066849596646747</v>
      </c>
      <c r="AM115" s="31" t="n">
        <f aca="false">AM39*Ratio!AM118</f>
        <v>0.105168465205514</v>
      </c>
      <c r="AN115" s="76" t="n">
        <f aca="false">AN39*Ratio!AN118</f>
        <v>0.135108349346053</v>
      </c>
      <c r="AO115" s="75" t="n">
        <f aca="false">AO39*Ratio!AO118</f>
        <v>0.120461644550291</v>
      </c>
      <c r="AP115" s="31" t="n">
        <f aca="false">AP39*Ratio!AP118</f>
        <v>0.10843506591899</v>
      </c>
      <c r="AQ115" s="31" t="n">
        <f aca="false">AQ39*Ratio!AQ118</f>
        <v>0.0863820800018527</v>
      </c>
    </row>
    <row r="116" customFormat="false" ht="12.8" hidden="false" customHeight="false" outlineLevel="0" collapsed="false">
      <c r="A116" s="189" t="s">
        <v>199</v>
      </c>
      <c r="B116" s="72" t="n">
        <f aca="false">B40*Ratio!B119</f>
        <v>0.00382852862484672</v>
      </c>
      <c r="C116" s="72" t="n">
        <f aca="false">C40*Ratio!C119</f>
        <v>0.0037943636872852</v>
      </c>
      <c r="D116" s="31" t="n">
        <f aca="false">D40*Ratio!D119</f>
        <v>0.0037943636872852</v>
      </c>
      <c r="E116" s="96" t="n">
        <f aca="false">E40*Ratio!E119</f>
        <v>0.00172086884443843</v>
      </c>
      <c r="F116" s="31" t="n">
        <f aca="false">F40*Ratio!F119</f>
        <v>0.00176602890576614</v>
      </c>
      <c r="G116" s="96" t="n">
        <f aca="false">G40*Ratio!G119</f>
        <v>-0.00115393648512765</v>
      </c>
      <c r="H116" s="31" t="n">
        <f aca="false">H40*Ratio!H119</f>
        <v>-0.00116139440930221</v>
      </c>
      <c r="I116" s="74" t="n">
        <f aca="false">I40*Ratio!I119</f>
        <v>-0.00118551252557062</v>
      </c>
      <c r="J116" s="75" t="n">
        <f aca="false">J40*Ratio!J119</f>
        <v>-0.00120549485120046</v>
      </c>
      <c r="K116" s="96" t="n">
        <f aca="false">K40*Ratio!K119</f>
        <v>-0.00121400708210191</v>
      </c>
      <c r="L116" s="31" t="n">
        <f aca="false">L40*Ratio!L119</f>
        <v>-0.00121036344245799</v>
      </c>
      <c r="M116" s="96" t="n">
        <f aca="false">M40*Ratio!M119</f>
        <v>-0.00120955837804509</v>
      </c>
      <c r="N116" s="96" t="n">
        <f aca="false">N40*Ratio!N119</f>
        <v>-0.00123517836282777</v>
      </c>
      <c r="O116" s="31" t="n">
        <f aca="false">O40*Ratio!O119</f>
        <v>-0.00130065521053562</v>
      </c>
      <c r="P116" s="76" t="n">
        <f aca="false">P40*Ratio!P119</f>
        <v>-0.00239676944978809</v>
      </c>
      <c r="Q116" s="75" t="n">
        <f aca="false">Q40*Ratio!Q119</f>
        <v>-0.00241567996384765</v>
      </c>
      <c r="R116" s="31" t="n">
        <f aca="false">R40*Ratio!R119</f>
        <v>-0.00246667723257464</v>
      </c>
      <c r="S116" s="96" t="n">
        <f aca="false">S40*Ratio!S119</f>
        <v>-0.00245314653819391</v>
      </c>
      <c r="T116" s="31" t="n">
        <f aca="false">T40*Ratio!T119</f>
        <v>-0.00222261828937909</v>
      </c>
      <c r="U116" s="31" t="n">
        <f aca="false">U40*Ratio!U119</f>
        <v>-0.00106410797192396</v>
      </c>
      <c r="V116" s="96" t="n">
        <f aca="false">V40*Ratio!V119</f>
        <v>-0.00107499064298577</v>
      </c>
      <c r="W116" s="96" t="n">
        <f aca="false">W40*Ratio!W119</f>
        <v>-0.00107827038395178</v>
      </c>
      <c r="X116" s="74" t="n">
        <f aca="false">X40*Ratio!X119</f>
        <v>-0.00107668131608072</v>
      </c>
      <c r="Y116" s="75" t="n">
        <f aca="false">Y40*Ratio!Y119</f>
        <v>-0.00114858703738347</v>
      </c>
      <c r="Z116" s="31" t="n">
        <f aca="false">Z40*Ratio!Z119</f>
        <v>-0.00274038258670308</v>
      </c>
      <c r="AA116" s="96" t="n">
        <f aca="false">AA40*Ratio!AA119</f>
        <v>-0.00280219480705591</v>
      </c>
      <c r="AB116" s="31" t="n">
        <f aca="false">AB40*Ratio!AB119</f>
        <v>-0.00303731474206014</v>
      </c>
      <c r="AC116" s="76" t="n">
        <f aca="false">AC40*Ratio!AC119</f>
        <v>0.00252255330303307</v>
      </c>
      <c r="AD116" s="75" t="n">
        <f aca="false">AD40*Ratio!AD119</f>
        <v>0.00270289709241244</v>
      </c>
      <c r="AE116" s="31" t="n">
        <f aca="false">AE40*Ratio!AE119</f>
        <v>3.62290924904107E-005</v>
      </c>
      <c r="AF116" s="96" t="n">
        <f aca="false">AF40*Ratio!AF119</f>
        <v>3.68213512370006E-005</v>
      </c>
      <c r="AG116" s="31" t="n">
        <f aca="false">AG40*Ratio!AG119</f>
        <v>2.37305507707437E-005</v>
      </c>
      <c r="AH116" s="31" t="n">
        <f aca="false">AH40*Ratio!AH119</f>
        <v>2.41334160514565E-005</v>
      </c>
      <c r="AI116" s="74" t="n">
        <f aca="false">AI40*Ratio!AI119</f>
        <v>2.20005250314011E-005</v>
      </c>
      <c r="AJ116" s="75" t="n">
        <f aca="false">AJ40*Ratio!AJ119</f>
        <v>2.17494905390392E-005</v>
      </c>
      <c r="AK116" s="31" t="n">
        <f aca="false">AK40*Ratio!AK119</f>
        <v>2.24974899512425E-005</v>
      </c>
      <c r="AL116" s="31" t="n">
        <f aca="false">AL40*Ratio!AL119</f>
        <v>2.28639158514131E-005</v>
      </c>
      <c r="AM116" s="31" t="n">
        <f aca="false">AM40*Ratio!AM119</f>
        <v>2.27155095761651E-005</v>
      </c>
      <c r="AN116" s="76" t="n">
        <f aca="false">AN40*Ratio!AN119</f>
        <v>0.00167109906350094</v>
      </c>
      <c r="AO116" s="75" t="n">
        <f aca="false">AO40*Ratio!AO119</f>
        <v>0.00172115705390068</v>
      </c>
      <c r="AP116" s="31" t="n">
        <f aca="false">AP40*Ratio!AP119</f>
        <v>0.00163246622192694</v>
      </c>
      <c r="AQ116" s="31" t="n">
        <f aca="false">AQ40*Ratio!AQ119</f>
        <v>0.001676378501704</v>
      </c>
    </row>
    <row r="117" customFormat="false" ht="12.8" hidden="false" customHeight="false" outlineLevel="0" collapsed="false">
      <c r="A117" s="189" t="s">
        <v>200</v>
      </c>
      <c r="B117" s="72" t="n">
        <f aca="false">B41*Ratio!B120</f>
        <v>0.0369431461003935</v>
      </c>
      <c r="C117" s="72" t="n">
        <f aca="false">C41*Ratio!C120</f>
        <v>0.0366134736848199</v>
      </c>
      <c r="D117" s="31" t="n">
        <f aca="false">D41*Ratio!D120</f>
        <v>0.0366134736848199</v>
      </c>
      <c r="E117" s="96" t="n">
        <f aca="false">E41*Ratio!E120</f>
        <v>0.0369785595257204</v>
      </c>
      <c r="F117" s="31" t="n">
        <f aca="false">F41*Ratio!F120</f>
        <v>0.0379489728267623</v>
      </c>
      <c r="G117" s="96" t="n">
        <f aca="false">G41*Ratio!G120</f>
        <v>0.00399026811544949</v>
      </c>
      <c r="H117" s="31" t="n">
        <f aca="false">H41*Ratio!H120</f>
        <v>0.00401605733125535</v>
      </c>
      <c r="I117" s="74" t="n">
        <f aca="false">I41*Ratio!I120</f>
        <v>0.0036554796151264</v>
      </c>
      <c r="J117" s="75" t="n">
        <f aca="false">J41*Ratio!J120</f>
        <v>0.00375373275402909</v>
      </c>
      <c r="K117" s="96" t="n">
        <f aca="false">K41*Ratio!K120</f>
        <v>0.00328006184950599</v>
      </c>
      <c r="L117" s="31" t="n">
        <f aca="false">L41*Ratio!L120</f>
        <v>0.00327021729129413</v>
      </c>
      <c r="M117" s="96" t="n">
        <f aca="false">M41*Ratio!M120</f>
        <v>0.00326804213012243</v>
      </c>
      <c r="N117" s="96" t="n">
        <f aca="false">N41*Ratio!N120</f>
        <v>0.00333726341878667</v>
      </c>
      <c r="O117" s="31" t="n">
        <f aca="false">O41*Ratio!O120</f>
        <v>0.00298197216481486</v>
      </c>
      <c r="P117" s="76" t="n">
        <f aca="false">P41*Ratio!P120</f>
        <v>0.0375157343336719</v>
      </c>
      <c r="Q117" s="75" t="n">
        <f aca="false">Q41*Ratio!Q120</f>
        <v>0.0398018375384542</v>
      </c>
      <c r="R117" s="31" t="n">
        <f aca="false">R41*Ratio!R120</f>
        <v>0.0406420916429521</v>
      </c>
      <c r="S117" s="96" t="n">
        <f aca="false">S41*Ratio!S120</f>
        <v>0.0420732402458306</v>
      </c>
      <c r="T117" s="31" t="n">
        <f aca="false">T41*Ratio!T120</f>
        <v>0.0330057073983727</v>
      </c>
      <c r="U117" s="31" t="n">
        <f aca="false">U41*Ratio!U120</f>
        <v>0.0379293619813467</v>
      </c>
      <c r="V117" s="96" t="n">
        <f aca="false">V41*Ratio!V120</f>
        <v>0.0383172669505023</v>
      </c>
      <c r="W117" s="96" t="n">
        <f aca="false">W41*Ratio!W120</f>
        <v>0.0384341709542188</v>
      </c>
      <c r="X117" s="74" t="n">
        <f aca="false">X41*Ratio!X120</f>
        <v>0.0482060088680168</v>
      </c>
      <c r="Y117" s="75" t="n">
        <f aca="false">Y41*Ratio!Y120</f>
        <v>0.0323732356464501</v>
      </c>
      <c r="Z117" s="31" t="n">
        <f aca="false">Z41*Ratio!Z120</f>
        <v>0.0433137399939037</v>
      </c>
      <c r="AA117" s="96" t="n">
        <f aca="false">AA41*Ratio!AA120</f>
        <v>0.0734800141739959</v>
      </c>
      <c r="AB117" s="31" t="n">
        <f aca="false">AB41*Ratio!AB120</f>
        <v>0.0796454014315833</v>
      </c>
      <c r="AC117" s="76" t="n">
        <f aca="false">AC41*Ratio!AC120</f>
        <v>0.0192581632591024</v>
      </c>
      <c r="AD117" s="75" t="n">
        <f aca="false">AD41*Ratio!AD120</f>
        <v>0.0119342384919936</v>
      </c>
      <c r="AE117" s="31" t="n">
        <f aca="false">AE41*Ratio!AE120</f>
        <v>0.0121332355671991</v>
      </c>
      <c r="AF117" s="96" t="n">
        <f aca="false">AF41*Ratio!AF120</f>
        <v>0.0123315848604091</v>
      </c>
      <c r="AG117" s="31" t="n">
        <f aca="false">AG41*Ratio!AG120</f>
        <v>0.01373130758941</v>
      </c>
      <c r="AH117" s="31" t="n">
        <f aca="false">AH41*Ratio!AH120</f>
        <v>0.0513284451170325</v>
      </c>
      <c r="AI117" s="74" t="n">
        <f aca="false">AI41*Ratio!AI120</f>
        <v>0.0467920802928359</v>
      </c>
      <c r="AJ117" s="75" t="n">
        <f aca="false">AJ41*Ratio!AJ120</f>
        <v>0.0629962067713538</v>
      </c>
      <c r="AK117" s="31" t="n">
        <f aca="false">AK41*Ratio!AK120</f>
        <v>0.047849056087675</v>
      </c>
      <c r="AL117" s="31" t="n">
        <f aca="false">AL41*Ratio!AL120</f>
        <v>0.048628393404293</v>
      </c>
      <c r="AM117" s="31" t="n">
        <f aca="false">AM41*Ratio!AM120</f>
        <v>0.0506454857570314</v>
      </c>
      <c r="AN117" s="76" t="n">
        <f aca="false">AN41*Ratio!AN120</f>
        <v>0.0918215858250056</v>
      </c>
      <c r="AO117" s="75" t="n">
        <f aca="false">AO41*Ratio!AO120</f>
        <v>0.0594358880592999</v>
      </c>
      <c r="AP117" s="31" t="n">
        <f aca="false">AP41*Ratio!AP120</f>
        <v>0.110811905023301</v>
      </c>
      <c r="AQ117" s="31" t="n">
        <f aca="false">AQ41*Ratio!AQ120</f>
        <v>0.10713463708884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BF0041"/>
    <pageSetUpPr fitToPage="false"/>
  </sheetPr>
  <dimension ref="A1:AT57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P11" activeCellId="0" sqref="AP1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3.07"/>
    <col collapsed="false" customWidth="true" hidden="false" outlineLevel="0" max="2" min="2" style="38" width="15.22"/>
    <col collapsed="false" customWidth="true" hidden="false" outlineLevel="0" max="3" min="3" style="39" width="15.22"/>
    <col collapsed="false" customWidth="true" hidden="false" outlineLevel="0" max="4" min="4" style="1" width="15.42"/>
    <col collapsed="false" customWidth="true" hidden="false" outlineLevel="0" max="5" min="5" style="40" width="15.42"/>
    <col collapsed="false" customWidth="true" hidden="false" outlineLevel="0" max="6" min="6" style="1" width="15.42"/>
    <col collapsed="false" customWidth="true" hidden="false" outlineLevel="0" max="7" min="7" style="40" width="15.42"/>
    <col collapsed="false" customWidth="true" hidden="false" outlineLevel="0" max="8" min="8" style="1" width="15.42"/>
    <col collapsed="false" customWidth="true" hidden="false" outlineLevel="0" max="9" min="9" style="41" width="15.42"/>
    <col collapsed="false" customWidth="true" hidden="false" outlineLevel="0" max="10" min="10" style="21" width="15.42"/>
    <col collapsed="false" customWidth="true" hidden="false" outlineLevel="0" max="11" min="11" style="39" width="15.78"/>
    <col collapsed="false" customWidth="true" hidden="false" outlineLevel="0" max="12" min="12" style="1" width="15.78"/>
    <col collapsed="false" customWidth="true" hidden="false" outlineLevel="0" max="14" min="13" style="40" width="15.78"/>
    <col collapsed="false" customWidth="true" hidden="false" outlineLevel="0" max="15" min="15" style="1" width="15.78"/>
    <col collapsed="false" customWidth="true" hidden="false" outlineLevel="0" max="16" min="16" style="42" width="15.78"/>
    <col collapsed="false" customWidth="true" hidden="false" outlineLevel="0" max="17" min="17" style="21" width="15.78"/>
    <col collapsed="false" customWidth="true" hidden="false" outlineLevel="0" max="18" min="18" style="1" width="15.78"/>
    <col collapsed="false" customWidth="true" hidden="false" outlineLevel="0" max="19" min="19" style="40" width="15.78"/>
    <col collapsed="false" customWidth="true" hidden="false" outlineLevel="0" max="21" min="20" style="1" width="15.78"/>
    <col collapsed="false" customWidth="true" hidden="false" outlineLevel="0" max="23" min="22" style="40" width="15.78"/>
    <col collapsed="false" customWidth="true" hidden="false" outlineLevel="0" max="24" min="24" style="41" width="15.78"/>
    <col collapsed="false" customWidth="true" hidden="false" outlineLevel="0" max="25" min="25" style="21" width="15.78"/>
    <col collapsed="false" customWidth="true" hidden="false" outlineLevel="0" max="26" min="26" style="22" width="15.78"/>
    <col collapsed="false" customWidth="true" hidden="false" outlineLevel="0" max="27" min="27" style="39" width="15.78"/>
    <col collapsed="false" customWidth="true" hidden="false" outlineLevel="0" max="28" min="28" style="22" width="15.78"/>
    <col collapsed="false" customWidth="true" hidden="false" outlineLevel="0" max="29" min="29" style="42" width="14.06"/>
    <col collapsed="false" customWidth="true" hidden="false" outlineLevel="0" max="30" min="30" style="21" width="13.83"/>
    <col collapsed="false" customWidth="true" hidden="false" outlineLevel="0" max="31" min="31" style="1" width="13.83"/>
    <col collapsed="false" customWidth="true" hidden="false" outlineLevel="0" max="32" min="32" style="40" width="13.83"/>
    <col collapsed="false" customWidth="true" hidden="false" outlineLevel="0" max="34" min="33" style="1" width="13.83"/>
    <col collapsed="false" customWidth="true" hidden="false" outlineLevel="0" max="35" min="35" style="41" width="13.83"/>
    <col collapsed="false" customWidth="true" hidden="false" outlineLevel="0" max="36" min="36" style="21" width="13.83"/>
    <col collapsed="false" customWidth="true" hidden="false" outlineLevel="0" max="39" min="37" style="1" width="13.83"/>
    <col collapsed="false" customWidth="true" hidden="false" outlineLevel="0" max="40" min="40" style="42" width="13.83"/>
    <col collapsed="false" customWidth="true" hidden="false" outlineLevel="0" max="41" min="41" style="21" width="13.83"/>
    <col collapsed="false" customWidth="true" hidden="false" outlineLevel="0" max="42" min="42" style="22" width="13.83"/>
    <col collapsed="false" customWidth="true" hidden="false" outlineLevel="0" max="43" min="43" style="1" width="12.97"/>
  </cols>
  <sheetData>
    <row r="1" customFormat="false" ht="12.8" hidden="false" customHeight="false" outlineLevel="0" collapsed="false">
      <c r="A1" s="180" t="s">
        <v>209</v>
      </c>
      <c r="B1" s="43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7" t="s">
        <v>62</v>
      </c>
      <c r="AA1" s="190" t="s">
        <v>63</v>
      </c>
      <c r="AB1" s="27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7" t="s">
        <v>78</v>
      </c>
      <c r="AQ1" s="24" t="s">
        <v>79</v>
      </c>
    </row>
    <row r="2" customFormat="false" ht="12.8" hidden="false" customHeight="false" outlineLevel="0" collapsed="false">
      <c r="A2" s="139" t="s">
        <v>24</v>
      </c>
      <c r="B2" s="20" t="n">
        <v>889062183.8</v>
      </c>
      <c r="C2" s="25" t="n">
        <v>869378456.52</v>
      </c>
      <c r="D2" s="32" t="n">
        <v>899672259.78</v>
      </c>
      <c r="E2" s="20" t="n">
        <v>869685667.34</v>
      </c>
      <c r="F2" s="32" t="n">
        <v>804146000.28</v>
      </c>
      <c r="G2" s="20" t="n">
        <v>667246707.26</v>
      </c>
      <c r="H2" s="32" t="n">
        <v>665115131.1</v>
      </c>
      <c r="I2" s="26" t="n">
        <v>619203604.32</v>
      </c>
      <c r="J2" s="33" t="n">
        <v>527217866.14</v>
      </c>
      <c r="K2" s="25" t="n">
        <v>481133649.08</v>
      </c>
      <c r="L2" s="32" t="n">
        <v>462882584.08</v>
      </c>
      <c r="M2" s="20" t="n">
        <v>461004114.06</v>
      </c>
      <c r="N2" s="20" t="n">
        <v>456267360.5</v>
      </c>
      <c r="O2" s="32" t="n">
        <v>433578600</v>
      </c>
      <c r="P2" s="167" t="n">
        <v>459315010.42</v>
      </c>
      <c r="Q2" s="33" t="n">
        <v>432772959.08</v>
      </c>
      <c r="R2" s="32" t="n">
        <v>410855375.56</v>
      </c>
      <c r="S2" s="20" t="n">
        <v>422381525.3</v>
      </c>
      <c r="T2" s="32" t="n">
        <v>431806486.44</v>
      </c>
      <c r="U2" s="32" t="n">
        <v>467236899.08</v>
      </c>
      <c r="V2" s="20" t="n">
        <v>450212083.3</v>
      </c>
      <c r="W2" s="20" t="n">
        <v>414399232.1</v>
      </c>
      <c r="X2" s="26" t="n">
        <v>460399698.08</v>
      </c>
      <c r="Y2" s="33" t="n">
        <v>434539513.94</v>
      </c>
      <c r="Z2" s="32" t="n">
        <v>379379792.68</v>
      </c>
      <c r="AA2" s="20" t="n">
        <v>394664364.78</v>
      </c>
      <c r="AB2" s="32" t="n">
        <v>326064077.5</v>
      </c>
      <c r="AC2" s="167" t="n">
        <v>295535697.1</v>
      </c>
      <c r="AD2" s="33" t="n">
        <v>270510429.7</v>
      </c>
      <c r="AE2" s="32" t="n">
        <v>256123031.78</v>
      </c>
      <c r="AF2" s="20" t="n">
        <v>262117533.86</v>
      </c>
      <c r="AG2" s="32" t="n">
        <v>214980128.44</v>
      </c>
      <c r="AH2" s="32" t="n">
        <v>223353383.54</v>
      </c>
      <c r="AI2" s="26" t="n">
        <v>293175102.5</v>
      </c>
      <c r="AJ2" s="33" t="n">
        <v>246361584</v>
      </c>
      <c r="AK2" s="32" t="n">
        <v>209372882.46</v>
      </c>
      <c r="AL2" s="168" t="n">
        <v>204101381.96</v>
      </c>
      <c r="AM2" s="32" t="n">
        <v>197031827.3</v>
      </c>
      <c r="AN2" s="167" t="n">
        <v>209362506.22</v>
      </c>
      <c r="AO2" s="33" t="n">
        <v>187157723.2</v>
      </c>
      <c r="AP2" s="168" t="n">
        <v>194797600.48</v>
      </c>
      <c r="AQ2" s="168" t="n">
        <v>191033990</v>
      </c>
    </row>
    <row r="3" customFormat="false" ht="12.8" hidden="false" customHeight="false" outlineLevel="0" collapsed="false">
      <c r="A3" s="139" t="s">
        <v>181</v>
      </c>
      <c r="B3" s="20" t="n">
        <v>626662189.932683</v>
      </c>
      <c r="C3" s="25" t="n">
        <v>599396396.661463</v>
      </c>
      <c r="D3" s="32" t="n">
        <v>614694781.682927</v>
      </c>
      <c r="E3" s="20" t="n">
        <v>573912882.881951</v>
      </c>
      <c r="F3" s="32" t="n">
        <v>540210941.463415</v>
      </c>
      <c r="G3" s="20" t="n">
        <v>528828321.973171</v>
      </c>
      <c r="H3" s="32" t="n">
        <v>552015036.585366</v>
      </c>
      <c r="I3" s="26" t="n">
        <v>465341037.897561</v>
      </c>
      <c r="J3" s="33" t="n">
        <v>410217580.138537</v>
      </c>
      <c r="K3" s="25" t="n">
        <v>399083957.619512</v>
      </c>
      <c r="L3" s="32" t="n">
        <v>391733894.766342</v>
      </c>
      <c r="M3" s="20" t="n">
        <v>393006931.707317</v>
      </c>
      <c r="N3" s="20" t="n">
        <v>388381948.366829</v>
      </c>
      <c r="O3" s="32" t="n">
        <v>362732899.512195</v>
      </c>
      <c r="P3" s="167" t="n">
        <v>369181823.856585</v>
      </c>
      <c r="Q3" s="33" t="n">
        <v>329125946.341463</v>
      </c>
      <c r="R3" s="32" t="n">
        <v>315363760.146341</v>
      </c>
      <c r="S3" s="20" t="n">
        <v>347500617.423415</v>
      </c>
      <c r="T3" s="32" t="n">
        <v>344401834.146341</v>
      </c>
      <c r="U3" s="32" t="n">
        <v>391618214.634146</v>
      </c>
      <c r="V3" s="20" t="n">
        <v>386025434.365366</v>
      </c>
      <c r="W3" s="20" t="n">
        <v>366418415.752683</v>
      </c>
      <c r="X3" s="26" t="n">
        <v>395784365.853659</v>
      </c>
      <c r="Y3" s="33" t="n">
        <v>405434283.051707</v>
      </c>
      <c r="Z3" s="32" t="n">
        <v>361080326.195122</v>
      </c>
      <c r="AA3" s="20" t="n">
        <v>374802100.723415</v>
      </c>
      <c r="AB3" s="32" t="n">
        <v>306780238.78878</v>
      </c>
      <c r="AC3" s="167" t="n">
        <v>257553412.594146</v>
      </c>
      <c r="AD3" s="33" t="n">
        <v>255662813.170732</v>
      </c>
      <c r="AE3" s="32" t="n">
        <v>244171179.390244</v>
      </c>
      <c r="AF3" s="20" t="n">
        <v>241328058.926341</v>
      </c>
      <c r="AG3" s="32" t="n">
        <v>222194731.707317</v>
      </c>
      <c r="AH3" s="32" t="n">
        <v>192726155.414634</v>
      </c>
      <c r="AI3" s="26" t="n">
        <v>258670635.479512</v>
      </c>
      <c r="AJ3" s="33" t="n">
        <v>238917246.087317</v>
      </c>
      <c r="AK3" s="32" t="n">
        <v>233998826.829268</v>
      </c>
      <c r="AL3" s="168" t="n">
        <v>235877205.542439</v>
      </c>
      <c r="AM3" s="32" t="n">
        <v>217804580.423902</v>
      </c>
      <c r="AN3" s="167" t="n">
        <v>212473712.195122</v>
      </c>
      <c r="AO3" s="33" t="n">
        <v>195809107.317073</v>
      </c>
      <c r="AP3" s="168" t="n">
        <v>198258804.234146</v>
      </c>
      <c r="AQ3" s="168" t="n">
        <v>194420390.243902</v>
      </c>
    </row>
    <row r="4" customFormat="false" ht="12.8" hidden="false" customHeight="false" outlineLevel="0" collapsed="false">
      <c r="A4" s="139" t="s">
        <v>182</v>
      </c>
      <c r="B4" s="20" t="n">
        <v>562794123.892683</v>
      </c>
      <c r="C4" s="25" t="n">
        <v>511029658.536585</v>
      </c>
      <c r="D4" s="32" t="n">
        <v>511029658.536585</v>
      </c>
      <c r="E4" s="20" t="n">
        <v>445473070.507317</v>
      </c>
      <c r="F4" s="32" t="n">
        <v>442892370.731707</v>
      </c>
      <c r="G4" s="20" t="n">
        <v>452045479.726829</v>
      </c>
      <c r="H4" s="32" t="n">
        <v>429361440.995122</v>
      </c>
      <c r="I4" s="26" t="n">
        <v>400306565.853659</v>
      </c>
      <c r="J4" s="33" t="n">
        <v>374124813.014634</v>
      </c>
      <c r="K4" s="25" t="n">
        <v>380220261.219512</v>
      </c>
      <c r="L4" s="32" t="n">
        <v>368168478.439024</v>
      </c>
      <c r="M4" s="20" t="n">
        <v>368793070.243902</v>
      </c>
      <c r="N4" s="20" t="n">
        <v>365059714.682927</v>
      </c>
      <c r="O4" s="32" t="n">
        <v>350907032.195122</v>
      </c>
      <c r="P4" s="167" t="n">
        <v>373610944.302439</v>
      </c>
      <c r="Q4" s="33" t="n">
        <v>382136622.439024</v>
      </c>
      <c r="R4" s="32" t="n">
        <v>383272243.902439</v>
      </c>
      <c r="S4" s="20" t="n">
        <v>399031830.760976</v>
      </c>
      <c r="T4" s="32" t="n">
        <v>388822593.804878</v>
      </c>
      <c r="U4" s="32" t="n">
        <v>425858048.780488</v>
      </c>
      <c r="V4" s="20" t="n">
        <v>398035322.926829</v>
      </c>
      <c r="W4" s="20" t="n">
        <v>384217648.770732</v>
      </c>
      <c r="X4" s="26" t="n">
        <v>425858048.780488</v>
      </c>
      <c r="Y4" s="33" t="n">
        <v>389878721.765854</v>
      </c>
      <c r="Z4" s="32" t="n">
        <v>371916029.268293</v>
      </c>
      <c r="AA4" s="20" t="n">
        <v>381952083.95122</v>
      </c>
      <c r="AB4" s="32" t="n">
        <v>340686439.02439</v>
      </c>
      <c r="AC4" s="167" t="n">
        <v>338415196.097561</v>
      </c>
      <c r="AD4" s="33" t="n">
        <v>325065965.795122</v>
      </c>
      <c r="AE4" s="32" t="n">
        <v>323300074.419512</v>
      </c>
      <c r="AF4" s="20" t="n">
        <v>335666992.156098</v>
      </c>
      <c r="AG4" s="32" t="n">
        <v>298100634.146341</v>
      </c>
      <c r="AH4" s="32" t="n">
        <v>251525958.878049</v>
      </c>
      <c r="AI4" s="26" t="n">
        <v>354881707.317073</v>
      </c>
      <c r="AJ4" s="33" t="n">
        <v>341140687.609756</v>
      </c>
      <c r="AK4" s="32" t="n">
        <v>340686439.02439</v>
      </c>
      <c r="AL4" s="32" t="n">
        <v>340686439.02439</v>
      </c>
      <c r="AM4" s="32" t="n">
        <v>293805145.960976</v>
      </c>
      <c r="AN4" s="167" t="n">
        <v>334554083.121951</v>
      </c>
      <c r="AO4" s="33" t="n">
        <v>340686439.02439</v>
      </c>
      <c r="AP4" s="32" t="n">
        <v>328106592.263415</v>
      </c>
      <c r="AQ4" s="32" t="n">
        <v>322082120.4</v>
      </c>
    </row>
    <row r="5" customFormat="false" ht="12.8" hidden="false" customHeight="false" outlineLevel="0" collapsed="false">
      <c r="A5" s="139" t="s">
        <v>185</v>
      </c>
      <c r="B5" s="20" t="n">
        <v>62220057.0713821</v>
      </c>
      <c r="C5" s="25" t="n">
        <v>62144861.7886179</v>
      </c>
      <c r="D5" s="32" t="n">
        <v>63831650.8943089</v>
      </c>
      <c r="E5" s="20" t="n">
        <v>61700969.9186992</v>
      </c>
      <c r="F5" s="32" t="n">
        <v>59925402.4390244</v>
      </c>
      <c r="G5" s="20" t="n">
        <v>63338930.9186992</v>
      </c>
      <c r="H5" s="32" t="n">
        <v>61541168.8455285</v>
      </c>
      <c r="I5" s="26" t="n">
        <v>62855088.7804878</v>
      </c>
      <c r="J5" s="33" t="n">
        <v>50294280.5373984</v>
      </c>
      <c r="K5" s="25" t="n">
        <v>18453451.0022764</v>
      </c>
      <c r="L5" s="32" t="n">
        <v>44389186.9918699</v>
      </c>
      <c r="M5" s="20" t="n">
        <v>44389186.9918699</v>
      </c>
      <c r="N5" s="20" t="n">
        <v>44398064.8292683</v>
      </c>
      <c r="O5" s="32" t="n">
        <v>45720862.601626</v>
      </c>
      <c r="P5" s="167" t="n">
        <v>43501403.2520325</v>
      </c>
      <c r="Q5" s="33" t="n">
        <v>35561065.4829268</v>
      </c>
      <c r="R5" s="32" t="n">
        <v>28142744.5528455</v>
      </c>
      <c r="S5" s="20" t="n">
        <v>25301836.5853659</v>
      </c>
      <c r="T5" s="32" t="n">
        <v>27521295.9349594</v>
      </c>
      <c r="U5" s="32" t="n">
        <v>24414052.8455285</v>
      </c>
      <c r="V5" s="20" t="n">
        <v>25854126.8499187</v>
      </c>
      <c r="W5" s="20" t="n">
        <v>25766857.7082927</v>
      </c>
      <c r="X5" s="26" t="n">
        <v>25766857.7082927</v>
      </c>
      <c r="Y5" s="33" t="n">
        <v>23979038.8130081</v>
      </c>
      <c r="Z5" s="32" t="n">
        <v>25648072.2439024</v>
      </c>
      <c r="AA5" s="20" t="n">
        <v>25710217.1056911</v>
      </c>
      <c r="AB5" s="32" t="n">
        <v>25914407.3658537</v>
      </c>
      <c r="AC5" s="167" t="n">
        <v>22886443.3643902</v>
      </c>
      <c r="AD5" s="33" t="n">
        <v>21306809.7560976</v>
      </c>
      <c r="AE5" s="32" t="n">
        <v>21306809.7560976</v>
      </c>
      <c r="AF5" s="20" t="n">
        <v>21306809.7560976</v>
      </c>
      <c r="AG5" s="32" t="n">
        <v>18288345.0406504</v>
      </c>
      <c r="AH5" s="32" t="n">
        <v>16734723.495935</v>
      </c>
      <c r="AI5" s="26" t="n">
        <v>19979573.0650407</v>
      </c>
      <c r="AJ5" s="33" t="n">
        <v>21741557.4534959</v>
      </c>
      <c r="AK5" s="32" t="n">
        <v>19486853.0894309</v>
      </c>
      <c r="AL5" s="168" t="n">
        <v>19531242.2764228</v>
      </c>
      <c r="AM5" s="32" t="n">
        <v>19531242.2764228</v>
      </c>
      <c r="AN5" s="167" t="n">
        <v>20862917.8861789</v>
      </c>
      <c r="AO5" s="33" t="n">
        <v>18643458.5365854</v>
      </c>
      <c r="AP5" s="168" t="n">
        <v>20989693.4042276</v>
      </c>
      <c r="AQ5" s="168" t="n">
        <v>21297931.9186992</v>
      </c>
    </row>
    <row r="6" customFormat="false" ht="12.8" hidden="false" customHeight="false" outlineLevel="0" collapsed="false">
      <c r="A6" s="139" t="s">
        <v>189</v>
      </c>
      <c r="B6" s="20" t="n">
        <v>25761875.5902439</v>
      </c>
      <c r="C6" s="25" t="n">
        <v>26572331.7073171</v>
      </c>
      <c r="D6" s="32" t="n">
        <v>27059491.1219512</v>
      </c>
      <c r="E6" s="20" t="n">
        <v>22881730.0813008</v>
      </c>
      <c r="F6" s="32" t="n">
        <v>21590019.5121951</v>
      </c>
      <c r="G6" s="20" t="n">
        <v>21405489.4308943</v>
      </c>
      <c r="H6" s="32" t="n">
        <v>21479301.4634146</v>
      </c>
      <c r="I6" s="26" t="n">
        <v>21390727.0243902</v>
      </c>
      <c r="J6" s="33" t="n">
        <v>21405489.4308943</v>
      </c>
      <c r="K6" s="25" t="n">
        <v>17659005.1056911</v>
      </c>
      <c r="L6" s="32" t="n">
        <v>18455222.4910569</v>
      </c>
      <c r="M6" s="20" t="n">
        <v>18453008.1300813</v>
      </c>
      <c r="N6" s="20" t="n">
        <v>18452270.0097561</v>
      </c>
      <c r="O6" s="32" t="n">
        <v>18438245.7235772</v>
      </c>
      <c r="P6" s="167" t="n">
        <v>19944011.1869919</v>
      </c>
      <c r="Q6" s="33" t="n">
        <v>20003060.8130081</v>
      </c>
      <c r="R6" s="32" t="n">
        <v>20372120.9756098</v>
      </c>
      <c r="S6" s="20" t="n">
        <v>20076872.8455285</v>
      </c>
      <c r="T6" s="32" t="n">
        <v>20973393.7925203</v>
      </c>
      <c r="U6" s="32" t="n">
        <v>20519745.0406504</v>
      </c>
      <c r="V6" s="20" t="n">
        <v>20572151.5837398</v>
      </c>
      <c r="W6" s="20" t="n">
        <v>19338752.5203252</v>
      </c>
      <c r="X6" s="26" t="n">
        <v>19338752.5203252</v>
      </c>
      <c r="Y6" s="33" t="n">
        <v>21110241.300813</v>
      </c>
      <c r="Z6" s="32" t="n">
        <v>20814993.1707317</v>
      </c>
      <c r="AA6" s="20" t="n">
        <v>21376555.1141463</v>
      </c>
      <c r="AB6" s="32" t="n">
        <v>21555770.7291057</v>
      </c>
      <c r="AC6" s="167" t="n">
        <v>20667369.1056911</v>
      </c>
      <c r="AD6" s="33" t="n">
        <v>19984607.8048781</v>
      </c>
      <c r="AE6" s="32" t="n">
        <v>19191128.4552846</v>
      </c>
      <c r="AF6" s="20" t="n">
        <v>19707369.8107317</v>
      </c>
      <c r="AG6" s="32" t="n">
        <v>17272015.6097561</v>
      </c>
      <c r="AH6" s="32" t="n">
        <v>17212965.9837398</v>
      </c>
      <c r="AI6" s="26" t="n">
        <v>24697506.0813008</v>
      </c>
      <c r="AJ6" s="33" t="n">
        <v>23002781.8146341</v>
      </c>
      <c r="AK6" s="32" t="n">
        <v>21110241.300813</v>
      </c>
      <c r="AL6" s="168" t="n">
        <v>21848361.6260163</v>
      </c>
      <c r="AM6" s="32" t="n">
        <v>19043504.3902439</v>
      </c>
      <c r="AN6" s="167" t="n">
        <v>20372120.9756098</v>
      </c>
      <c r="AO6" s="33" t="n">
        <v>18808929.7508943</v>
      </c>
      <c r="AP6" s="168" t="n">
        <v>17700863.5186992</v>
      </c>
      <c r="AQ6" s="168" t="n">
        <v>16415796.0325203</v>
      </c>
    </row>
    <row r="7" customFormat="false" ht="12.8" hidden="false" customHeight="false" outlineLevel="0" collapsed="false">
      <c r="A7" s="139" t="s">
        <v>26</v>
      </c>
      <c r="B7" s="20" t="n">
        <v>20312616.5666667</v>
      </c>
      <c r="C7" s="25" t="n">
        <v>21264438.2113821</v>
      </c>
      <c r="D7" s="32" t="n">
        <v>19553317.4326829</v>
      </c>
      <c r="E7" s="20" t="n">
        <v>19677539.8373984</v>
      </c>
      <c r="F7" s="32" t="n">
        <v>19042780.4878049</v>
      </c>
      <c r="G7" s="20" t="n">
        <v>18408021.1382114</v>
      </c>
      <c r="H7" s="32" t="n">
        <v>16802079.9837398</v>
      </c>
      <c r="I7" s="26" t="n">
        <v>16186363.4146341</v>
      </c>
      <c r="J7" s="33" t="n">
        <v>15234224.3902439</v>
      </c>
      <c r="K7" s="25" t="n">
        <v>14430902.3414634</v>
      </c>
      <c r="L7" s="32" t="n">
        <v>17144850.0325203</v>
      </c>
      <c r="M7" s="20" t="n">
        <v>15234224.3902439</v>
      </c>
      <c r="N7" s="20" t="n">
        <v>15234224.3902439</v>
      </c>
      <c r="O7" s="32" t="n">
        <v>15170748.4552846</v>
      </c>
      <c r="P7" s="167" t="n">
        <v>16503743.0894309</v>
      </c>
      <c r="Q7" s="33" t="n">
        <v>15424652.195122</v>
      </c>
      <c r="R7" s="32" t="n">
        <v>17132154.8455285</v>
      </c>
      <c r="S7" s="20" t="n">
        <v>17132154.8455285</v>
      </c>
      <c r="T7" s="32" t="n">
        <v>19038527.6001626</v>
      </c>
      <c r="U7" s="32" t="n">
        <v>19360160.1626016</v>
      </c>
      <c r="V7" s="20" t="n">
        <v>19085499.7920325</v>
      </c>
      <c r="W7" s="20" t="n">
        <v>19085499.7920325</v>
      </c>
      <c r="X7" s="26" t="n">
        <v>20947058.5365854</v>
      </c>
      <c r="Y7" s="33" t="n">
        <v>19677539.8373984</v>
      </c>
      <c r="Z7" s="32" t="n">
        <v>19042780.4878049</v>
      </c>
      <c r="AA7" s="20" t="n">
        <v>19042780.4878049</v>
      </c>
      <c r="AB7" s="32" t="n">
        <v>19994919.5121951</v>
      </c>
      <c r="AC7" s="167" t="n">
        <v>18953914.1788618</v>
      </c>
      <c r="AD7" s="33" t="n">
        <v>18344545.203252</v>
      </c>
      <c r="AE7" s="32" t="n">
        <v>18547668.195122</v>
      </c>
      <c r="AF7" s="20" t="n">
        <v>17484509.7604878</v>
      </c>
      <c r="AG7" s="32" t="n">
        <v>16507678.5973984</v>
      </c>
      <c r="AH7" s="32" t="n">
        <v>14599465.0406504</v>
      </c>
      <c r="AI7" s="26" t="n">
        <v>20419636.9930081</v>
      </c>
      <c r="AJ7" s="33" t="n">
        <v>19677539.8373984</v>
      </c>
      <c r="AK7" s="32" t="n">
        <v>16837563.0313821</v>
      </c>
      <c r="AL7" s="168" t="n">
        <v>16090832.1325203</v>
      </c>
      <c r="AM7" s="32" t="n">
        <v>15111208.0282927</v>
      </c>
      <c r="AN7" s="167" t="n">
        <v>16810966.6146342</v>
      </c>
      <c r="AO7" s="33" t="n">
        <v>13583850.0813008</v>
      </c>
      <c r="AP7" s="168" t="n">
        <v>15494475.7235772</v>
      </c>
      <c r="AQ7" s="168" t="n">
        <v>14599465.0406504</v>
      </c>
    </row>
    <row r="8" customFormat="false" ht="12.8" hidden="false" customHeight="false" outlineLevel="0" collapsed="false">
      <c r="A8" s="139" t="s">
        <v>193</v>
      </c>
      <c r="B8" s="20" t="n">
        <v>13999258.5365854</v>
      </c>
      <c r="C8" s="25" t="n">
        <v>13999258.5365854</v>
      </c>
      <c r="D8" s="32" t="n">
        <v>13999258.5365854</v>
      </c>
      <c r="E8" s="20" t="n">
        <v>13999258.5365854</v>
      </c>
      <c r="F8" s="32" t="n">
        <v>13999258.5365854</v>
      </c>
      <c r="G8" s="20" t="n">
        <v>14430902.3414634</v>
      </c>
      <c r="H8" s="32" t="n">
        <v>14430902.3414634</v>
      </c>
      <c r="I8" s="26" t="n">
        <v>14430902.3414634</v>
      </c>
      <c r="J8" s="33" t="n">
        <v>14430902.3414634</v>
      </c>
      <c r="K8" s="25"/>
      <c r="L8" s="32" t="n">
        <v>14430902.3414634</v>
      </c>
      <c r="M8" s="20" t="n">
        <v>14430902.3414634</v>
      </c>
      <c r="N8" s="20" t="n">
        <v>14430902.3414634</v>
      </c>
      <c r="O8" s="32" t="n">
        <v>14430902.3414634</v>
      </c>
      <c r="P8" s="167" t="n">
        <v>14419236.2926829</v>
      </c>
      <c r="Q8" s="33" t="n">
        <v>13999258.5365854</v>
      </c>
      <c r="R8" s="32" t="n">
        <v>13999258.5365854</v>
      </c>
      <c r="S8" s="20" t="n">
        <v>13999258.5365854</v>
      </c>
      <c r="T8" s="32" t="n">
        <v>13999258.5365854</v>
      </c>
      <c r="U8" s="32" t="n">
        <v>13194301.1707317</v>
      </c>
      <c r="V8" s="20" t="n">
        <v>13194301.1707317</v>
      </c>
      <c r="W8" s="20" t="n">
        <v>13194301.1707317</v>
      </c>
      <c r="X8" s="26" t="n">
        <v>13194301.1707317</v>
      </c>
      <c r="Y8" s="33" t="n">
        <v>13194301.1707317</v>
      </c>
      <c r="Z8" s="32" t="n">
        <v>14710887.5121951</v>
      </c>
      <c r="AA8" s="20" t="n">
        <v>14710887.5121951</v>
      </c>
      <c r="AB8" s="32" t="n">
        <v>14710887.5121951</v>
      </c>
      <c r="AC8" s="167" t="n">
        <v>14710887.5121951</v>
      </c>
      <c r="AD8" s="33" t="n">
        <v>14710887.5121951</v>
      </c>
      <c r="AE8" s="32" t="n">
        <v>19260646.5365854</v>
      </c>
      <c r="AF8" s="20" t="n">
        <v>19260646.5365854</v>
      </c>
      <c r="AG8" s="32" t="n">
        <v>19260646.5365854</v>
      </c>
      <c r="AH8" s="32" t="n">
        <v>19260646.5365854</v>
      </c>
      <c r="AI8" s="26" t="n">
        <v>19260646.5365854</v>
      </c>
      <c r="AJ8" s="33" t="n">
        <v>18094041.6585366</v>
      </c>
      <c r="AK8" s="32" t="n">
        <v>18094041.6585366</v>
      </c>
      <c r="AL8" s="168" t="n">
        <v>18094041.6585366</v>
      </c>
      <c r="AM8" s="32" t="n">
        <v>17499073.1707317</v>
      </c>
      <c r="AN8" s="167" t="n">
        <v>17499073.1707317</v>
      </c>
      <c r="AO8" s="33" t="n">
        <v>18082375.6097561</v>
      </c>
      <c r="AP8" s="168" t="n">
        <v>18082375.6097561</v>
      </c>
      <c r="AQ8" s="168" t="n">
        <v>18094041.6585366</v>
      </c>
    </row>
    <row r="10" customFormat="false" ht="12.8" hidden="false" customHeight="false" outlineLevel="0" collapsed="false">
      <c r="A10" s="1" t="s">
        <v>216</v>
      </c>
      <c r="B10" s="191" t="n">
        <f aca="false">SUM(B2:B8)</f>
        <v>2200812305.39024</v>
      </c>
      <c r="C10" s="181" t="n">
        <f aca="false">SUM(C2:C8)</f>
        <v>2103785401.96195</v>
      </c>
      <c r="D10" s="187" t="n">
        <f aca="false">SUM(D2:D8)</f>
        <v>2149840417.98504</v>
      </c>
      <c r="E10" s="181" t="n">
        <f aca="false">SUM(E2:E8)</f>
        <v>2007331119.10325</v>
      </c>
      <c r="F10" s="187" t="n">
        <f aca="false">SUM(F2:F8)</f>
        <v>1901806773.45073</v>
      </c>
      <c r="G10" s="181" t="n">
        <f aca="false">SUM(G2:G8)</f>
        <v>1765703852.78927</v>
      </c>
      <c r="H10" s="187" t="n">
        <f aca="false">SUM(H2:H8)</f>
        <v>1760745061.31463</v>
      </c>
      <c r="I10" s="184" t="n">
        <f aca="false">SUM(I2:I8)</f>
        <v>1599714289.6322</v>
      </c>
      <c r="J10" s="185" t="n">
        <f aca="false">SUM(J2:J8)</f>
        <v>1412925155.99317</v>
      </c>
      <c r="K10" s="181" t="n">
        <f aca="false">SUM(K2:K8)</f>
        <v>1310981226.36846</v>
      </c>
      <c r="L10" s="187" t="n">
        <f aca="false">SUM(L2:L8)</f>
        <v>1317205119.14228</v>
      </c>
      <c r="M10" s="181" t="n">
        <f aca="false">SUM(M2:M8)</f>
        <v>1315311437.86488</v>
      </c>
      <c r="N10" s="181" t="n">
        <f aca="false">SUM(N2:N8)</f>
        <v>1302224485.12049</v>
      </c>
      <c r="O10" s="187" t="n">
        <f aca="false">SUM(O2:O8)</f>
        <v>1240979290.82927</v>
      </c>
      <c r="P10" s="186" t="n">
        <f aca="false">SUM(P2:P8)</f>
        <v>1296476172.40016</v>
      </c>
      <c r="Q10" s="185" t="n">
        <f aca="false">SUM(Q2:Q8)</f>
        <v>1229023564.88813</v>
      </c>
      <c r="R10" s="187" t="n">
        <f aca="false">SUM(R2:R8)</f>
        <v>1189137658.51935</v>
      </c>
      <c r="S10" s="181" t="n">
        <f aca="false">SUM(S2:S8)</f>
        <v>1245424096.2974</v>
      </c>
      <c r="T10" s="187" t="n">
        <f aca="false">SUM(T2:T8)</f>
        <v>1246563390.25545</v>
      </c>
      <c r="U10" s="187" t="n">
        <f aca="false">SUM(U2:U8)</f>
        <v>1362201421.71415</v>
      </c>
      <c r="V10" s="181" t="n">
        <f aca="false">SUM(V2:V8)</f>
        <v>1312978919.98862</v>
      </c>
      <c r="W10" s="181" t="n">
        <f aca="false">SUM(W2:W8)</f>
        <v>1242420707.8148</v>
      </c>
      <c r="X10" s="184" t="n">
        <f aca="false">SUM(X2:X8)</f>
        <v>1361289082.65008</v>
      </c>
      <c r="Y10" s="185" t="n">
        <f aca="false">SUM(Y2:Y8)</f>
        <v>1307813639.87951</v>
      </c>
      <c r="Z10" s="187" t="n">
        <f aca="false">SUM(Z2:Z8)</f>
        <v>1192592881.55805</v>
      </c>
      <c r="AA10" s="181" t="n">
        <f aca="false">SUM(AA2:AA8)</f>
        <v>1232258989.67447</v>
      </c>
      <c r="AB10" s="187" t="n">
        <f aca="false">SUM(AB2:AB8)</f>
        <v>1055706740.43252</v>
      </c>
      <c r="AC10" s="186" t="n">
        <f aca="false">SUM(AC2:AC8)</f>
        <v>968722919.952845</v>
      </c>
      <c r="AD10" s="185" t="n">
        <f aca="false">SUM(AD2:AD8)</f>
        <v>925586058.942277</v>
      </c>
      <c r="AE10" s="187" t="n">
        <f aca="false">SUM(AE2:AE8)</f>
        <v>901900538.532846</v>
      </c>
      <c r="AF10" s="181" t="n">
        <f aca="false">SUM(AF2:AF8)</f>
        <v>916871920.806342</v>
      </c>
      <c r="AG10" s="187" t="n">
        <f aca="false">SUM(AG2:AG8)</f>
        <v>806604180.078048</v>
      </c>
      <c r="AH10" s="187" t="n">
        <f aca="false">SUM(AH2:AH8)</f>
        <v>735413298.889594</v>
      </c>
      <c r="AI10" s="184" t="n">
        <f aca="false">SUM(AI2:AI8)</f>
        <v>991084807.97252</v>
      </c>
      <c r="AJ10" s="185" t="n">
        <f aca="false">SUM(AJ2:AJ8)</f>
        <v>908935438.461138</v>
      </c>
      <c r="AK10" s="187" t="n">
        <f aca="false">SUM(AK2:AK8)</f>
        <v>859586847.393821</v>
      </c>
      <c r="AL10" s="187" t="n">
        <f aca="false">SUM(AL2:AL8)</f>
        <v>856229504.220325</v>
      </c>
      <c r="AM10" s="187" t="n">
        <f aca="false">SUM(AM2:AM8)</f>
        <v>779826581.550569</v>
      </c>
      <c r="AN10" s="186" t="n">
        <f aca="false">SUM(AN2:AN8)</f>
        <v>831935380.184228</v>
      </c>
      <c r="AO10" s="185" t="n">
        <f aca="false">SUM(AO2:AO8)</f>
        <v>792771883.52</v>
      </c>
      <c r="AP10" s="187" t="n">
        <f aca="false">SUM(AP2:AP8)</f>
        <v>793430405.233821</v>
      </c>
      <c r="AQ10" s="187" t="n">
        <f aca="false">SUM(AQ2:AQ8)</f>
        <v>777943735.294308</v>
      </c>
    </row>
    <row r="11" customFormat="false" ht="12.8" hidden="false" customHeight="false" outlineLevel="0" collapsed="false">
      <c r="A11" s="1" t="s">
        <v>202</v>
      </c>
      <c r="B11" s="191" t="n">
        <f aca="false">SUMPRODUCT(B2:B8,B15:B21)</f>
        <v>683846541.808102</v>
      </c>
      <c r="C11" s="181" t="n">
        <f aca="false">SUMPRODUCT(C2:C8,C15:C21)</f>
        <v>656655607.477191</v>
      </c>
      <c r="D11" s="187" t="n">
        <f aca="false">SUMPRODUCT(D2:D8,D15:D21)</f>
        <v>676234457.481429</v>
      </c>
      <c r="E11" s="181" t="n">
        <f aca="false">SUMPRODUCT(E2:E8,E15:E21)</f>
        <v>642190602.969201</v>
      </c>
      <c r="F11" s="187" t="n">
        <f aca="false">SUMPRODUCT(F2:F8,F15:F21)</f>
        <v>599034617.253283</v>
      </c>
      <c r="G11" s="181" t="n">
        <f aca="false">SUMPRODUCT(G2:G8,G15:G21)</f>
        <v>529103336.365401</v>
      </c>
      <c r="H11" s="187" t="n">
        <f aca="false">SUMPRODUCT(H2:H8,H15:H21)</f>
        <v>531700609.307589</v>
      </c>
      <c r="I11" s="184" t="n">
        <f aca="false">SUMPRODUCT(I2:I8,I15:I21)</f>
        <v>478259968.964289</v>
      </c>
      <c r="J11" s="185" t="n">
        <f aca="false">SUMPRODUCT(J2:J8,J15:J21)</f>
        <v>417314786.145494</v>
      </c>
      <c r="K11" s="181" t="n">
        <f aca="false">SUMPRODUCT(K2:K8,K15:K21)</f>
        <v>408995682.791747</v>
      </c>
      <c r="L11" s="187" t="n">
        <f aca="false">SUMPRODUCT(L2:L8,L15:L21)</f>
        <v>384205120.447037</v>
      </c>
      <c r="M11" s="181" t="n">
        <f aca="false">SUMPRODUCT(M2:M8,M15:M21)</f>
        <v>384501192.354212</v>
      </c>
      <c r="N11" s="181" t="n">
        <f aca="false">SUMPRODUCT(N2:N8,N15:N21)</f>
        <v>380150312.008368</v>
      </c>
      <c r="O11" s="187" t="n">
        <f aca="false">SUMPRODUCT(O2:O8,O15:O21)</f>
        <v>359047146.102018</v>
      </c>
      <c r="P11" s="186" t="n">
        <f aca="false">SUMPRODUCT(P2:P8,P15:P21)</f>
        <v>377655270.160249</v>
      </c>
      <c r="Q11" s="185" t="n">
        <f aca="false">SUMPRODUCT(Q2:Q8,Q15:Q21)</f>
        <v>361053558.700971</v>
      </c>
      <c r="R11" s="187" t="n">
        <f aca="false">SUMPRODUCT(R2:R8,R15:R21)</f>
        <v>350548633.417661</v>
      </c>
      <c r="S11" s="181" t="n">
        <f aca="false">SUMPRODUCT(S2:S8,S15:S21)</f>
        <v>369289456.562845</v>
      </c>
      <c r="T11" s="187" t="n">
        <f aca="false">SUMPRODUCT(T2:T8,T15:T21)</f>
        <v>367416713.725398</v>
      </c>
      <c r="U11" s="187" t="n">
        <f aca="false">SUMPRODUCT(U2:U8,U15:U21)</f>
        <v>407132327.175341</v>
      </c>
      <c r="V11" s="181" t="n">
        <f aca="false">SUMPRODUCT(V2:V8,V15:V21)</f>
        <v>389776760.018241</v>
      </c>
      <c r="W11" s="181" t="n">
        <f aca="false">SUMPRODUCT(W2:W8,W15:W21)</f>
        <v>366372390.545696</v>
      </c>
      <c r="X11" s="184" t="n">
        <f aca="false">SUMPRODUCT(X2:X8,X15:X21)</f>
        <v>405218126.067332</v>
      </c>
      <c r="Y11" s="185" t="n">
        <f aca="false">SUMPRODUCT(Y2:Y8,Y15:Y21)</f>
        <v>387508495.880912</v>
      </c>
      <c r="Z11" s="187" t="n">
        <f aca="false">SUMPRODUCT(Z2:Z8,Z15:Z21)</f>
        <v>347394063.4252</v>
      </c>
      <c r="AA11" s="181" t="n">
        <f aca="false">SUMPRODUCT(AA2:AA8,AA15:AA21)</f>
        <v>360168587.73989</v>
      </c>
      <c r="AB11" s="187" t="n">
        <f aca="false">SUMPRODUCT(AB2:AB8,AB15:AB21)</f>
        <v>301458302.644259</v>
      </c>
      <c r="AC11" s="186" t="n">
        <f aca="false">SUMPRODUCT(AC2:AC8,AC15:AC21)</f>
        <v>278435183.583632</v>
      </c>
      <c r="AD11" s="185" t="n">
        <f aca="false">SUMPRODUCT(AD2:AD8,AD15:AD21)</f>
        <v>265360031.734977</v>
      </c>
      <c r="AE11" s="187" t="n">
        <f aca="false">SUMPRODUCT(AE2:AE8,AE15:AE21)</f>
        <v>256434904.454926</v>
      </c>
      <c r="AF11" s="181" t="n">
        <f aca="false">SUMPRODUCT(AF2:AF8,AF15:AF21)</f>
        <v>262998788.474698</v>
      </c>
      <c r="AG11" s="187" t="n">
        <f aca="false">SUMPRODUCT(AG2:AG8,AG15:AG21)</f>
        <v>230258172.637137</v>
      </c>
      <c r="AH11" s="187" t="n">
        <f aca="false">SUMPRODUCT(AH2:AH8,AH15:AH21)</f>
        <v>205946597.907329</v>
      </c>
      <c r="AI11" s="184" t="n">
        <f aca="false">SUMPRODUCT(AI2:AI8,AI15:AI21)</f>
        <v>283124356.808577</v>
      </c>
      <c r="AJ11" s="185" t="n">
        <f aca="false">SUMPRODUCT(AJ2:AJ8,AJ15:AJ21)</f>
        <v>259500138.866229</v>
      </c>
      <c r="AK11" s="187" t="n">
        <f aca="false">SUMPRODUCT(AK2:AK8,AK15:AK21)</f>
        <v>251395170.669336</v>
      </c>
      <c r="AL11" s="187" t="n">
        <f aca="false">SUMPRODUCT(AL2:AL8,AL15:AL21)</f>
        <v>250876439.601404</v>
      </c>
      <c r="AM11" s="187" t="n">
        <f aca="false">SUMPRODUCT(AM2:AM8,AM15:AM21)</f>
        <v>222947684.502488</v>
      </c>
      <c r="AN11" s="186" t="n">
        <f aca="false">SUMPRODUCT(AN2:AN8,AN15:AN21)</f>
        <v>243219951.397643</v>
      </c>
      <c r="AO11" s="185" t="n">
        <f aca="false">SUMPRODUCT(AO2:AO8,AO15:AO21)</f>
        <v>240484458.688966</v>
      </c>
      <c r="AP11" s="187" t="n">
        <f aca="false">SUMPRODUCT(AP2:AP8,AP15:AP21)</f>
        <v>234711869.058133</v>
      </c>
      <c r="AQ11" s="187" t="n">
        <f aca="false">SUMPRODUCT(AQ2:AQ8,AQ15:AQ21)</f>
        <v>230471403.793554</v>
      </c>
    </row>
    <row r="12" s="23" customFormat="true" ht="12.8" hidden="false" customHeight="false" outlineLevel="0" collapsed="false">
      <c r="A12" s="23" t="s">
        <v>217</v>
      </c>
      <c r="B12" s="192" t="n">
        <f aca="false">B11/$AQ11*1000</f>
        <v>2967.16438808461</v>
      </c>
      <c r="C12" s="193" t="n">
        <f aca="false">C11/$AQ11*1000</f>
        <v>2849.184743394</v>
      </c>
      <c r="D12" s="194" t="n">
        <f aca="false">D11/$AQ11*1000</f>
        <v>2934.13606352296</v>
      </c>
      <c r="E12" s="195" t="n">
        <f aca="false">E11/$AQ11*1000</f>
        <v>2786.422056701</v>
      </c>
      <c r="F12" s="194" t="n">
        <f aca="false">F11/$AQ11*1000</f>
        <v>2599.17112228757</v>
      </c>
      <c r="G12" s="195" t="n">
        <f aca="false">G11/$AQ11*1000</f>
        <v>2295.74397368338</v>
      </c>
      <c r="H12" s="194" t="n">
        <f aca="false">H11/$AQ11*1000</f>
        <v>2307.01336719354</v>
      </c>
      <c r="I12" s="196" t="n">
        <f aca="false">I11/$AQ11*1000</f>
        <v>2075.13800450789</v>
      </c>
      <c r="J12" s="197" t="n">
        <f aca="false">J11/$AQ11*1000</f>
        <v>1810.70093415713</v>
      </c>
      <c r="K12" s="195" t="n">
        <f aca="false">K11/$AQ11*1000</f>
        <v>1774.60490134432</v>
      </c>
      <c r="L12" s="194" t="n">
        <f aca="false">L11/$AQ11*1000</f>
        <v>1667.04031009066</v>
      </c>
      <c r="M12" s="195" t="n">
        <f aca="false">M11/$AQ11*1000</f>
        <v>1668.32494628544</v>
      </c>
      <c r="N12" s="195" t="n">
        <f aca="false">N11/$AQ11*1000</f>
        <v>1649.44676758636</v>
      </c>
      <c r="O12" s="194" t="n">
        <f aca="false">O11/$AQ11*1000</f>
        <v>1557.88154275155</v>
      </c>
      <c r="P12" s="198" t="n">
        <f aca="false">P11/$AQ11*1000</f>
        <v>1638.62094795299</v>
      </c>
      <c r="Q12" s="197" t="n">
        <f aca="false">Q11/$AQ11*1000</f>
        <v>1566.58723276744</v>
      </c>
      <c r="R12" s="194" t="n">
        <f aca="false">R11/$AQ11*1000</f>
        <v>1521.00706485767</v>
      </c>
      <c r="S12" s="195" t="n">
        <f aca="false">S11/$AQ11*1000</f>
        <v>1602.32224251837</v>
      </c>
      <c r="T12" s="194" t="n">
        <f aca="false">T11/$AQ11*1000</f>
        <v>1594.19653665369</v>
      </c>
      <c r="U12" s="194" t="n">
        <f aca="false">U11/$AQ11*1000</f>
        <v>1766.51992600362</v>
      </c>
      <c r="V12" s="195" t="n">
        <f aca="false">V11/$AQ11*1000</f>
        <v>1691.21528138643</v>
      </c>
      <c r="W12" s="195" t="n">
        <f aca="false">W11/$AQ11*1000</f>
        <v>1589.66528825362</v>
      </c>
      <c r="X12" s="196" t="n">
        <f aca="false">X11/$AQ11*1000</f>
        <v>1758.21433547699</v>
      </c>
      <c r="Y12" s="197" t="n">
        <f aca="false">Y11/$AQ11*1000</f>
        <v>1681.37343506626</v>
      </c>
      <c r="Z12" s="194" t="n">
        <f aca="false">Z11/$AQ11*1000</f>
        <v>1507.31959673565</v>
      </c>
      <c r="AA12" s="195" t="n">
        <f aca="false">AA11/$AQ11*1000</f>
        <v>1562.74740298156</v>
      </c>
      <c r="AB12" s="194" t="n">
        <f aca="false">AB11/$AQ11*1000</f>
        <v>1308.00740431248</v>
      </c>
      <c r="AC12" s="198" t="n">
        <f aca="false">AC11/$AQ11*1000</f>
        <v>1208.11163120715</v>
      </c>
      <c r="AD12" s="197" t="n">
        <f aca="false">AD11/$AQ11*1000</f>
        <v>1151.37942220665</v>
      </c>
      <c r="AE12" s="194" t="n">
        <f aca="false">AE11/$AQ11*1000</f>
        <v>1112.65389212724</v>
      </c>
      <c r="AF12" s="195" t="n">
        <f aca="false">AF11/$AQ11*1000</f>
        <v>1141.13414569332</v>
      </c>
      <c r="AG12" s="194" t="n">
        <f aca="false">AG11/$AQ11*1000</f>
        <v>999.074804279808</v>
      </c>
      <c r="AH12" s="194" t="n">
        <f aca="false">AH11/$AQ11*1000</f>
        <v>893.588508237692</v>
      </c>
      <c r="AI12" s="196" t="n">
        <f aca="false">AI11/$AQ11*1000</f>
        <v>1228.45764007316</v>
      </c>
      <c r="AJ12" s="197" t="n">
        <f aca="false">AJ11/$AQ11*1000</f>
        <v>1125.95373914014</v>
      </c>
      <c r="AK12" s="194" t="n">
        <f aca="false">AK11/$AQ11*1000</f>
        <v>1090.78682444493</v>
      </c>
      <c r="AL12" s="194" t="n">
        <f aca="false">AL11/$AQ11*1000</f>
        <v>1088.53608504996</v>
      </c>
      <c r="AM12" s="194" t="n">
        <f aca="false">AM11/$AQ11*1000</f>
        <v>967.355085415259</v>
      </c>
      <c r="AN12" s="198" t="n">
        <f aca="false">AN11/$AQ11*1000</f>
        <v>1055.31509503673</v>
      </c>
      <c r="AO12" s="197" t="n">
        <f aca="false">AO11/$AQ11*1000</f>
        <v>1043.44597520819</v>
      </c>
      <c r="AP12" s="199" t="n">
        <f aca="false">AP11/$AQ11*1000</f>
        <v>1018.39909504945</v>
      </c>
      <c r="AQ12" s="200" t="n">
        <v>1000</v>
      </c>
    </row>
    <row r="13" customFormat="false" ht="12.8" hidden="false" customHeight="false" outlineLevel="0" collapsed="false">
      <c r="A13" s="1" t="s">
        <v>218</v>
      </c>
      <c r="B13" s="201" t="n">
        <f aca="false">B10/C10-1</f>
        <v>0.0461201524346579</v>
      </c>
      <c r="C13" s="118" t="n">
        <f aca="false">C10/D10-1</f>
        <v>-0.0214225277549928</v>
      </c>
      <c r="D13" s="117" t="n">
        <f aca="false">D10/E10-1</f>
        <v>0.0709944151842037</v>
      </c>
      <c r="E13" s="79" t="n">
        <f aca="false">E10/F10-1</f>
        <v>0.0554863654529167</v>
      </c>
      <c r="F13" s="117" t="n">
        <f aca="false">F10/G10-1</f>
        <v>0.0770813975664508</v>
      </c>
      <c r="G13" s="79" t="n">
        <f aca="false">G10/H10-1</f>
        <v>0.00281630292969925</v>
      </c>
      <c r="H13" s="117" t="n">
        <f aca="false">H10/I10-1</f>
        <v>0.100662207449221</v>
      </c>
      <c r="I13" s="176" t="n">
        <f aca="false">I10/J10-1</f>
        <v>0.132200302929512</v>
      </c>
      <c r="J13" s="177" t="n">
        <f aca="false">J10/L10-1</f>
        <v>0.0726690440690243</v>
      </c>
      <c r="K13" s="79" t="n">
        <f aca="false">K10/L10-1</f>
        <v>-0.00472507484473972</v>
      </c>
      <c r="L13" s="117" t="n">
        <f aca="false">L10/M10-1</f>
        <v>0.00143972083180022</v>
      </c>
      <c r="M13" s="79" t="n">
        <f aca="false">M10/N10-1</f>
        <v>0.0100496902753129</v>
      </c>
      <c r="N13" s="79" t="n">
        <f aca="false">N10/O10-1</f>
        <v>0.0493523096991355</v>
      </c>
      <c r="O13" s="117" t="n">
        <f aca="false">O10/P10-1</f>
        <v>-0.0428059402496791</v>
      </c>
      <c r="P13" s="178" t="n">
        <f aca="false">P10/Q10-1</f>
        <v>0.0548830872239401</v>
      </c>
      <c r="Q13" s="177" t="n">
        <f aca="false">Q10/R10-1</f>
        <v>0.0335418747215892</v>
      </c>
      <c r="R13" s="117" t="n">
        <f aca="false">R10/S10-1</f>
        <v>-0.0451945951145377</v>
      </c>
      <c r="S13" s="79" t="n">
        <f aca="false">S10/T10-1</f>
        <v>-0.000913947872168697</v>
      </c>
      <c r="T13" s="117" t="n">
        <f aca="false">T10/U10-1</f>
        <v>-0.0848905526123917</v>
      </c>
      <c r="U13" s="117" t="n">
        <f aca="false">U10/V10-1</f>
        <v>0.0374891789777974</v>
      </c>
      <c r="V13" s="79" t="n">
        <f aca="false">V10/W10-1</f>
        <v>0.0567909177060644</v>
      </c>
      <c r="W13" s="79" t="n">
        <f aca="false">W10/X10-1</f>
        <v>-0.0873204496754491</v>
      </c>
      <c r="X13" s="176" t="n">
        <f aca="false">X10/Y10-1</f>
        <v>0.0408891918083192</v>
      </c>
      <c r="Y13" s="177" t="n">
        <f aca="false">Y10/Z10-1</f>
        <v>0.0966136559283619</v>
      </c>
      <c r="Z13" s="117" t="n">
        <f aca="false">Z10/AA10-1</f>
        <v>-0.0321897494348179</v>
      </c>
      <c r="AA13" s="79" t="n">
        <f aca="false">AA10/AB10-1</f>
        <v>0.167236072746509</v>
      </c>
      <c r="AB13" s="117" t="n">
        <f aca="false">AB10/AC10-1</f>
        <v>0.0897922601892278</v>
      </c>
      <c r="AC13" s="178" t="n">
        <f aca="false">AC10/AD10-1</f>
        <v>0.0466049165216074</v>
      </c>
      <c r="AD13" s="177" t="n">
        <f aca="false">AD10/AE10-1</f>
        <v>0.0262617876334361</v>
      </c>
      <c r="AE13" s="117" t="n">
        <f aca="false">AE10/AF10-1</f>
        <v>-0.016328760793906</v>
      </c>
      <c r="AF13" s="79" t="n">
        <f aca="false">AF10/AG10-1</f>
        <v>0.136706135985588</v>
      </c>
      <c r="AG13" s="117" t="n">
        <f aca="false">AG10/AH10-1</f>
        <v>0.0968039078106779</v>
      </c>
      <c r="AH13" s="117" t="n">
        <f aca="false">AH10/AI10-1</f>
        <v>-0.25797137341451</v>
      </c>
      <c r="AI13" s="176" t="n">
        <f aca="false">AI10/AJ10-1</f>
        <v>0.0903797630010597</v>
      </c>
      <c r="AJ13" s="177" t="n">
        <f aca="false">AJ10/AK10-1</f>
        <v>0.0574096628129399</v>
      </c>
      <c r="AK13" s="117" t="n">
        <f aca="false">AK10/AM10-1</f>
        <v>0.102279491017939</v>
      </c>
      <c r="AL13" s="117"/>
      <c r="AM13" s="117" t="n">
        <f aca="false">AM10/AN10-1</f>
        <v>-0.0626356323758213</v>
      </c>
      <c r="AN13" s="178" t="n">
        <f aca="false">AN10/AO10-1</f>
        <v>0.0494007134692234</v>
      </c>
      <c r="AO13" s="177" t="n">
        <f aca="false">AO10/AP10-1</f>
        <v>-0.000829967832689071</v>
      </c>
      <c r="AP13" s="179" t="n">
        <f aca="false">AP10/AQ10-1</f>
        <v>0.0199071851046577</v>
      </c>
    </row>
    <row r="14" customFormat="false" ht="12.8" hidden="false" customHeight="false" outlineLevel="0" collapsed="false">
      <c r="K14" s="40"/>
    </row>
    <row r="15" customFormat="false" ht="12.8" hidden="false" customHeight="false" outlineLevel="0" collapsed="false">
      <c r="A15" s="139" t="s">
        <v>24</v>
      </c>
      <c r="B15" s="118" t="n">
        <f aca="false">B2/B$10</f>
        <v>0.403970016717238</v>
      </c>
      <c r="C15" s="118" t="n">
        <f aca="false">C2/C$10</f>
        <v>0.413244837476881</v>
      </c>
      <c r="D15" s="179" t="n">
        <f aca="false">D2/D$10</f>
        <v>0.418483275434568</v>
      </c>
      <c r="E15" s="118" t="n">
        <f aca="false">E2/E$10</f>
        <v>0.433254712719504</v>
      </c>
      <c r="F15" s="179" t="n">
        <f aca="false">F2/F$10</f>
        <v>0.422832651300804</v>
      </c>
      <c r="G15" s="118" t="n">
        <f aca="false">G2/G$10</f>
        <v>0.377892762824273</v>
      </c>
      <c r="H15" s="179" t="n">
        <f aca="false">H2/H$10</f>
        <v>0.37774641298917</v>
      </c>
      <c r="I15" s="176" t="n">
        <f aca="false">I2/I$10</f>
        <v>0.387071371639974</v>
      </c>
      <c r="J15" s="177" t="n">
        <f aca="false">J2/J$10</f>
        <v>0.373139273445386</v>
      </c>
      <c r="K15" s="118" t="n">
        <f aca="false">K2/K$10</f>
        <v>0.367002699506832</v>
      </c>
      <c r="L15" s="179" t="n">
        <f aca="false">L2/L$10</f>
        <v>0.351412682317402</v>
      </c>
      <c r="M15" s="118" t="n">
        <f aca="false">M2/M$10</f>
        <v>0.350490462402076</v>
      </c>
      <c r="N15" s="118" t="n">
        <f aca="false">N2/N$10</f>
        <v>0.350375350573894</v>
      </c>
      <c r="O15" s="179" t="n">
        <f aca="false">O2/O$10</f>
        <v>0.349384234857188</v>
      </c>
      <c r="P15" s="178" t="n">
        <f aca="false">P2/P$10</f>
        <v>0.354279561937241</v>
      </c>
      <c r="Q15" s="177" t="n">
        <f aca="false">Q2/Q$10</f>
        <v>0.352127470492718</v>
      </c>
      <c r="R15" s="179" t="n">
        <f aca="false">R2/R$10</f>
        <v>0.345506992076574</v>
      </c>
      <c r="S15" s="118" t="n">
        <f aca="false">S2/S$10</f>
        <v>0.339146742507813</v>
      </c>
      <c r="T15" s="179" t="n">
        <f aca="false">T2/T$10</f>
        <v>0.346397535669256</v>
      </c>
      <c r="U15" s="179" t="n">
        <f aca="false">U2/U$10</f>
        <v>0.34300132978282</v>
      </c>
      <c r="V15" s="118" t="n">
        <f aca="false">V2/V$10</f>
        <v>0.342893611196669</v>
      </c>
      <c r="W15" s="118" t="n">
        <f aca="false">W2/W$10</f>
        <v>0.333541794251688</v>
      </c>
      <c r="X15" s="176" t="n">
        <f aca="false">X2/X$10</f>
        <v>0.338208617073252</v>
      </c>
      <c r="Y15" s="177" t="n">
        <f aca="false">Y2/Y$10</f>
        <v>0.332264093819999</v>
      </c>
      <c r="Z15" s="179" t="n">
        <f aca="false">Z2/Z$10</f>
        <v>0.318113413677569</v>
      </c>
      <c r="AA15" s="118" t="n">
        <f aca="false">AA2/AA$10</f>
        <v>0.320277123629878</v>
      </c>
      <c r="AB15" s="179" t="n">
        <f aca="false">AB2/AB$10</f>
        <v>0.308858573135957</v>
      </c>
      <c r="AC15" s="178" t="n">
        <f aca="false">AC2/AC$10</f>
        <v>0.305077634701144</v>
      </c>
      <c r="AD15" s="177" t="n">
        <f aca="false">AD2/AD$10</f>
        <v>0.2922585394265</v>
      </c>
      <c r="AE15" s="179" t="n">
        <f aca="false">AE2/AE$10</f>
        <v>0.283981460080559</v>
      </c>
      <c r="AF15" s="118" t="n">
        <f aca="false">AF2/AF$10</f>
        <v>0.28588238761798</v>
      </c>
      <c r="AG15" s="179" t="n">
        <f aca="false">AG2/AG$10</f>
        <v>0.266524937199307</v>
      </c>
      <c r="AH15" s="179" t="n">
        <f aca="false">AH2/AH$10</f>
        <v>0.303711374103845</v>
      </c>
      <c r="AI15" s="176" t="n">
        <f aca="false">AI2/AI$10</f>
        <v>0.295812326192098</v>
      </c>
      <c r="AJ15" s="177" t="n">
        <f aca="false">AJ2/AJ$10</f>
        <v>0.271044095735886</v>
      </c>
      <c r="AK15" s="179" t="n">
        <f aca="false">AK2/AK$10</f>
        <v>0.243573855387384</v>
      </c>
      <c r="AL15" s="179" t="n">
        <f aca="false">AL2/AL$10</f>
        <v>0.238372283311883</v>
      </c>
      <c r="AM15" s="179" t="n">
        <f aca="false">AM2/AM$10</f>
        <v>0.252661081273008</v>
      </c>
      <c r="AN15" s="178" t="n">
        <f aca="false">AN2/AN$10</f>
        <v>0.251657173389642</v>
      </c>
      <c r="AO15" s="177" t="n">
        <f aca="false">AO2/AO$10</f>
        <v>0.236080172733924</v>
      </c>
      <c r="AP15" s="179" t="n">
        <f aca="false">AP2/AP$10</f>
        <v>0.245513153006273</v>
      </c>
      <c r="AQ15" s="179" t="n">
        <f aca="false">AQ2/AQ$10</f>
        <v>0.245562733309664</v>
      </c>
    </row>
    <row r="16" customFormat="false" ht="12.8" hidden="false" customHeight="false" outlineLevel="0" collapsed="false">
      <c r="A16" s="139" t="s">
        <v>181</v>
      </c>
      <c r="B16" s="118" t="n">
        <f aca="false">B3/B$10</f>
        <v>0.284741315012579</v>
      </c>
      <c r="C16" s="118" t="n">
        <f aca="false">C3/C$10</f>
        <v>0.284913278750997</v>
      </c>
      <c r="D16" s="179" t="n">
        <f aca="false">D3/D$10</f>
        <v>0.285925772229669</v>
      </c>
      <c r="E16" s="118" t="n">
        <f aca="false">E3/E$10</f>
        <v>0.28590842707522</v>
      </c>
      <c r="F16" s="179" t="n">
        <f aca="false">F3/F$10</f>
        <v>0.28405143414398</v>
      </c>
      <c r="G16" s="118" t="n">
        <f aca="false">G3/G$10</f>
        <v>0.299500010229793</v>
      </c>
      <c r="H16" s="179" t="n">
        <f aca="false">H3/H$10</f>
        <v>0.313512187944581</v>
      </c>
      <c r="I16" s="176" t="n">
        <f aca="false">I3/I$10</f>
        <v>0.290890092633074</v>
      </c>
      <c r="J16" s="177" t="n">
        <f aca="false">J3/J$10</f>
        <v>0.290332137125967</v>
      </c>
      <c r="K16" s="118" t="n">
        <f aca="false">K3/K$10</f>
        <v>0.304416226252922</v>
      </c>
      <c r="L16" s="179" t="n">
        <f aca="false">L3/L$10</f>
        <v>0.297397792548382</v>
      </c>
      <c r="M16" s="118" t="n">
        <f aca="false">M3/M$10</f>
        <v>0.298793822051208</v>
      </c>
      <c r="N16" s="118" t="n">
        <f aca="false">N3/N$10</f>
        <v>0.298245005223423</v>
      </c>
      <c r="O16" s="179" t="n">
        <f aca="false">O3/O$10</f>
        <v>0.292295691147113</v>
      </c>
      <c r="P16" s="178" t="n">
        <f aca="false">P3/P$10</f>
        <v>0.284757893523889</v>
      </c>
      <c r="Q16" s="177" t="n">
        <f aca="false">Q3/Q$10</f>
        <v>0.267794658901777</v>
      </c>
      <c r="R16" s="179" t="n">
        <f aca="false">R3/R$10</f>
        <v>0.26520374482044</v>
      </c>
      <c r="S16" s="118" t="n">
        <f aca="false">S3/S$10</f>
        <v>0.279021915873092</v>
      </c>
      <c r="T16" s="179" t="n">
        <f aca="false">T3/T$10</f>
        <v>0.276281043417909</v>
      </c>
      <c r="U16" s="179" t="n">
        <f aca="false">U3/U$10</f>
        <v>0.287489212969215</v>
      </c>
      <c r="V16" s="118" t="n">
        <f aca="false">V3/V$10</f>
        <v>0.294007335905067</v>
      </c>
      <c r="W16" s="118" t="n">
        <f aca="false">W3/W$10</f>
        <v>0.294922978543355</v>
      </c>
      <c r="X16" s="176" t="n">
        <f aca="false">X3/X$10</f>
        <v>0.290742334525425</v>
      </c>
      <c r="Y16" s="177" t="n">
        <f aca="false">Y3/Y$10</f>
        <v>0.310009217436407</v>
      </c>
      <c r="Z16" s="179" t="n">
        <f aca="false">Z3/Z$10</f>
        <v>0.302769144255995</v>
      </c>
      <c r="AA16" s="118" t="n">
        <f aca="false">AA3/AA$10</f>
        <v>0.304158544481325</v>
      </c>
      <c r="AB16" s="179" t="n">
        <f aca="false">AB3/AB$10</f>
        <v>0.290592289543489</v>
      </c>
      <c r="AC16" s="178" t="n">
        <f aca="false">AC3/AC$10</f>
        <v>0.265869019189391</v>
      </c>
      <c r="AD16" s="177" t="n">
        <f aca="false">AD3/AD$10</f>
        <v>0.276217225508877</v>
      </c>
      <c r="AE16" s="179" t="n">
        <f aca="false">AE3/AE$10</f>
        <v>0.270729608153296</v>
      </c>
      <c r="AF16" s="118" t="n">
        <f aca="false">AF3/AF$10</f>
        <v>0.263208037513141</v>
      </c>
      <c r="AG16" s="179" t="n">
        <f aca="false">AG3/AG$10</f>
        <v>0.275469353116689</v>
      </c>
      <c r="AH16" s="179" t="n">
        <f aca="false">AH3/AH$10</f>
        <v>0.26206509415268</v>
      </c>
      <c r="AI16" s="176" t="n">
        <f aca="false">AI3/AI$10</f>
        <v>0.260997478115601</v>
      </c>
      <c r="AJ16" s="177" t="n">
        <f aca="false">AJ3/AJ$10</f>
        <v>0.262853923367553</v>
      </c>
      <c r="AK16" s="179" t="n">
        <f aca="false">AK3/AK$10</f>
        <v>0.272222437486949</v>
      </c>
      <c r="AL16" s="179" t="n">
        <f aca="false">AL3/AL$10</f>
        <v>0.275483622533221</v>
      </c>
      <c r="AM16" s="179" t="n">
        <f aca="false">AM3/AM$10</f>
        <v>0.279298738433396</v>
      </c>
      <c r="AN16" s="178" t="n">
        <f aca="false">AN3/AN$10</f>
        <v>0.25539689410501</v>
      </c>
      <c r="AO16" s="177" t="n">
        <f aca="false">AO3/AO$10</f>
        <v>0.246993001880513</v>
      </c>
      <c r="AP16" s="179" t="n">
        <f aca="false">AP3/AP$10</f>
        <v>0.249875481108793</v>
      </c>
      <c r="AQ16" s="179" t="n">
        <f aca="false">AQ3/AQ$10</f>
        <v>0.249915747660529</v>
      </c>
    </row>
    <row r="17" customFormat="false" ht="12.8" hidden="false" customHeight="false" outlineLevel="0" collapsed="false">
      <c r="A17" s="139" t="s">
        <v>182</v>
      </c>
      <c r="B17" s="118" t="n">
        <f aca="false">B4/B$10</f>
        <v>0.255721091032745</v>
      </c>
      <c r="C17" s="118" t="n">
        <f aca="false">C4/C$10</f>
        <v>0.242909594324596</v>
      </c>
      <c r="D17" s="179" t="n">
        <f aca="false">D4/D$10</f>
        <v>0.237705856798224</v>
      </c>
      <c r="E17" s="118" t="n">
        <f aca="false">E4/E$10</f>
        <v>0.221923063050169</v>
      </c>
      <c r="F17" s="179" t="n">
        <f aca="false">F4/F$10</f>
        <v>0.232879794579815</v>
      </c>
      <c r="G17" s="118" t="n">
        <f aca="false">G4/G$10</f>
        <v>0.256014324832976</v>
      </c>
      <c r="H17" s="179" t="n">
        <f aca="false">H4/H$10</f>
        <v>0.243852134206496</v>
      </c>
      <c r="I17" s="176" t="n">
        <f aca="false">I4/I$10</f>
        <v>0.250236288097231</v>
      </c>
      <c r="J17" s="177" t="n">
        <f aca="false">J4/J$10</f>
        <v>0.264787424463156</v>
      </c>
      <c r="K17" s="118" t="n">
        <f aca="false">K4/K$10</f>
        <v>0.290027235761994</v>
      </c>
      <c r="L17" s="179" t="n">
        <f aca="false">L4/L$10</f>
        <v>0.279507324325283</v>
      </c>
      <c r="M17" s="118" t="n">
        <f aca="false">M4/M$10</f>
        <v>0.280384599135363</v>
      </c>
      <c r="N17" s="118" t="n">
        <f aca="false">N4/N$10</f>
        <v>0.280335471229563</v>
      </c>
      <c r="O17" s="179" t="n">
        <f aca="false">O4/O$10</f>
        <v>0.282766227275745</v>
      </c>
      <c r="P17" s="178" t="n">
        <f aca="false">P4/P$10</f>
        <v>0.288174169534311</v>
      </c>
      <c r="Q17" s="177" t="n">
        <f aca="false">Q4/Q$10</f>
        <v>0.310927010153632</v>
      </c>
      <c r="R17" s="179" t="n">
        <f aca="false">R4/R$10</f>
        <v>0.322311080770639</v>
      </c>
      <c r="S17" s="118" t="n">
        <f aca="false">S4/S$10</f>
        <v>0.320398354221091</v>
      </c>
      <c r="T17" s="179" t="n">
        <f aca="false">T4/T$10</f>
        <v>0.311915620853586</v>
      </c>
      <c r="U17" s="179" t="n">
        <f aca="false">U4/U$10</f>
        <v>0.312624874700691</v>
      </c>
      <c r="V17" s="118" t="n">
        <f aca="false">V4/V$10</f>
        <v>0.303154389508614</v>
      </c>
      <c r="W17" s="118" t="n">
        <f aca="false">W4/W$10</f>
        <v>0.309249231241891</v>
      </c>
      <c r="X17" s="176" t="n">
        <f aca="false">X4/X$10</f>
        <v>0.312834396608435</v>
      </c>
      <c r="Y17" s="177" t="n">
        <f aca="false">Y4/Y$10</f>
        <v>0.298114891814229</v>
      </c>
      <c r="Z17" s="179" t="n">
        <f aca="false">Z4/Z$10</f>
        <v>0.311854980035104</v>
      </c>
      <c r="AA17" s="118" t="n">
        <f aca="false">AA4/AA$10</f>
        <v>0.309960882535027</v>
      </c>
      <c r="AB17" s="179" t="n">
        <f aca="false">AB4/AB$10</f>
        <v>0.322709352868972</v>
      </c>
      <c r="AC17" s="178" t="n">
        <f aca="false">AC4/AC$10</f>
        <v>0.349341580680298</v>
      </c>
      <c r="AD17" s="177" t="n">
        <f aca="false">AD4/AD$10</f>
        <v>0.351200153302433</v>
      </c>
      <c r="AE17" s="179" t="n">
        <f aca="false">AE4/AE$10</f>
        <v>0.358465330274041</v>
      </c>
      <c r="AF17" s="118" t="n">
        <f aca="false">AF4/AF$10</f>
        <v>0.366100198445271</v>
      </c>
      <c r="AG17" s="179" t="n">
        <f aca="false">AG4/AG$10</f>
        <v>0.369574868949348</v>
      </c>
      <c r="AH17" s="179" t="n">
        <f aca="false">AH4/AH$10</f>
        <v>0.342019867274402</v>
      </c>
      <c r="AI17" s="176" t="n">
        <f aca="false">AI4/AI$10</f>
        <v>0.358074005839178</v>
      </c>
      <c r="AJ17" s="177" t="n">
        <f aca="false">AJ4/AJ$10</f>
        <v>0.375318942550331</v>
      </c>
      <c r="AK17" s="179" t="n">
        <f aca="false">AK4/AK$10</f>
        <v>0.396337426587338</v>
      </c>
      <c r="AL17" s="179" t="n">
        <f aca="false">AL4/AL$10</f>
        <v>0.397891496783466</v>
      </c>
      <c r="AM17" s="179" t="n">
        <f aca="false">AM4/AM$10</f>
        <v>0.376757028949678</v>
      </c>
      <c r="AN17" s="178" t="n">
        <f aca="false">AN4/AN$10</f>
        <v>0.402139506373519</v>
      </c>
      <c r="AO17" s="177" t="n">
        <f aca="false">AO4/AO$10</f>
        <v>0.429740819656346</v>
      </c>
      <c r="AP17" s="179" t="n">
        <f aca="false">AP4/AP$10</f>
        <v>0.413529138912597</v>
      </c>
      <c r="AQ17" s="179" t="n">
        <f aca="false">AQ4/AQ$10</f>
        <v>0.41401724287702</v>
      </c>
    </row>
    <row r="18" customFormat="false" ht="12.8" hidden="false" customHeight="false" outlineLevel="0" collapsed="false">
      <c r="A18" s="139" t="s">
        <v>185</v>
      </c>
      <c r="B18" s="118" t="n">
        <f aca="false">B5/B$10</f>
        <v>0.0282714054801458</v>
      </c>
      <c r="C18" s="118" t="n">
        <f aca="false">C5/C$10</f>
        <v>0.0295395441619962</v>
      </c>
      <c r="D18" s="179" t="n">
        <f aca="false">D5/D$10</f>
        <v>0.0296913437668717</v>
      </c>
      <c r="E18" s="118" t="n">
        <f aca="false">E5/E$10</f>
        <v>0.030737813672845</v>
      </c>
      <c r="F18" s="179" t="n">
        <f aca="false">F5/F$10</f>
        <v>0.0315097218474476</v>
      </c>
      <c r="G18" s="118" t="n">
        <f aca="false">G5/G$10</f>
        <v>0.0358717747705218</v>
      </c>
      <c r="H18" s="179" t="n">
        <f aca="false">H5/H$10</f>
        <v>0.034951777061683</v>
      </c>
      <c r="I18" s="176" t="n">
        <f aca="false">I5/I$10</f>
        <v>0.0392914467213638</v>
      </c>
      <c r="J18" s="177" t="n">
        <f aca="false">J5/J$10</f>
        <v>0.0355958561032524</v>
      </c>
      <c r="K18" s="118" t="n">
        <f aca="false">K5/K$10</f>
        <v>0.0140760604584661</v>
      </c>
      <c r="L18" s="179" t="n">
        <f aca="false">L5/L$10</f>
        <v>0.0336995251132753</v>
      </c>
      <c r="M18" s="118" t="n">
        <f aca="false">M5/M$10</f>
        <v>0.0337480430216026</v>
      </c>
      <c r="N18" s="118" t="n">
        <f aca="false">N5/N$10</f>
        <v>0.034094017841448</v>
      </c>
      <c r="O18" s="179" t="n">
        <f aca="false">O5/O$10</f>
        <v>0.036842566946523</v>
      </c>
      <c r="P18" s="178" t="n">
        <f aca="false">P5/P$10</f>
        <v>0.0335535694200214</v>
      </c>
      <c r="Q18" s="177" t="n">
        <f aca="false">Q5/Q$10</f>
        <v>0.0289344049201886</v>
      </c>
      <c r="R18" s="179" t="n">
        <f aca="false">R5/R$10</f>
        <v>0.0236665152694662</v>
      </c>
      <c r="S18" s="118" t="n">
        <f aca="false">S5/S$10</f>
        <v>0.0203158399300185</v>
      </c>
      <c r="T18" s="179" t="n">
        <f aca="false">T5/T$10</f>
        <v>0.0220777347947943</v>
      </c>
      <c r="U18" s="179" t="n">
        <f aca="false">U5/U$10</f>
        <v>0.0179224984325789</v>
      </c>
      <c r="V18" s="118" t="n">
        <f aca="false">V5/V$10</f>
        <v>0.0196911972129323</v>
      </c>
      <c r="W18" s="118" t="n">
        <f aca="false">W5/W$10</f>
        <v>0.0207392371571238</v>
      </c>
      <c r="X18" s="176" t="n">
        <f aca="false">X5/X$10</f>
        <v>0.018928277642638</v>
      </c>
      <c r="Y18" s="177" t="n">
        <f aca="false">Y5/Y$10</f>
        <v>0.0183352108295929</v>
      </c>
      <c r="Z18" s="179" t="n">
        <f aca="false">Z5/Z$10</f>
        <v>0.0215061423227638</v>
      </c>
      <c r="AA18" s="118" t="n">
        <f aca="false">AA5/AA$10</f>
        <v>0.020864296646343</v>
      </c>
      <c r="AB18" s="179" t="n">
        <f aca="false">AB5/AB$10</f>
        <v>0.0245469753799589</v>
      </c>
      <c r="AC18" s="178" t="n">
        <f aca="false">AC5/AC$10</f>
        <v>0.0236253761452287</v>
      </c>
      <c r="AD18" s="177" t="n">
        <f aca="false">AD5/AD$10</f>
        <v>0.0230198041016804</v>
      </c>
      <c r="AE18" s="179" t="n">
        <f aca="false">AE5/AE$10</f>
        <v>0.023624345308362</v>
      </c>
      <c r="AF18" s="118" t="n">
        <f aca="false">AF5/AF$10</f>
        <v>0.0232385890249091</v>
      </c>
      <c r="AG18" s="179" t="n">
        <f aca="false">AG5/AG$10</f>
        <v>0.0226732584486244</v>
      </c>
      <c r="AH18" s="179" t="n">
        <f aca="false">AH5/AH$10</f>
        <v>0.0227555355895833</v>
      </c>
      <c r="AI18" s="176" t="n">
        <f aca="false">AI5/AI$10</f>
        <v>0.0201592970695548</v>
      </c>
      <c r="AJ18" s="177" t="n">
        <f aca="false">AJ5/AJ$10</f>
        <v>0.0239198039085209</v>
      </c>
      <c r="AK18" s="179" t="n">
        <f aca="false">AK5/AK$10</f>
        <v>0.0226700224049647</v>
      </c>
      <c r="AL18" s="179" t="n">
        <f aca="false">AL5/AL$10</f>
        <v>0.0228107559715637</v>
      </c>
      <c r="AM18" s="179" t="n">
        <f aca="false">AM5/AM$10</f>
        <v>0.0250456226275178</v>
      </c>
      <c r="AN18" s="178" t="n">
        <f aca="false">AN5/AN$10</f>
        <v>0.0250775701852696</v>
      </c>
      <c r="AO18" s="177" t="n">
        <f aca="false">AO5/AO$10</f>
        <v>0.0235168008908266</v>
      </c>
      <c r="AP18" s="179" t="n">
        <f aca="false">AP5/AP$10</f>
        <v>0.0264543597847653</v>
      </c>
      <c r="AQ18" s="179" t="n">
        <f aca="false">AQ5/AQ$10</f>
        <v>0.027377213739811</v>
      </c>
    </row>
    <row r="19" customFormat="false" ht="12.8" hidden="false" customHeight="false" outlineLevel="0" collapsed="false">
      <c r="A19" s="139" t="s">
        <v>189</v>
      </c>
      <c r="B19" s="118" t="n">
        <f aca="false">B6/B$10</f>
        <v>0.0117056213867706</v>
      </c>
      <c r="C19" s="118" t="n">
        <f aca="false">C6/C$10</f>
        <v>0.012630723496102</v>
      </c>
      <c r="D19" s="179" t="n">
        <f aca="false">D6/D$10</f>
        <v>0.0125867440650841</v>
      </c>
      <c r="E19" s="118" t="n">
        <f aca="false">E6/E$10</f>
        <v>0.0113990810303</v>
      </c>
      <c r="F19" s="179" t="n">
        <f aca="false">F6/F$10</f>
        <v>0.0113523728138906</v>
      </c>
      <c r="G19" s="118" t="n">
        <f aca="false">G6/G$10</f>
        <v>0.012122921630986</v>
      </c>
      <c r="H19" s="179" t="n">
        <f aca="false">H6/H$10</f>
        <v>0.0121989843591425</v>
      </c>
      <c r="I19" s="176" t="n">
        <f aca="false">I6/I$10</f>
        <v>0.013371592141812</v>
      </c>
      <c r="J19" s="177" t="n">
        <f aca="false">J6/J$10</f>
        <v>0.0151497687900163</v>
      </c>
      <c r="K19" s="118" t="n">
        <f aca="false">K6/K$10</f>
        <v>0.0134700671150023</v>
      </c>
      <c r="L19" s="179" t="n">
        <f aca="false">L6/L$10</f>
        <v>0.0140108949038054</v>
      </c>
      <c r="M19" s="118" t="n">
        <f aca="false">M6/M$10</f>
        <v>0.014029383155092</v>
      </c>
      <c r="N19" s="118" t="n">
        <f aca="false">N6/N$10</f>
        <v>0.0141698072955899</v>
      </c>
      <c r="O19" s="179" t="n">
        <f aca="false">O6/O$10</f>
        <v>0.0148578190303692</v>
      </c>
      <c r="P19" s="178" t="n">
        <f aca="false">P6/P$10</f>
        <v>0.0153832454553095</v>
      </c>
      <c r="Q19" s="177" t="n">
        <f aca="false">Q6/Q$10</f>
        <v>0.016275571424726</v>
      </c>
      <c r="R19" s="179" t="n">
        <f aca="false">R6/R$10</f>
        <v>0.0171318440969871</v>
      </c>
      <c r="S19" s="118" t="n">
        <f aca="false">S6/S$10</f>
        <v>0.0161205110012054</v>
      </c>
      <c r="T19" s="179" t="n">
        <f aca="false">T6/T$10</f>
        <v>0.0168249717234375</v>
      </c>
      <c r="U19" s="179" t="n">
        <f aca="false">U6/U$10</f>
        <v>0.015063664384397</v>
      </c>
      <c r="V19" s="118" t="n">
        <f aca="false">V6/V$10</f>
        <v>0.0156683030249398</v>
      </c>
      <c r="W19" s="118" t="n">
        <f aca="false">W6/W$10</f>
        <v>0.0155653816768224</v>
      </c>
      <c r="X19" s="176" t="n">
        <f aca="false">X6/X$10</f>
        <v>0.0142062055494323</v>
      </c>
      <c r="Y19" s="177" t="n">
        <f aca="false">Y6/Y$10</f>
        <v>0.0161416280248904</v>
      </c>
      <c r="Z19" s="179" t="n">
        <f aca="false">Z6/Z$10</f>
        <v>0.0174535614731644</v>
      </c>
      <c r="AA19" s="118" t="n">
        <f aca="false">AA6/AA$10</f>
        <v>0.0173474531679362</v>
      </c>
      <c r="AB19" s="179" t="n">
        <f aca="false">AB6/AB$10</f>
        <v>0.0204183320078778</v>
      </c>
      <c r="AC19" s="178" t="n">
        <f aca="false">AC6/AC$10</f>
        <v>0.0213346548120252</v>
      </c>
      <c r="AD19" s="177" t="n">
        <f aca="false">AD6/AD$10</f>
        <v>0.0215913016534797</v>
      </c>
      <c r="AE19" s="179" t="n">
        <f aca="false">AE6/AE$10</f>
        <v>0.0212785419626243</v>
      </c>
      <c r="AF19" s="118" t="n">
        <f aca="false">AF6/AF$10</f>
        <v>0.0214941360549029</v>
      </c>
      <c r="AG19" s="179" t="n">
        <f aca="false">AG6/AG$10</f>
        <v>0.0214132483271843</v>
      </c>
      <c r="AH19" s="179" t="n">
        <f aca="false">AH6/AH$10</f>
        <v>0.0234058399674439</v>
      </c>
      <c r="AI19" s="176" t="n">
        <f aca="false">AI6/AI$10</f>
        <v>0.024919669722135</v>
      </c>
      <c r="AJ19" s="177" t="n">
        <f aca="false">AJ6/AJ$10</f>
        <v>0.025307388007204</v>
      </c>
      <c r="AK19" s="179" t="n">
        <f aca="false">AK6/AK$10</f>
        <v>0.0245585904028396</v>
      </c>
      <c r="AL19" s="179" t="n">
        <f aca="false">AL6/AL$10</f>
        <v>0.0255169455365956</v>
      </c>
      <c r="AM19" s="179" t="n">
        <f aca="false">AM6/AM$10</f>
        <v>0.0244201785894227</v>
      </c>
      <c r="AN19" s="178" t="n">
        <f aca="false">AN6/AN$10</f>
        <v>0.0244876242324236</v>
      </c>
      <c r="AO19" s="177" t="n">
        <f aca="false">AO6/AO$10</f>
        <v>0.0237255257683717</v>
      </c>
      <c r="AP19" s="179" t="n">
        <f aca="false">AP6/AP$10</f>
        <v>0.0223092830851155</v>
      </c>
      <c r="AQ19" s="179" t="n">
        <f aca="false">AQ6/AQ$10</f>
        <v>0.0211015209555097</v>
      </c>
      <c r="AT19" s="1" t="s">
        <v>219</v>
      </c>
    </row>
    <row r="20" customFormat="false" ht="12.8" hidden="false" customHeight="false" outlineLevel="0" collapsed="false">
      <c r="A20" s="139" t="s">
        <v>26</v>
      </c>
      <c r="B20" s="118" t="n">
        <f aca="false">B7/B$10</f>
        <v>0.00922959968776842</v>
      </c>
      <c r="C20" s="118" t="n">
        <f aca="false">C7/C$10</f>
        <v>0.0101077030915564</v>
      </c>
      <c r="D20" s="179" t="n">
        <f aca="false">D7/D$10</f>
        <v>0.00909524133470774</v>
      </c>
      <c r="E20" s="118" t="n">
        <f aca="false">E7/E$10</f>
        <v>0.0098028370357697</v>
      </c>
      <c r="F20" s="179" t="n">
        <f aca="false">F7/F$10</f>
        <v>0.0100129943554953</v>
      </c>
      <c r="G20" s="118" t="n">
        <f aca="false">G7/G$10</f>
        <v>0.0104253162891005</v>
      </c>
      <c r="H20" s="179" t="n">
        <f aca="false">H7/H$10</f>
        <v>0.009542596684153</v>
      </c>
      <c r="I20" s="176" t="n">
        <f aca="false">I7/I$10</f>
        <v>0.0101182839457886</v>
      </c>
      <c r="J20" s="177" t="n">
        <f aca="false">J7/J$10</f>
        <v>0.0107820462574576</v>
      </c>
      <c r="K20" s="118" t="n">
        <f aca="false">K7/K$10</f>
        <v>0.0110077109047842</v>
      </c>
      <c r="L20" s="179" t="n">
        <f aca="false">L7/L$10</f>
        <v>0.013016082144962</v>
      </c>
      <c r="M20" s="118" t="n">
        <f aca="false">M7/M$10</f>
        <v>0.0115822184401995</v>
      </c>
      <c r="N20" s="118" t="n">
        <f aca="false">N7/N$10</f>
        <v>0.0116986161482245</v>
      </c>
      <c r="O20" s="179" t="n">
        <f aca="false">O7/O$10</f>
        <v>0.0122248200009421</v>
      </c>
      <c r="P20" s="178" t="n">
        <f aca="false">P7/P$10</f>
        <v>0.0127296925626312</v>
      </c>
      <c r="Q20" s="177" t="n">
        <f aca="false">Q7/Q$10</f>
        <v>0.0125503307143879</v>
      </c>
      <c r="R20" s="179" t="n">
        <f aca="false">R7/R$10</f>
        <v>0.0144072090584202</v>
      </c>
      <c r="S20" s="118" t="n">
        <f aca="false">S7/S$10</f>
        <v>0.0137560810782944</v>
      </c>
      <c r="T20" s="179" t="n">
        <f aca="false">T7/T$10</f>
        <v>0.0152728114342113</v>
      </c>
      <c r="U20" s="179" t="n">
        <f aca="false">U7/U$10</f>
        <v>0.0142124063695657</v>
      </c>
      <c r="V20" s="118" t="n">
        <f aca="false">V7/V$10</f>
        <v>0.014536029102583</v>
      </c>
      <c r="W20" s="118" t="n">
        <f aca="false">W7/W$10</f>
        <v>0.0153615435351207</v>
      </c>
      <c r="X20" s="176" t="n">
        <f aca="false">X7/X$10</f>
        <v>0.0153876636517255</v>
      </c>
      <c r="Y20" s="177" t="n">
        <f aca="false">Y7/Y$10</f>
        <v>0.0150461344318226</v>
      </c>
      <c r="Z20" s="179" t="n">
        <f aca="false">Z7/Z$10</f>
        <v>0.0159675449872941</v>
      </c>
      <c r="AA20" s="118" t="n">
        <f aca="false">AA7/AA$10</f>
        <v>0.015453553715064</v>
      </c>
      <c r="AB20" s="179" t="n">
        <f aca="false">AB7/AB$10</f>
        <v>0.0189398426157659</v>
      </c>
      <c r="AC20" s="178" t="n">
        <f aca="false">AC7/AC$10</f>
        <v>0.0195658777019382</v>
      </c>
      <c r="AD20" s="177" t="n">
        <f aca="false">AD7/AD$10</f>
        <v>0.0198193836499822</v>
      </c>
      <c r="AE20" s="179" t="n">
        <f aca="false">AE7/AE$10</f>
        <v>0.0205650927155384</v>
      </c>
      <c r="AF20" s="118" t="n">
        <f aca="false">AF7/AF$10</f>
        <v>0.0190697406733877</v>
      </c>
      <c r="AG20" s="179" t="n">
        <f aca="false">AG7/AG$10</f>
        <v>0.0204656497016927</v>
      </c>
      <c r="AH20" s="179" t="n">
        <f aca="false">AH7/AH$10</f>
        <v>0.0198520547054211</v>
      </c>
      <c r="AI20" s="176" t="n">
        <f aca="false">AI7/AI$10</f>
        <v>0.0206033195431387</v>
      </c>
      <c r="AJ20" s="177" t="n">
        <f aca="false">AJ7/AJ$10</f>
        <v>0.0216489961825157</v>
      </c>
      <c r="AK20" s="179" t="n">
        <f aca="false">AK7/AK$10</f>
        <v>0.0195879719221296</v>
      </c>
      <c r="AL20" s="179" t="n">
        <f aca="false">AL7/AL$10</f>
        <v>0.0187926625434059</v>
      </c>
      <c r="AM20" s="179" t="n">
        <f aca="false">AM7/AM$10</f>
        <v>0.0193776518854311</v>
      </c>
      <c r="AN20" s="178" t="n">
        <f aca="false">AN7/AN$10</f>
        <v>0.0202070581622716</v>
      </c>
      <c r="AO20" s="177" t="n">
        <f aca="false">AO7/AO$10</f>
        <v>0.0171346264463706</v>
      </c>
      <c r="AP20" s="179" t="n">
        <f aca="false">AP7/AP$10</f>
        <v>0.01952846225878</v>
      </c>
      <c r="AQ20" s="179" t="n">
        <f aca="false">AQ7/AQ$10</f>
        <v>0.0187667364338723</v>
      </c>
    </row>
    <row r="21" customFormat="false" ht="12.8" hidden="false" customHeight="false" outlineLevel="0" collapsed="false">
      <c r="A21" s="139" t="s">
        <v>193</v>
      </c>
      <c r="B21" s="118" t="n">
        <f aca="false">B8/B$10</f>
        <v>0.00636095068275397</v>
      </c>
      <c r="C21" s="118" t="n">
        <f aca="false">C8/C$10</f>
        <v>0.00665431869787192</v>
      </c>
      <c r="D21" s="179" t="n">
        <f aca="false">D8/D$10</f>
        <v>0.00651176637087619</v>
      </c>
      <c r="E21" s="118" t="n">
        <f aca="false">E8/E$10</f>
        <v>0.00697406541619271</v>
      </c>
      <c r="F21" s="179" t="n">
        <f aca="false">F8/F$10</f>
        <v>0.00736103095856813</v>
      </c>
      <c r="G21" s="118" t="n">
        <f aca="false">G8/G$10</f>
        <v>0.00817288942234963</v>
      </c>
      <c r="H21" s="179" t="n">
        <f aca="false">H8/H$10</f>
        <v>0.0081959067547739</v>
      </c>
      <c r="I21" s="176" t="n">
        <f aca="false">I8/I$10</f>
        <v>0.00902092482075742</v>
      </c>
      <c r="J21" s="177" t="n">
        <f aca="false">J8/J$10</f>
        <v>0.0102134938147659</v>
      </c>
      <c r="K21" s="118" t="n">
        <f aca="false">K8/K$10</f>
        <v>0</v>
      </c>
      <c r="L21" s="179" t="n">
        <f aca="false">L8/L$10</f>
        <v>0.0109556986468898</v>
      </c>
      <c r="M21" s="118" t="n">
        <f aca="false">M8/M$10</f>
        <v>0.0109714717944587</v>
      </c>
      <c r="N21" s="118" t="n">
        <f aca="false">N8/N$10</f>
        <v>0.0110817316878573</v>
      </c>
      <c r="O21" s="179" t="n">
        <f aca="false">O8/O$10</f>
        <v>0.0116286407421192</v>
      </c>
      <c r="P21" s="178" t="n">
        <f aca="false">P8/P$10</f>
        <v>0.0111218675665968</v>
      </c>
      <c r="Q21" s="177" t="n">
        <f aca="false">Q8/Q$10</f>
        <v>0.0113905533925704</v>
      </c>
      <c r="R21" s="179" t="n">
        <f aca="false">R8/R$10</f>
        <v>0.0117726139074735</v>
      </c>
      <c r="S21" s="118" t="n">
        <f aca="false">S8/S$10</f>
        <v>0.0112405553884855</v>
      </c>
      <c r="T21" s="179" t="n">
        <f aca="false">T8/T$10</f>
        <v>0.0112302821068062</v>
      </c>
      <c r="U21" s="179" t="n">
        <f aca="false">U8/U$10</f>
        <v>0.00968601336073226</v>
      </c>
      <c r="V21" s="118" t="n">
        <f aca="false">V8/V$10</f>
        <v>0.0100491340491941</v>
      </c>
      <c r="W21" s="118" t="n">
        <f aca="false">W8/W$10</f>
        <v>0.0106198335939991</v>
      </c>
      <c r="X21" s="176" t="n">
        <f aca="false">X8/X$10</f>
        <v>0.00969250494909264</v>
      </c>
      <c r="Y21" s="177" t="n">
        <f aca="false">Y8/Y$10</f>
        <v>0.0100888236430592</v>
      </c>
      <c r="Z21" s="179" t="n">
        <f aca="false">Z8/Z$10</f>
        <v>0.0123352132481088</v>
      </c>
      <c r="AA21" s="118" t="n">
        <f aca="false">AA8/AA$10</f>
        <v>0.0119381458244271</v>
      </c>
      <c r="AB21" s="179" t="n">
        <f aca="false">AB8/AB$10</f>
        <v>0.0139346344479795</v>
      </c>
      <c r="AC21" s="178" t="n">
        <f aca="false">AC8/AC$10</f>
        <v>0.0151858567699742</v>
      </c>
      <c r="AD21" s="177" t="n">
        <f aca="false">AD8/AD$10</f>
        <v>0.0158935923570479</v>
      </c>
      <c r="AE21" s="179" t="n">
        <f aca="false">AE8/AE$10</f>
        <v>0.0213556215055791</v>
      </c>
      <c r="AF21" s="118" t="n">
        <f aca="false">AF8/AF$10</f>
        <v>0.0210069106704093</v>
      </c>
      <c r="AG21" s="179" t="n">
        <f aca="false">AG8/AG$10</f>
        <v>0.0238786842571554</v>
      </c>
      <c r="AH21" s="179" t="n">
        <f aca="false">AH8/AH$10</f>
        <v>0.0261902342066253</v>
      </c>
      <c r="AI21" s="176" t="n">
        <f aca="false">AI8/AI$10</f>
        <v>0.0194339035182945</v>
      </c>
      <c r="AJ21" s="177" t="n">
        <f aca="false">AJ8/AJ$10</f>
        <v>0.0199068502479896</v>
      </c>
      <c r="AK21" s="179" t="n">
        <f aca="false">AK8/AK$10</f>
        <v>0.0210496958083943</v>
      </c>
      <c r="AL21" s="179" t="n">
        <f aca="false">AL8/AL$10</f>
        <v>0.0211322333198654</v>
      </c>
      <c r="AM21" s="179" t="n">
        <f aca="false">AM8/AM$10</f>
        <v>0.0224396982415467</v>
      </c>
      <c r="AN21" s="178" t="n">
        <f aca="false">AN8/AN$10</f>
        <v>0.0210341735518648</v>
      </c>
      <c r="AO21" s="177" t="n">
        <f aca="false">AO8/AO$10</f>
        <v>0.0228090526236479</v>
      </c>
      <c r="AP21" s="179" t="n">
        <f aca="false">AP8/AP$10</f>
        <v>0.0227901218436761</v>
      </c>
      <c r="AQ21" s="179" t="n">
        <f aca="false">AQ8/AQ$10</f>
        <v>0.0232588050235938</v>
      </c>
    </row>
    <row r="22" customFormat="false" ht="12.8" hidden="false" customHeight="false" outlineLevel="0" collapsed="false">
      <c r="B22" s="39"/>
      <c r="K22" s="40"/>
    </row>
    <row r="23" customFormat="false" ht="12.8" hidden="false" customHeight="false" outlineLevel="0" collapsed="false">
      <c r="A23" s="1" t="s">
        <v>99</v>
      </c>
      <c r="B23" s="39"/>
      <c r="K23" s="40"/>
    </row>
    <row r="24" customFormat="false" ht="12.8" hidden="false" customHeight="false" outlineLevel="0" collapsed="false">
      <c r="A24" s="139" t="s">
        <v>24</v>
      </c>
      <c r="B24" s="65" t="n">
        <f aca="false">B15*Ratio!B3</f>
        <v>2.5571227910566</v>
      </c>
      <c r="C24" s="65" t="n">
        <f aca="false">C15*Ratio!C3</f>
        <v>2.55791803260294</v>
      </c>
      <c r="D24" s="63" t="n">
        <f aca="false">D15*Ratio!D3</f>
        <v>2.68060453981695</v>
      </c>
      <c r="E24" s="65" t="n">
        <f aca="false">E15*Ratio!E3</f>
        <v>2.68272354605107</v>
      </c>
      <c r="F24" s="63" t="n">
        <f aca="false">F15*Ratio!F3</f>
        <v>2.4208826349864</v>
      </c>
      <c r="G24" s="65" t="n">
        <f aca="false">G15*Ratio!G3</f>
        <v>1.79525161758971</v>
      </c>
      <c r="H24" s="63" t="n">
        <f aca="false">H15*Ratio!H3</f>
        <v>1.78882349241933</v>
      </c>
      <c r="I24" s="66" t="n">
        <f aca="false">I15*Ratio!I3</f>
        <v>2.21389237436318</v>
      </c>
      <c r="J24" s="67" t="n">
        <f aca="false">J15*Ratio!J3</f>
        <v>1.81715953739984</v>
      </c>
      <c r="K24" s="65" t="n">
        <f aca="false">K15*Ratio!K3</f>
        <v>1.63104884570416</v>
      </c>
      <c r="L24" s="63" t="n">
        <f aca="false">L15*Ratio!L3</f>
        <v>1.50251995630485</v>
      </c>
      <c r="M24" s="65" t="n">
        <f aca="false">M15*Ratio!M3</f>
        <v>1.4924953362844</v>
      </c>
      <c r="N24" s="65" t="n">
        <f aca="false">N15*Ratio!N3</f>
        <v>1.47667500822661</v>
      </c>
      <c r="O24" s="63" t="n">
        <f aca="false">O15*Ratio!O3</f>
        <v>1.39927514697442</v>
      </c>
      <c r="P24" s="68" t="n">
        <f aca="false">P15*Ratio!P3</f>
        <v>1.50310290673191</v>
      </c>
      <c r="Q24" s="67" t="n">
        <f aca="false">Q15*Ratio!Q3</f>
        <v>1.45191654920447</v>
      </c>
      <c r="R24" s="63" t="n">
        <f aca="false">R15*Ratio!R3</f>
        <v>1.35246939351074</v>
      </c>
      <c r="S24" s="65" t="n">
        <f aca="false">S15*Ratio!S3</f>
        <v>1.36481628457355</v>
      </c>
      <c r="T24" s="63" t="n">
        <f aca="false">T15*Ratio!T3</f>
        <v>1.42510081051529</v>
      </c>
      <c r="U24" s="63" t="n">
        <f aca="false">U15*Ratio!U3</f>
        <v>1.52691396894676</v>
      </c>
      <c r="V24" s="65" t="n">
        <f aca="false">V15*Ratio!V3</f>
        <v>1.51309996491773</v>
      </c>
      <c r="W24" s="65" t="n">
        <f aca="false">W15*Ratio!W3</f>
        <v>1.35475350576083</v>
      </c>
      <c r="X24" s="66" t="n">
        <f aca="false">X15*Ratio!X3</f>
        <v>1.52619764701847</v>
      </c>
      <c r="Y24" s="67" t="n">
        <f aca="false">Y15*Ratio!Y3</f>
        <v>1.41515420714891</v>
      </c>
      <c r="Z24" s="63" t="n">
        <f aca="false">Z15*Ratio!Z3</f>
        <v>1.18289789201931</v>
      </c>
      <c r="AA24" s="65" t="n">
        <f aca="false">AA15*Ratio!AA3</f>
        <v>1.23892471037402</v>
      </c>
      <c r="AB24" s="63" t="n">
        <f aca="false">AB15*Ratio!AB3</f>
        <v>0.987083055666354</v>
      </c>
      <c r="AC24" s="68" t="n">
        <f aca="false">AC15*Ratio!AC3</f>
        <v>0.88371331243303</v>
      </c>
      <c r="AD24" s="67" t="n">
        <f aca="false">AD15*Ratio!AD3</f>
        <v>0.907226227696296</v>
      </c>
      <c r="AE24" s="63" t="n">
        <f aca="false">AE15*Ratio!AE3</f>
        <v>0.834647304269205</v>
      </c>
      <c r="AF24" s="65" t="n">
        <f aca="false">AF15*Ratio!AF3</f>
        <v>0.859899798252983</v>
      </c>
      <c r="AG24" s="63" t="n">
        <f aca="false">AG15*Ratio!AG3</f>
        <v>0.657507242486902</v>
      </c>
      <c r="AH24" s="63" t="n">
        <f aca="false">AH15*Ratio!AH3</f>
        <v>0.705898740398289</v>
      </c>
      <c r="AI24" s="66" t="n">
        <f aca="false">AI15*Ratio!AI3</f>
        <v>0.902468737957589</v>
      </c>
      <c r="AJ24" s="67" t="n">
        <f aca="false">AJ15*Ratio!AJ3</f>
        <v>0.694867106144923</v>
      </c>
      <c r="AK24" s="63" t="n">
        <f aca="false">AK15*Ratio!AK3</f>
        <v>0.530688793486933</v>
      </c>
      <c r="AL24" s="63" t="n">
        <f aca="false">AL15*Ratio!AL3</f>
        <v>0.506279702394509</v>
      </c>
      <c r="AM24" s="63" t="n">
        <f aca="false">AM15*Ratio!AM3</f>
        <v>0.518040304262602</v>
      </c>
      <c r="AN24" s="68" t="n">
        <f aca="false">AN15*Ratio!AN3</f>
        <v>0.540502947216301</v>
      </c>
      <c r="AO24" s="67" t="n">
        <f aca="false">AO15*Ratio!AO3</f>
        <v>0.453270141144788</v>
      </c>
      <c r="AP24" s="63" t="n">
        <f aca="false">AP15*Ratio!AP3</f>
        <v>0.490623346352175</v>
      </c>
      <c r="AQ24" s="63" t="n">
        <f aca="false">AQ15*Ratio!AQ3</f>
        <v>0.481241363911091</v>
      </c>
    </row>
    <row r="25" customFormat="false" ht="12.8" hidden="false" customHeight="false" outlineLevel="0" collapsed="false">
      <c r="A25" s="139" t="s">
        <v>181</v>
      </c>
      <c r="B25" s="65" t="n">
        <f aca="false">B16*Ratio!B5</f>
        <v>1.19472062196421</v>
      </c>
      <c r="C25" s="65" t="n">
        <f aca="false">C16*Ratio!C5</f>
        <v>1.18158526000657</v>
      </c>
      <c r="D25" s="63" t="n">
        <f aca="false">D16*Ratio!D5</f>
        <v>1.20130224805635</v>
      </c>
      <c r="E25" s="65" t="n">
        <f aca="false">E16*Ratio!E5</f>
        <v>1.19205004040007</v>
      </c>
      <c r="F25" s="63" t="n">
        <f aca="false">F16*Ratio!F5</f>
        <v>1.10191174791694</v>
      </c>
      <c r="G25" s="65" t="n">
        <f aca="false">G16*Ratio!G5</f>
        <v>1.31188991296103</v>
      </c>
      <c r="H25" s="63" t="n">
        <f aca="false">H16*Ratio!H5</f>
        <v>1.39497835947841</v>
      </c>
      <c r="I25" s="66" t="n">
        <f aca="false">I16*Ratio!I5</f>
        <v>1.28492854540014</v>
      </c>
      <c r="J25" s="67" t="n">
        <f aca="false">J16*Ratio!J5</f>
        <v>1.14991425945567</v>
      </c>
      <c r="K25" s="65" t="n">
        <f aca="false">K16*Ratio!K5</f>
        <v>1.17559325167364</v>
      </c>
      <c r="L25" s="63" t="n">
        <f aca="false">L16*Ratio!L5</f>
        <v>1.14110789760677</v>
      </c>
      <c r="M25" s="65" t="n">
        <f aca="false">M16*Ratio!M5</f>
        <v>1.14168170751796</v>
      </c>
      <c r="N25" s="65" t="n">
        <f aca="false">N16*Ratio!N5</f>
        <v>1.13831004136797</v>
      </c>
      <c r="O25" s="63" t="n">
        <f aca="false">O16*Ratio!O5</f>
        <v>1.1381736062475</v>
      </c>
      <c r="P25" s="68" t="n">
        <f aca="false">P16*Ratio!P5</f>
        <v>1.14902806451435</v>
      </c>
      <c r="Q25" s="67" t="n">
        <f aca="false">Q16*Ratio!Q5</f>
        <v>1.03489700250434</v>
      </c>
      <c r="R25" s="63" t="n">
        <f aca="false">R16*Ratio!R5</f>
        <v>0.959952790355327</v>
      </c>
      <c r="S25" s="65" t="n">
        <f aca="false">S16*Ratio!S5</f>
        <v>1.06020319451087</v>
      </c>
      <c r="T25" s="63" t="n">
        <f aca="false">T16*Ratio!T5</f>
        <v>1.04249783154525</v>
      </c>
      <c r="U25" s="63" t="n">
        <f aca="false">U16*Ratio!U5</f>
        <v>1.33789339807123</v>
      </c>
      <c r="V25" s="65" t="n">
        <f aca="false">V16*Ratio!V5</f>
        <v>1.33291980161813</v>
      </c>
      <c r="W25" s="65" t="n">
        <f aca="false">W16*Ratio!W5</f>
        <v>1.25613078986793</v>
      </c>
      <c r="X25" s="66" t="n">
        <f aca="false">X16*Ratio!X5</f>
        <v>1.36843452472384</v>
      </c>
      <c r="Y25" s="67" t="n">
        <f aca="false">Y16*Ratio!Y5</f>
        <v>1.4779746288236</v>
      </c>
      <c r="Z25" s="63" t="n">
        <f aca="false">Z16*Ratio!Z5</f>
        <v>1.33966254149725</v>
      </c>
      <c r="AA25" s="65" t="n">
        <f aca="false">AA16*Ratio!AA5</f>
        <v>1.41101846025726</v>
      </c>
      <c r="AB25" s="63" t="n">
        <f aca="false">AB16*Ratio!AB5</f>
        <v>1.16451003814806</v>
      </c>
      <c r="AC25" s="68" t="n">
        <f aca="false">AC16*Ratio!AC5</f>
        <v>0.978607278383853</v>
      </c>
      <c r="AD25" s="67" t="n">
        <f aca="false">AD16*Ratio!AD5</f>
        <v>0.939371896631239</v>
      </c>
      <c r="AE25" s="63" t="n">
        <f aca="false">AE16*Ratio!AE5</f>
        <v>0.87142655331342</v>
      </c>
      <c r="AF25" s="65" t="n">
        <f aca="false">AF16*Ratio!AF5</f>
        <v>0.869888830372928</v>
      </c>
      <c r="AG25" s="63" t="n">
        <f aca="false">AG16*Ratio!AG5</f>
        <v>0.844476944690213</v>
      </c>
      <c r="AH25" s="63" t="n">
        <f aca="false">AH16*Ratio!AH5</f>
        <v>0.614543684422044</v>
      </c>
      <c r="AI25" s="66" t="n">
        <f aca="false">AI16*Ratio!AI5</f>
        <v>0.821987950829113</v>
      </c>
      <c r="AJ25" s="67" t="n">
        <f aca="false">AJ16*Ratio!AJ5</f>
        <v>0.755851685984378</v>
      </c>
      <c r="AK25" s="63" t="n">
        <f aca="false">AK16*Ratio!AK5</f>
        <v>0.736824277820848</v>
      </c>
      <c r="AL25" s="63" t="n">
        <f aca="false">AL16*Ratio!AL5</f>
        <v>0.665485351806638</v>
      </c>
      <c r="AM25" s="63" t="n">
        <f aca="false">AM16*Ratio!AM5</f>
        <v>0.610513137591596</v>
      </c>
      <c r="AN25" s="68" t="n">
        <f aca="false">AN16*Ratio!AN5</f>
        <v>0.561775498505631</v>
      </c>
      <c r="AO25" s="67" t="n">
        <f aca="false">AO16*Ratio!AO5</f>
        <v>0.524156109518958</v>
      </c>
      <c r="AP25" s="63" t="n">
        <f aca="false">AP16*Ratio!AP5</f>
        <v>0.540082449659457</v>
      </c>
      <c r="AQ25" s="63" t="n">
        <f aca="false">AQ16*Ratio!AQ5</f>
        <v>0.520464963570941</v>
      </c>
    </row>
    <row r="26" customFormat="false" ht="12.8" hidden="false" customHeight="false" outlineLevel="0" collapsed="false">
      <c r="A26" s="139" t="s">
        <v>182</v>
      </c>
      <c r="B26" s="65" t="n">
        <f aca="false">B17*Ratio!B7</f>
        <v>0.612626673967384</v>
      </c>
      <c r="C26" s="65" t="n">
        <f aca="false">C17*Ratio!C7</f>
        <v>0.595560951752946</v>
      </c>
      <c r="D26" s="63" t="n">
        <f aca="false">D17*Ratio!D7</f>
        <v>0.582802530734228</v>
      </c>
      <c r="E26" s="65" t="n">
        <f aca="false">E17*Ratio!E7</f>
        <v>0.544838898700387</v>
      </c>
      <c r="F26" s="63" t="n">
        <f aca="false">F17*Ratio!F7</f>
        <v>0.571738552381801</v>
      </c>
      <c r="G26" s="65" t="n">
        <f aca="false">G17*Ratio!G7</f>
        <v>0.673293192827955</v>
      </c>
      <c r="H26" s="63" t="n">
        <f aca="false">H17*Ratio!H7</f>
        <v>0.641307794495159</v>
      </c>
      <c r="I26" s="66" t="n">
        <f aca="false">I17*Ratio!I7</f>
        <v>0.642303168530492</v>
      </c>
      <c r="J26" s="67" t="n">
        <f aca="false">J17*Ratio!J7</f>
        <v>0.677090205951834</v>
      </c>
      <c r="K26" s="65" t="n">
        <f aca="false">K17*Ratio!K7</f>
        <v>0.705361147282395</v>
      </c>
      <c r="L26" s="63" t="n">
        <f aca="false">L17*Ratio!L7</f>
        <v>0.679776181853849</v>
      </c>
      <c r="M26" s="65" t="n">
        <f aca="false">M17*Ratio!M7</f>
        <v>0.681909759291479</v>
      </c>
      <c r="N26" s="65" t="n">
        <f aca="false">N17*Ratio!N7</f>
        <v>0.681790277698973</v>
      </c>
      <c r="O26" s="63" t="n">
        <f aca="false">O17*Ratio!O7</f>
        <v>0.694864820231262</v>
      </c>
      <c r="P26" s="68" t="n">
        <f aca="false">P17*Ratio!P7</f>
        <v>0.791690346076554</v>
      </c>
      <c r="Q26" s="67" t="n">
        <f aca="false">Q17*Ratio!Q7</f>
        <v>0.829874484828115</v>
      </c>
      <c r="R26" s="63" t="n">
        <f aca="false">R17*Ratio!R7</f>
        <v>0.845456559533639</v>
      </c>
      <c r="S26" s="65" t="n">
        <f aca="false">S17*Ratio!S7</f>
        <v>0.832153126901277</v>
      </c>
      <c r="T26" s="63" t="n">
        <f aca="false">T17*Ratio!T7</f>
        <v>1.00475721321257</v>
      </c>
      <c r="U26" s="63" t="n">
        <f aca="false">U17*Ratio!U7</f>
        <v>1.24353532249957</v>
      </c>
      <c r="V26" s="65" t="n">
        <f aca="false">V17*Ratio!V7</f>
        <v>1.17351189245177</v>
      </c>
      <c r="W26" s="65" t="n">
        <f aca="false">W17*Ratio!W7</f>
        <v>1.19710504994557</v>
      </c>
      <c r="X26" s="66" t="n">
        <f aca="false">X17*Ratio!X7</f>
        <v>1.21098323987006</v>
      </c>
      <c r="Y26" s="67" t="n">
        <f aca="false">Y17*Ratio!Y7</f>
        <v>1.01537888692891</v>
      </c>
      <c r="Z26" s="63" t="n">
        <f aca="false">Z17*Ratio!Z7</f>
        <v>1.0619960747603</v>
      </c>
      <c r="AA26" s="65" t="n">
        <f aca="false">AA17*Ratio!AA7</f>
        <v>1.00848371174256</v>
      </c>
      <c r="AB26" s="63" t="n">
        <f aca="false">AB17*Ratio!AB7</f>
        <v>0.907977871221931</v>
      </c>
      <c r="AC26" s="68" t="n">
        <f aca="false">AC17*Ratio!AC7</f>
        <v>0.938449452398301</v>
      </c>
      <c r="AD26" s="67" t="n">
        <f aca="false">AD17*Ratio!AD7</f>
        <v>0.845877268966071</v>
      </c>
      <c r="AE26" s="63" t="n">
        <f aca="false">AE17*Ratio!AE7</f>
        <v>0.830170209567797</v>
      </c>
      <c r="AF26" s="65" t="n">
        <f aca="false">AF17*Ratio!AF7</f>
        <v>0.847817895529556</v>
      </c>
      <c r="AG26" s="63" t="n">
        <f aca="false">AG17*Ratio!AG7</f>
        <v>0.838747275157479</v>
      </c>
      <c r="AH26" s="63" t="n">
        <f aca="false">AH17*Ratio!AH7</f>
        <v>0.70997652094986</v>
      </c>
      <c r="AI26" s="66" t="n">
        <f aca="false">AI17*Ratio!AI7</f>
        <v>0.777015743037151</v>
      </c>
      <c r="AJ26" s="67" t="n">
        <f aca="false">AJ17*Ratio!AJ7</f>
        <v>0.844726002302991</v>
      </c>
      <c r="AK26" s="63" t="n">
        <f aca="false">AK17*Ratio!AK7</f>
        <v>0.819212392124629</v>
      </c>
      <c r="AL26" s="63" t="n">
        <f aca="false">AL17*Ratio!AL7</f>
        <v>0.82238890981493</v>
      </c>
      <c r="AM26" s="63" t="n">
        <f aca="false">AM17*Ratio!AM7</f>
        <v>0.777051384756543</v>
      </c>
      <c r="AN26" s="68" t="n">
        <f aca="false">AN17*Ratio!AN7</f>
        <v>0.887977828121745</v>
      </c>
      <c r="AO26" s="67" t="n">
        <f aca="false">AO17*Ratio!AO7</f>
        <v>0.928735322036817</v>
      </c>
      <c r="AP26" s="63" t="n">
        <f aca="false">AP17*Ratio!AP7</f>
        <v>0.924784609325178</v>
      </c>
      <c r="AQ26" s="63" t="n">
        <f aca="false">AQ17*Ratio!AQ7</f>
        <v>0.925876167311239</v>
      </c>
    </row>
    <row r="27" customFormat="false" ht="12.8" hidden="false" customHeight="false" outlineLevel="0" collapsed="false">
      <c r="A27" s="139" t="s">
        <v>185</v>
      </c>
      <c r="B27" s="65" t="n">
        <f aca="false">B18*Ratio!B12</f>
        <v>0.0508320824913739</v>
      </c>
      <c r="C27" s="65" t="n">
        <f aca="false">C18*Ratio!C12</f>
        <v>0.0506774546411397</v>
      </c>
      <c r="D27" s="63" t="n">
        <f aca="false">D18*Ratio!D12</f>
        <v>0.0509378790250921</v>
      </c>
      <c r="E27" s="65" t="n">
        <f aca="false">E18*Ratio!E12</f>
        <v>0.0548590823963752</v>
      </c>
      <c r="F27" s="63" t="n">
        <f aca="false">F18*Ratio!F12</f>
        <v>0.0438922371994499</v>
      </c>
      <c r="G27" s="65" t="n">
        <f aca="false">G18*Ratio!G12</f>
        <v>0.053071822528312</v>
      </c>
      <c r="H27" s="63" t="n">
        <f aca="false">H18*Ratio!H12</f>
        <v>0.049139926672191</v>
      </c>
      <c r="I27" s="66" t="n">
        <f aca="false">I18*Ratio!I12</f>
        <v>0.052579873267466</v>
      </c>
      <c r="J27" s="67" t="n">
        <f aca="false">J18*Ratio!J12</f>
        <v>0.0449331671095523</v>
      </c>
      <c r="K27" s="65" t="n">
        <f aca="false">K18*Ratio!K12</f>
        <v>0.0166220665203491</v>
      </c>
      <c r="L27" s="63" t="n">
        <f aca="false">L18*Ratio!L12</f>
        <v>0.0388800976037681</v>
      </c>
      <c r="M27" s="65" t="n">
        <f aca="false">M18*Ratio!M12</f>
        <v>0.0389360740902307</v>
      </c>
      <c r="N27" s="65" t="n">
        <f aca="false">N18*Ratio!N12</f>
        <v>0.0370213976934487</v>
      </c>
      <c r="O27" s="63" t="n">
        <f aca="false">O18*Ratio!O12</f>
        <v>0.0399910104466154</v>
      </c>
      <c r="P27" s="68" t="n">
        <f aca="false">P18*Ratio!P12</f>
        <v>0.0415843868852083</v>
      </c>
      <c r="Q27" s="67" t="n">
        <f aca="false">Q18*Ratio!Q12</f>
        <v>0.0382867434761548</v>
      </c>
      <c r="R27" s="63" t="n">
        <f aca="false">R18*Ratio!R12</f>
        <v>0.0325501827566555</v>
      </c>
      <c r="S27" s="65" t="n">
        <f aca="false">S18*Ratio!S12</f>
        <v>0.0279417689950421</v>
      </c>
      <c r="T27" s="63" t="n">
        <f aca="false">T18*Ratio!T12</f>
        <v>0.0286999528346383</v>
      </c>
      <c r="U27" s="63" t="n">
        <f aca="false">U18*Ratio!U12</f>
        <v>0.0238081112979384</v>
      </c>
      <c r="V27" s="65" t="n">
        <f aca="false">V18*Ratio!V12</f>
        <v>0.0289925763031583</v>
      </c>
      <c r="W27" s="65" t="n">
        <f aca="false">W18*Ratio!W12</f>
        <v>0.0305356707997578</v>
      </c>
      <c r="X27" s="66" t="n">
        <f aca="false">X18*Ratio!X12</f>
        <v>0.0278692822943815</v>
      </c>
      <c r="Y27" s="67" t="n">
        <f aca="false">Y18*Ratio!Y12</f>
        <v>0.0298860886652694</v>
      </c>
      <c r="Z27" s="63" t="n">
        <f aca="false">Z18*Ratio!Z12</f>
        <v>0.0364829980454255</v>
      </c>
      <c r="AA27" s="65" t="n">
        <f aca="false">AA18*Ratio!AA12</f>
        <v>0.0348376584437704</v>
      </c>
      <c r="AB27" s="63" t="n">
        <f aca="false">AB18*Ratio!AB12</f>
        <v>0.0424271521656207</v>
      </c>
      <c r="AC27" s="68" t="n">
        <f aca="false">AC18*Ratio!AC12</f>
        <v>0.0405067874198031</v>
      </c>
      <c r="AD27" s="67" t="n">
        <f aca="false">AD18*Ratio!AD12</f>
        <v>0.0410883350615785</v>
      </c>
      <c r="AE27" s="63" t="n">
        <f aca="false">AE18*Ratio!AE12</f>
        <v>0.0360855533559112</v>
      </c>
      <c r="AF27" s="65" t="n">
        <f aca="false">AF18*Ratio!AF12</f>
        <v>0.0338123515893173</v>
      </c>
      <c r="AG27" s="63" t="n">
        <f aca="false">AG18*Ratio!AG12</f>
        <v>0.031908768827877</v>
      </c>
      <c r="AH27" s="63" t="n">
        <f aca="false">AH18*Ratio!AH12</f>
        <v>0.0371003722546117</v>
      </c>
      <c r="AI27" s="66" t="n">
        <f aca="false">AI18*Ratio!AI12</f>
        <v>0.032670682493318</v>
      </c>
      <c r="AJ27" s="67" t="n">
        <f aca="false">AJ18*Ratio!AJ12</f>
        <v>0.0358353863448297</v>
      </c>
      <c r="AK27" s="63" t="n">
        <f aca="false">AK18*Ratio!AK12</f>
        <v>0.0343095021434304</v>
      </c>
      <c r="AL27" s="63" t="n">
        <f aca="false">AL18*Ratio!AL12</f>
        <v>0.0344512295604743</v>
      </c>
      <c r="AM27" s="63" t="n">
        <f aca="false">AM18*Ratio!AM12</f>
        <v>0.0361883083592158</v>
      </c>
      <c r="AN27" s="68" t="n">
        <f aca="false">AN18*Ratio!AN12</f>
        <v>0.0430231806846756</v>
      </c>
      <c r="AO27" s="67" t="n">
        <f aca="false">AO18*Ratio!AO12</f>
        <v>0.0371815805440088</v>
      </c>
      <c r="AP27" s="63" t="n">
        <f aca="false">AP18*Ratio!AP12</f>
        <v>0.0400106425562211</v>
      </c>
      <c r="AQ27" s="63" t="n">
        <f aca="false">AQ18*Ratio!AQ12</f>
        <v>0.0404793951148494</v>
      </c>
    </row>
    <row r="28" customFormat="false" ht="12.8" hidden="false" customHeight="false" outlineLevel="0" collapsed="false">
      <c r="A28" s="139" t="s">
        <v>189</v>
      </c>
      <c r="B28" s="65" t="n">
        <f aca="false">B19*Ratio!B17</f>
        <v>0.0253645015523988</v>
      </c>
      <c r="C28" s="65" t="n">
        <f aca="false">C19*Ratio!C17</f>
        <v>0.028230090722609</v>
      </c>
      <c r="D28" s="63" t="n">
        <f aca="false">D19*Ratio!D17</f>
        <v>0.0286475447979694</v>
      </c>
      <c r="E28" s="65" t="n">
        <f aca="false">E19*Ratio!E17</f>
        <v>0.0219388106484748</v>
      </c>
      <c r="F28" s="63" t="n">
        <f aca="false">F19*Ratio!F17</f>
        <v>0.0206155089273732</v>
      </c>
      <c r="G28" s="65" t="n">
        <f aca="false">G19*Ratio!G17</f>
        <v>0.0218266377517477</v>
      </c>
      <c r="H28" s="63" t="n">
        <f aca="false">H19*Ratio!H17</f>
        <v>0.0220393209086495</v>
      </c>
      <c r="I28" s="66" t="n">
        <f aca="false">I19*Ratio!I17</f>
        <v>0.0286012289508601</v>
      </c>
      <c r="J28" s="67" t="n">
        <f aca="false">J19*Ratio!J17</f>
        <v>0.0324270315993744</v>
      </c>
      <c r="K28" s="65" t="n">
        <f aca="false">K19*Ratio!K17</f>
        <v>0.0248555503240291</v>
      </c>
      <c r="L28" s="63" t="n">
        <f aca="false">L19*Ratio!L17</f>
        <v>0.0258559910241499</v>
      </c>
      <c r="M28" s="65" t="n">
        <f aca="false">M19*Ratio!M17</f>
        <v>0.0258870031795183</v>
      </c>
      <c r="N28" s="65" t="n">
        <f aca="false">N19*Ratio!N17</f>
        <v>0.0261450678127004</v>
      </c>
      <c r="O28" s="63" t="n">
        <f aca="false">O19*Ratio!O17</f>
        <v>0.0273936996876162</v>
      </c>
      <c r="P28" s="68" t="n">
        <f aca="false">P19*Ratio!P17</f>
        <v>0.0306786684827933</v>
      </c>
      <c r="Q28" s="67" t="n">
        <f aca="false">Q19*Ratio!Q17</f>
        <v>0.0344600600450438</v>
      </c>
      <c r="R28" s="63" t="n">
        <f aca="false">R19*Ratio!R17</f>
        <v>0.0369422794591696</v>
      </c>
      <c r="S28" s="65" t="n">
        <f aca="false">S19*Ratio!S17</f>
        <v>0.0342577000121348</v>
      </c>
      <c r="T28" s="63" t="n">
        <f aca="false">T19*Ratio!T17</f>
        <v>0.0373513568944651</v>
      </c>
      <c r="U28" s="63" t="n">
        <f aca="false">U19*Ratio!U17</f>
        <v>0.0327179376698007</v>
      </c>
      <c r="V28" s="65" t="n">
        <f aca="false">V19*Ratio!V17</f>
        <v>0.0363865845620243</v>
      </c>
      <c r="W28" s="65" t="n">
        <f aca="false">W19*Ratio!W17</f>
        <v>0.0339803497444347</v>
      </c>
      <c r="X28" s="66" t="n">
        <f aca="false">X19*Ratio!X17</f>
        <v>0.0310131703246216</v>
      </c>
      <c r="Y28" s="67" t="n">
        <f aca="false">Y19*Ratio!Y17</f>
        <v>0.038466276314082</v>
      </c>
      <c r="Z28" s="63" t="n">
        <f aca="false">Z19*Ratio!Z17</f>
        <v>0.0410109610910447</v>
      </c>
      <c r="AA28" s="65" t="n">
        <f aca="false">AA19*Ratio!AA17</f>
        <v>0.0418613333283431</v>
      </c>
      <c r="AB28" s="63" t="n">
        <f aca="false">AB19*Ratio!AB17</f>
        <v>0.0496847868932017</v>
      </c>
      <c r="AC28" s="68" t="n">
        <f aca="false">AC19*Ratio!AC17</f>
        <v>0.0497749039502193</v>
      </c>
      <c r="AD28" s="67" t="n">
        <f aca="false">AD19*Ratio!AD17</f>
        <v>0.0440976498257791</v>
      </c>
      <c r="AE28" s="63" t="n">
        <f aca="false">AE19*Ratio!AE17</f>
        <v>0.0417333615956782</v>
      </c>
      <c r="AF28" s="65" t="n">
        <f aca="false">AF19*Ratio!AF17</f>
        <v>0.0432902057122727</v>
      </c>
      <c r="AG28" s="63" t="n">
        <f aca="false">AG19*Ratio!AG17</f>
        <v>0.0377978036865265</v>
      </c>
      <c r="AH28" s="63" t="n">
        <f aca="false">AH19*Ratio!AH17</f>
        <v>0.041173798191742</v>
      </c>
      <c r="AI28" s="66" t="n">
        <f aca="false">AI19*Ratio!AI17</f>
        <v>0.0628979328892883</v>
      </c>
      <c r="AJ28" s="67" t="n">
        <f aca="false">AJ19*Ratio!AJ17</f>
        <v>0.0571893705113484</v>
      </c>
      <c r="AK28" s="63" t="n">
        <f aca="false">AK19*Ratio!AK17</f>
        <v>0.0509312418804061</v>
      </c>
      <c r="AL28" s="63" t="n">
        <f aca="false">AL19*Ratio!AL17</f>
        <v>0.054769048328587</v>
      </c>
      <c r="AM28" s="63" t="n">
        <f aca="false">AM19*Ratio!AM17</f>
        <v>0.0456860213728832</v>
      </c>
      <c r="AN28" s="68" t="n">
        <f aca="false">AN19*Ratio!AN17</f>
        <v>0.0490084008095165</v>
      </c>
      <c r="AO28" s="67" t="n">
        <f aca="false">AO19*Ratio!AO17</f>
        <v>0.0460348920399959</v>
      </c>
      <c r="AP28" s="63" t="n">
        <f aca="false">AP19*Ratio!AP17</f>
        <v>0.0407368334111482</v>
      </c>
      <c r="AQ28" s="63" t="n">
        <f aca="false">AQ19*Ratio!AQ17</f>
        <v>0.0357341047408171</v>
      </c>
    </row>
    <row r="29" customFormat="false" ht="12.8" hidden="false" customHeight="false" outlineLevel="0" collapsed="false">
      <c r="A29" s="139" t="s">
        <v>26</v>
      </c>
      <c r="B29" s="65" t="n">
        <f aca="false">B20*Ratio!B19</f>
        <v>0.0137519507775719</v>
      </c>
      <c r="C29" s="65" t="n">
        <f aca="false">C20*Ratio!C19</f>
        <v>0.0157660160179654</v>
      </c>
      <c r="D29" s="63" t="n">
        <f aca="false">D20*Ratio!D19</f>
        <v>0.0130451852772801</v>
      </c>
      <c r="E29" s="65" t="n">
        <f aca="false">E20*Ratio!E19</f>
        <v>0.0141494043247879</v>
      </c>
      <c r="F29" s="63" t="n">
        <f aca="false">F20*Ratio!F19</f>
        <v>0.0139865275855201</v>
      </c>
      <c r="G29" s="65" t="n">
        <f aca="false">G20*Ratio!G19</f>
        <v>0.0140770585766293</v>
      </c>
      <c r="H29" s="63" t="n">
        <f aca="false">H20*Ratio!H19</f>
        <v>0.0137010877897343</v>
      </c>
      <c r="I29" s="66" t="n">
        <f aca="false">I20*Ratio!I19</f>
        <v>0.0139952796889347</v>
      </c>
      <c r="J29" s="67" t="n">
        <f aca="false">J20*Ratio!J19</f>
        <v>0.0140361167310352</v>
      </c>
      <c r="K29" s="65" t="n">
        <f aca="false">K20*Ratio!K19</f>
        <v>0.0166107284981577</v>
      </c>
      <c r="L29" s="63" t="n">
        <f aca="false">L20*Ratio!L19</f>
        <v>0.0190695042966726</v>
      </c>
      <c r="M29" s="65" t="n">
        <f aca="false">M20*Ratio!M19</f>
        <v>0.0150777845085337</v>
      </c>
      <c r="N29" s="65" t="n">
        <f aca="false">N20*Ratio!N19</f>
        <v>0.0152293115728824</v>
      </c>
      <c r="O29" s="63" t="n">
        <f aca="false">O20*Ratio!O19</f>
        <v>0.0158480164432585</v>
      </c>
      <c r="P29" s="68" t="n">
        <f aca="false">P20*Ratio!P19</f>
        <v>0.0192248773516732</v>
      </c>
      <c r="Q29" s="67" t="n">
        <f aca="false">Q20*Ratio!Q19</f>
        <v>0.017714698228735</v>
      </c>
      <c r="R29" s="63" t="n">
        <f aca="false">R20*Ratio!R19</f>
        <v>0.0225868182639956</v>
      </c>
      <c r="S29" s="65" t="n">
        <f aca="false">S20*Ratio!S19</f>
        <v>0.0215660161576287</v>
      </c>
      <c r="T29" s="63" t="n">
        <f aca="false">T20*Ratio!T19</f>
        <v>0.026608203662726</v>
      </c>
      <c r="U29" s="63" t="n">
        <f aca="false">U20*Ratio!U19</f>
        <v>0.0260809522573967</v>
      </c>
      <c r="V29" s="65" t="n">
        <f aca="false">V20*Ratio!V19</f>
        <v>0.0262963942817078</v>
      </c>
      <c r="W29" s="65" t="n">
        <f aca="false">W20*Ratio!W19</f>
        <v>0.0277897906453265</v>
      </c>
      <c r="X29" s="66" t="n">
        <f aca="false">X20*Ratio!X19</f>
        <v>0.0305522087600607</v>
      </c>
      <c r="Y29" s="67" t="n">
        <f aca="false">Y20*Ratio!Y19</f>
        <v>0.0280635507738605</v>
      </c>
      <c r="Z29" s="63" t="n">
        <f aca="false">Z20*Ratio!Z19</f>
        <v>0.0288214211354932</v>
      </c>
      <c r="AA29" s="65" t="n">
        <f aca="false">AA20*Ratio!AA19</f>
        <v>0.0278936668107863</v>
      </c>
      <c r="AB29" s="63" t="n">
        <f aca="false">AB20*Ratio!AB19</f>
        <v>0.0358957397482508</v>
      </c>
      <c r="AC29" s="68" t="n">
        <f aca="false">AC20*Ratio!AC19</f>
        <v>0.0339709416099728</v>
      </c>
      <c r="AD29" s="67" t="n">
        <f aca="false">AD20*Ratio!AD19</f>
        <v>0.0333047696422496</v>
      </c>
      <c r="AE29" s="63" t="n">
        <f aca="false">AE20*Ratio!AE19</f>
        <v>0.0349405172826071</v>
      </c>
      <c r="AF29" s="65" t="n">
        <f aca="false">AF20*Ratio!AF19</f>
        <v>0.0305427113232591</v>
      </c>
      <c r="AG29" s="63" t="n">
        <f aca="false">AG20*Ratio!AG19</f>
        <v>0.0309471657745902</v>
      </c>
      <c r="AH29" s="63" t="n">
        <f aca="false">AH20*Ratio!AH19</f>
        <v>0.0247168850685726</v>
      </c>
      <c r="AI29" s="66" t="n">
        <f aca="false">AI20*Ratio!AI19</f>
        <v>0.0358786875250325</v>
      </c>
      <c r="AJ29" s="67" t="n">
        <f aca="false">AJ20*Ratio!AJ19</f>
        <v>0.0363295398000982</v>
      </c>
      <c r="AK29" s="63" t="n">
        <f aca="false">AK20*Ratio!AK19</f>
        <v>0.0281267815179593</v>
      </c>
      <c r="AL29" s="63" t="n">
        <f aca="false">AL20*Ratio!AL19</f>
        <v>0.0257880291074541</v>
      </c>
      <c r="AM29" s="63" t="n">
        <f aca="false">AM20*Ratio!AM19</f>
        <v>0.0249719045551286</v>
      </c>
      <c r="AN29" s="68" t="n">
        <f aca="false">AN20*Ratio!AN19</f>
        <v>0.0310065966472839</v>
      </c>
      <c r="AO29" s="67" t="n">
        <f aca="false">AO20*Ratio!AO19</f>
        <v>0.021244956350876</v>
      </c>
      <c r="AP29" s="63" t="n">
        <f aca="false">AP20*Ratio!AP19</f>
        <v>0.0276187014301327</v>
      </c>
      <c r="AQ29" s="63" t="n">
        <f aca="false">AQ20*Ratio!AQ19</f>
        <v>0.0250082913159412</v>
      </c>
    </row>
    <row r="30" customFormat="false" ht="12.8" hidden="false" customHeight="false" outlineLevel="0" collapsed="false">
      <c r="A30" s="139" t="s">
        <v>193</v>
      </c>
      <c r="B30" s="65" t="n">
        <f aca="false">B21*Ratio!B22</f>
        <v>0.00539509293528179</v>
      </c>
      <c r="C30" s="65" t="n">
        <f aca="false">C21*Ratio!C22</f>
        <v>0.00564391544385613</v>
      </c>
      <c r="D30" s="63" t="n">
        <f aca="false">D21*Ratio!D22</f>
        <v>0.00552300850861329</v>
      </c>
      <c r="E30" s="65" t="n">
        <f aca="false">E21*Ratio!E22</f>
        <v>0.00591511126773968</v>
      </c>
      <c r="F30" s="63" t="n">
        <f aca="false">F21*Ratio!F22</f>
        <v>0.00624331929323615</v>
      </c>
      <c r="G30" s="65" t="n">
        <f aca="false">G21*Ratio!G22</f>
        <v>0.00714563746386923</v>
      </c>
      <c r="H30" s="63" t="n">
        <f aca="false">H21*Ratio!H22</f>
        <v>0.00820080894152092</v>
      </c>
      <c r="I30" s="66" t="n">
        <f aca="false">I21*Ratio!I22</f>
        <v>0.00902632047244372</v>
      </c>
      <c r="J30" s="67" t="n">
        <f aca="false">J21*Ratio!J22</f>
        <v>0.0102196027732396</v>
      </c>
      <c r="K30" s="65" t="n">
        <f aca="false">K21*Ratio!K22</f>
        <v>0</v>
      </c>
      <c r="L30" s="63" t="n">
        <f aca="false">L21*Ratio!L22</f>
        <v>0.0109622515375361</v>
      </c>
      <c r="M30" s="65" t="n">
        <f aca="false">M21*Ratio!M22</f>
        <v>0.0109780341194381</v>
      </c>
      <c r="N30" s="65" t="n">
        <f aca="false">N21*Ratio!N22</f>
        <v>0.0110883599621703</v>
      </c>
      <c r="O30" s="63" t="n">
        <f aca="false">O21*Ratio!O22</f>
        <v>0.0116355961370788</v>
      </c>
      <c r="P30" s="68" t="n">
        <f aca="false">P21*Ratio!P22</f>
        <v>0.0120136566128393</v>
      </c>
      <c r="Q30" s="67" t="n">
        <f aca="false">Q21*Ratio!Q22</f>
        <v>0.0119455209507025</v>
      </c>
      <c r="R30" s="63" t="n">
        <f aca="false">R21*Ratio!R22</f>
        <v>0.0123461961179151</v>
      </c>
      <c r="S30" s="65" t="n">
        <f aca="false">S21*Ratio!S22</f>
        <v>0.0117882147831613</v>
      </c>
      <c r="T30" s="63" t="n">
        <f aca="false">T21*Ratio!T22</f>
        <v>0.0117774409693435</v>
      </c>
      <c r="U30" s="63" t="n">
        <f aca="false">U21*Ratio!U22</f>
        <v>0.010113844490537</v>
      </c>
      <c r="V30" s="65" t="n">
        <f aca="false">V21*Ratio!V22</f>
        <v>0.0104930042167963</v>
      </c>
      <c r="W30" s="65" t="n">
        <f aca="false">W21*Ratio!W22</f>
        <v>0.0110889115557618</v>
      </c>
      <c r="X30" s="66" t="n">
        <f aca="false">X21*Ratio!X22</f>
        <v>0.0101206228123014</v>
      </c>
      <c r="Y30" s="67" t="n">
        <f aca="false">Y21*Ratio!Y22</f>
        <v>0.0105344468996932</v>
      </c>
      <c r="Z30" s="63" t="n">
        <f aca="false">Z21*Ratio!Z22</f>
        <v>0.0143605261258812</v>
      </c>
      <c r="AA30" s="65" t="n">
        <f aca="false">AA21*Ratio!AA22</f>
        <v>0.013898264388137</v>
      </c>
      <c r="AB30" s="63" t="n">
        <f aca="false">AB21*Ratio!AB22</f>
        <v>0.0162225555424016</v>
      </c>
      <c r="AC30" s="68" t="n">
        <f aca="false">AC21*Ratio!AC22</f>
        <v>0.016606724724419</v>
      </c>
      <c r="AD30" s="67" t="n">
        <f aca="false">AD21*Ratio!AD22</f>
        <v>0.0173806797438979</v>
      </c>
      <c r="AE30" s="63" t="n">
        <f aca="false">AE21*Ratio!AE22</f>
        <v>0.0305765786875333</v>
      </c>
      <c r="AF30" s="65" t="n">
        <f aca="false">AF21*Ratio!AF22</f>
        <v>0.0300773010482485</v>
      </c>
      <c r="AG30" s="63" t="n">
        <f aca="false">AG21*Ratio!AG22</f>
        <v>0.0341890526554298</v>
      </c>
      <c r="AH30" s="63" t="n">
        <f aca="false">AH21*Ratio!AH22</f>
        <v>0.0361573888683394</v>
      </c>
      <c r="AI30" s="66" t="n">
        <f aca="false">AI21*Ratio!AI22</f>
        <v>0.0268298176028914</v>
      </c>
      <c r="AJ30" s="67" t="n">
        <f aca="false">AJ21*Ratio!AJ22</f>
        <v>0.0258181400262408</v>
      </c>
      <c r="AK30" s="63" t="n">
        <f aca="false">AK21*Ratio!AK22</f>
        <v>0.0273003507396046</v>
      </c>
      <c r="AL30" s="63" t="n">
        <f aca="false">AL21*Ratio!AL22</f>
        <v>0.0274073975602734</v>
      </c>
      <c r="AM30" s="63" t="n">
        <f aca="false">AM21*Ratio!AM22</f>
        <v>0.0281461421138379</v>
      </c>
      <c r="AN30" s="68" t="n">
        <f aca="false">AN21*Ratio!AN22</f>
        <v>0.0275971754672339</v>
      </c>
      <c r="AO30" s="67" t="n">
        <f aca="false">AO21*Ratio!AO22</f>
        <v>0.0309233736618596</v>
      </c>
      <c r="AP30" s="63" t="n">
        <f aca="false">AP21*Ratio!AP22</f>
        <v>0.030897708256442</v>
      </c>
      <c r="AQ30" s="63" t="n">
        <f aca="false">AQ21*Ratio!AQ22</f>
        <v>0.031553469441202</v>
      </c>
    </row>
    <row r="31" customFormat="false" ht="12.8" hidden="false" customHeight="false" outlineLevel="0" collapsed="false">
      <c r="B31" s="65"/>
      <c r="C31" s="65"/>
      <c r="K31" s="40"/>
    </row>
    <row r="32" customFormat="false" ht="12.8" hidden="false" customHeight="false" outlineLevel="0" collapsed="false">
      <c r="A32" s="1" t="s">
        <v>101</v>
      </c>
      <c r="B32" s="65"/>
      <c r="C32" s="65"/>
      <c r="K32" s="40"/>
    </row>
    <row r="33" customFormat="false" ht="12.8" hidden="false" customHeight="false" outlineLevel="0" collapsed="false">
      <c r="A33" s="139" t="s">
        <v>24</v>
      </c>
      <c r="B33" s="65" t="n">
        <f aca="false">B15*Ratio!B33</f>
        <v>6.15726326195443</v>
      </c>
      <c r="C33" s="65" t="n">
        <f aca="false">C15*Ratio!C33</f>
        <v>6.15917811390239</v>
      </c>
      <c r="D33" s="63" t="n">
        <f aca="false">D15*Ratio!D33</f>
        <v>6.45459338541316</v>
      </c>
      <c r="E33" s="65" t="n">
        <f aca="false">E15*Ratio!E33</f>
        <v>6.45969571342133</v>
      </c>
      <c r="F33" s="63" t="n">
        <f aca="false">F15*Ratio!F33</f>
        <v>5.82921233271948</v>
      </c>
      <c r="G33" s="65" t="n">
        <f aca="false">G15*Ratio!G33</f>
        <v>4.32276340800276</v>
      </c>
      <c r="H33" s="63" t="n">
        <f aca="false">H15*Ratio!H33</f>
        <v>4.30728520762332</v>
      </c>
      <c r="I33" s="66" t="n">
        <f aca="false">I15*Ratio!I33</f>
        <v>6.83652776300715</v>
      </c>
      <c r="J33" s="67" t="n">
        <f aca="false">J15*Ratio!J33</f>
        <v>5.61141172493566</v>
      </c>
      <c r="K33" s="65" t="n">
        <f aca="false">K15*Ratio!K33</f>
        <v>5.03669954583259</v>
      </c>
      <c r="L33" s="63" t="n">
        <f aca="false">L15*Ratio!L33</f>
        <v>4.63980070336757</v>
      </c>
      <c r="M33" s="65" t="n">
        <f aca="false">M15*Ratio!M33</f>
        <v>4.60884454945646</v>
      </c>
      <c r="N33" s="65" t="n">
        <f aca="false">N15*Ratio!N33</f>
        <v>4.55999117553487</v>
      </c>
      <c r="O33" s="63" t="n">
        <f aca="false">O15*Ratio!O33</f>
        <v>4.32097942120074</v>
      </c>
      <c r="P33" s="68" t="n">
        <f aca="false">P15*Ratio!P33</f>
        <v>4.64160086168837</v>
      </c>
      <c r="Q33" s="67" t="n">
        <f aca="false">Q15*Ratio!Q33</f>
        <v>4.05335843700993</v>
      </c>
      <c r="R33" s="63" t="n">
        <f aca="false">R15*Ratio!R33</f>
        <v>3.77572886677831</v>
      </c>
      <c r="S33" s="65" t="n">
        <f aca="false">S15*Ratio!S33</f>
        <v>3.81019804828031</v>
      </c>
      <c r="T33" s="63" t="n">
        <f aca="false">T15*Ratio!T33</f>
        <v>3.97849614501388</v>
      </c>
      <c r="U33" s="63" t="n">
        <f aca="false">U15*Ratio!U33</f>
        <v>4.26273095517083</v>
      </c>
      <c r="V33" s="65" t="n">
        <f aca="false">V15*Ratio!V33</f>
        <v>4.93615548734485</v>
      </c>
      <c r="W33" s="65" t="n">
        <f aca="false">W15*Ratio!W33</f>
        <v>4.41958502842512</v>
      </c>
      <c r="X33" s="66" t="n">
        <f aca="false">X15*Ratio!X33</f>
        <v>4.9788837914041</v>
      </c>
      <c r="Y33" s="67" t="n">
        <f aca="false">Y15*Ratio!Y33</f>
        <v>4.61662901792285</v>
      </c>
      <c r="Z33" s="63" t="n">
        <f aca="false">Z15*Ratio!Z33</f>
        <v>3.85894392706382</v>
      </c>
      <c r="AA33" s="65" t="n">
        <f aca="false">AA15*Ratio!AA33</f>
        <v>4.04171908618894</v>
      </c>
      <c r="AB33" s="63" t="n">
        <f aca="false">AB15*Ratio!AB33</f>
        <v>3.22014113717695</v>
      </c>
      <c r="AC33" s="68" t="n">
        <f aca="false">AC15*Ratio!AC33</f>
        <v>2.88292010940808</v>
      </c>
      <c r="AD33" s="67" t="n">
        <f aca="false">AD15*Ratio!AD33</f>
        <v>2.67999805162913</v>
      </c>
      <c r="AE33" s="63" t="n">
        <f aca="false">AE15*Ratio!AE33</f>
        <v>2.46559576977727</v>
      </c>
      <c r="AF33" s="65" t="n">
        <f aca="false">AF15*Ratio!AF33</f>
        <v>2.54019307815442</v>
      </c>
      <c r="AG33" s="63" t="n">
        <f aca="false">AG15*Ratio!AG33</f>
        <v>1.94231391796449</v>
      </c>
      <c r="AH33" s="63" t="n">
        <f aca="false">AH15*Ratio!AH33</f>
        <v>2.30971966813689</v>
      </c>
      <c r="AI33" s="66" t="n">
        <f aca="false">AI15*Ratio!AI33</f>
        <v>2.95290198812823</v>
      </c>
      <c r="AJ33" s="67" t="n">
        <f aca="false">AJ15*Ratio!AJ33</f>
        <v>2.2736238640952</v>
      </c>
      <c r="AK33" s="63" t="n">
        <f aca="false">AK15*Ratio!AK33</f>
        <v>1.73642800847754</v>
      </c>
      <c r="AL33" s="63" t="n">
        <f aca="false">AL15*Ratio!AL33</f>
        <v>1.65656080578823</v>
      </c>
      <c r="AM33" s="63" t="n">
        <f aca="false">AM15*Ratio!AM33</f>
        <v>1.69504181147544</v>
      </c>
      <c r="AN33" s="68" t="n">
        <f aca="false">AN15*Ratio!AN33</f>
        <v>3.83326087191937</v>
      </c>
      <c r="AO33" s="67" t="n">
        <f aca="false">AO15*Ratio!AO33</f>
        <v>3.21460355657295</v>
      </c>
      <c r="AP33" s="63" t="n">
        <f aca="false">AP15*Ratio!AP33</f>
        <v>3.47951345336386</v>
      </c>
      <c r="AQ33" s="63" t="n">
        <f aca="false">AQ15*Ratio!AQ33</f>
        <v>3.41297619139765</v>
      </c>
    </row>
    <row r="34" customFormat="false" ht="12.8" hidden="false" customHeight="false" outlineLevel="0" collapsed="false">
      <c r="A34" s="139" t="s">
        <v>181</v>
      </c>
      <c r="B34" s="65" t="n">
        <f aca="false">B16*Ratio!B35</f>
        <v>2.82141118922085</v>
      </c>
      <c r="C34" s="65" t="n">
        <f aca="false">C16*Ratio!C35</f>
        <v>2.79039116954395</v>
      </c>
      <c r="D34" s="63" t="n">
        <f aca="false">D16*Ratio!D35</f>
        <v>2.83695413136</v>
      </c>
      <c r="E34" s="65" t="n">
        <f aca="false">E16*Ratio!E35</f>
        <v>2.81510443551772</v>
      </c>
      <c r="F34" s="63" t="n">
        <f aca="false">F16*Ratio!F35</f>
        <v>2.60223693970849</v>
      </c>
      <c r="G34" s="65" t="n">
        <f aca="false">G16*Ratio!G35</f>
        <v>3.53634619495842</v>
      </c>
      <c r="H34" s="63" t="n">
        <f aca="false">H16*Ratio!H35</f>
        <v>3.7603204086358</v>
      </c>
      <c r="I34" s="66" t="n">
        <f aca="false">I16*Ratio!I35</f>
        <v>3.46366880896523</v>
      </c>
      <c r="J34" s="67" t="n">
        <f aca="false">J16*Ratio!J35</f>
        <v>3.09972267930326</v>
      </c>
      <c r="K34" s="65" t="n">
        <f aca="false">K16*Ratio!K35</f>
        <v>3.16894327893074</v>
      </c>
      <c r="L34" s="63" t="n">
        <f aca="false">L16*Ratio!L35</f>
        <v>3.07598414460755</v>
      </c>
      <c r="M34" s="65" t="n">
        <f aca="false">M16*Ratio!M35</f>
        <v>3.07753091349113</v>
      </c>
      <c r="N34" s="65" t="n">
        <f aca="false">N16*Ratio!N35</f>
        <v>3.06844220974978</v>
      </c>
      <c r="O34" s="63" t="n">
        <f aca="false">O16*Ratio!O35</f>
        <v>3.06807443360151</v>
      </c>
      <c r="P34" s="68" t="n">
        <f aca="false">P16*Ratio!P35</f>
        <v>3.29042786222479</v>
      </c>
      <c r="Q34" s="67" t="n">
        <f aca="false">Q16*Ratio!Q35</f>
        <v>2.96359509113686</v>
      </c>
      <c r="R34" s="63" t="n">
        <f aca="false">R16*Ratio!R35</f>
        <v>2.74898020801663</v>
      </c>
      <c r="S34" s="65" t="n">
        <f aca="false">S16*Ratio!S35</f>
        <v>3.03606346839994</v>
      </c>
      <c r="T34" s="63" t="n">
        <f aca="false">T16*Ratio!T35</f>
        <v>2.98536129548348</v>
      </c>
      <c r="U34" s="63" t="n">
        <f aca="false">U16*Ratio!U35</f>
        <v>4.34612453559773</v>
      </c>
      <c r="V34" s="65" t="n">
        <f aca="false">V16*Ratio!V35</f>
        <v>4.32996788992916</v>
      </c>
      <c r="W34" s="65" t="n">
        <f aca="false">W16*Ratio!W35</f>
        <v>4.08052005760335</v>
      </c>
      <c r="X34" s="66" t="n">
        <f aca="false">X16*Ratio!X35</f>
        <v>4.44533687948184</v>
      </c>
      <c r="Y34" s="67" t="n">
        <f aca="false">Y16*Ratio!Y35</f>
        <v>4.80117609264056</v>
      </c>
      <c r="Z34" s="63" t="n">
        <f aca="false">Z16*Ratio!Z35</f>
        <v>4.35187156870359</v>
      </c>
      <c r="AA34" s="65" t="n">
        <f aca="false">AA16*Ratio!AA35</f>
        <v>4.58367008847363</v>
      </c>
      <c r="AB34" s="63" t="n">
        <f aca="false">AB16*Ratio!AB35</f>
        <v>3.78289156373854</v>
      </c>
      <c r="AC34" s="68" t="n">
        <f aca="false">AC16*Ratio!AC35</f>
        <v>2.94048818332784</v>
      </c>
      <c r="AD34" s="67" t="n">
        <f aca="false">AD16*Ratio!AD35</f>
        <v>2.82259494979043</v>
      </c>
      <c r="AE34" s="63" t="n">
        <f aca="false">AE16*Ratio!AE35</f>
        <v>2.61843493223145</v>
      </c>
      <c r="AF34" s="65" t="n">
        <f aca="false">AF16*Ratio!AF35</f>
        <v>2.6138144309991</v>
      </c>
      <c r="AG34" s="63" t="n">
        <f aca="false">AG16*Ratio!AG35</f>
        <v>2.5374576010259</v>
      </c>
      <c r="AH34" s="63" t="n">
        <f aca="false">AH16*Ratio!AH35</f>
        <v>1.71679191192525</v>
      </c>
      <c r="AI34" s="66" t="n">
        <f aca="false">AI16*Ratio!AI35</f>
        <v>2.29630911757005</v>
      </c>
      <c r="AJ34" s="67" t="n">
        <f aca="false">AJ16*Ratio!AJ35</f>
        <v>2.111550560207</v>
      </c>
      <c r="AK34" s="63" t="n">
        <f aca="false">AK16*Ratio!AK35</f>
        <v>2.05839550993459</v>
      </c>
      <c r="AL34" s="63" t="n">
        <f aca="false">AL16*Ratio!AL35</f>
        <v>1.85910277568119</v>
      </c>
      <c r="AM34" s="63" t="n">
        <f aca="false">AM16*Ratio!AM35</f>
        <v>1.70553215875464</v>
      </c>
      <c r="AN34" s="68" t="n">
        <f aca="false">AN16*Ratio!AN35</f>
        <v>1.46228894478836</v>
      </c>
      <c r="AO34" s="67" t="n">
        <f aca="false">AO16*Ratio!AO35</f>
        <v>1.36436652422848</v>
      </c>
      <c r="AP34" s="63" t="n">
        <f aca="false">AP16*Ratio!AP35</f>
        <v>1.40582242819785</v>
      </c>
      <c r="AQ34" s="63" t="n">
        <f aca="false">AQ16*Ratio!AQ35</f>
        <v>1.35475855462542</v>
      </c>
    </row>
    <row r="35" customFormat="false" ht="12.8" hidden="false" customHeight="false" outlineLevel="0" collapsed="false">
      <c r="A35" s="139" t="s">
        <v>182</v>
      </c>
      <c r="B35" s="65" t="n">
        <f aca="false">B17*Ratio!B37</f>
        <v>1.50784415693565</v>
      </c>
      <c r="C35" s="65" t="n">
        <f aca="false">C17*Ratio!C37</f>
        <v>1.46584068137967</v>
      </c>
      <c r="D35" s="63" t="n">
        <f aca="false">D17*Ratio!D37</f>
        <v>1.43443866869842</v>
      </c>
      <c r="E35" s="65" t="n">
        <f aca="false">E17*Ratio!E37</f>
        <v>1.34099964103158</v>
      </c>
      <c r="F35" s="63" t="n">
        <f aca="false">F17*Ratio!F37</f>
        <v>1.40720714937339</v>
      </c>
      <c r="G35" s="65" t="n">
        <f aca="false">G17*Ratio!G37</f>
        <v>1.9018283620044</v>
      </c>
      <c r="H35" s="63" t="n">
        <f aca="false">H17*Ratio!H37</f>
        <v>1.81148029615835</v>
      </c>
      <c r="I35" s="66" t="n">
        <f aca="false">I17*Ratio!I37</f>
        <v>1.81429189531213</v>
      </c>
      <c r="J35" s="67" t="n">
        <f aca="false">J17*Ratio!J37</f>
        <v>1.91255365572015</v>
      </c>
      <c r="K35" s="65" t="n">
        <f aca="false">K17*Ratio!K37</f>
        <v>1.99240962131695</v>
      </c>
      <c r="L35" s="63" t="n">
        <f aca="false">L17*Ratio!L37</f>
        <v>1.92014064041646</v>
      </c>
      <c r="M35" s="65" t="n">
        <f aca="false">M17*Ratio!M37</f>
        <v>1.92616728397478</v>
      </c>
      <c r="N35" s="65" t="n">
        <f aca="false">N17*Ratio!N37</f>
        <v>1.92582978838774</v>
      </c>
      <c r="O35" s="63" t="n">
        <f aca="false">O17*Ratio!O37</f>
        <v>1.96276100360425</v>
      </c>
      <c r="P35" s="68" t="n">
        <f aca="false">P17*Ratio!P37</f>
        <v>1.96664881527429</v>
      </c>
      <c r="Q35" s="67" t="n">
        <f aca="false">Q17*Ratio!Q37</f>
        <v>2.06150255652576</v>
      </c>
      <c r="R35" s="63" t="n">
        <f aca="false">R17*Ratio!R37</f>
        <v>2.10021020139095</v>
      </c>
      <c r="S35" s="65" t="n">
        <f aca="false">S17*Ratio!S37</f>
        <v>2.06716296246076</v>
      </c>
      <c r="T35" s="63" t="n">
        <f aca="false">T17*Ratio!T37</f>
        <v>2.49593113367549</v>
      </c>
      <c r="U35" s="63" t="n">
        <f aca="false">U17*Ratio!U37</f>
        <v>3.64995418701103</v>
      </c>
      <c r="V35" s="65" t="n">
        <f aca="false">V17*Ratio!V37</f>
        <v>3.44442539577565</v>
      </c>
      <c r="W35" s="65" t="n">
        <f aca="false">W17*Ratio!W37</f>
        <v>3.51367469044481</v>
      </c>
      <c r="X35" s="66" t="n">
        <f aca="false">X17*Ratio!X37</f>
        <v>3.55440916457397</v>
      </c>
      <c r="Y35" s="67" t="n">
        <f aca="false">Y17*Ratio!Y37</f>
        <v>2.98028238739479</v>
      </c>
      <c r="Z35" s="63" t="n">
        <f aca="false">Z17*Ratio!Z37</f>
        <v>3.11711050705755</v>
      </c>
      <c r="AA35" s="65" t="n">
        <f aca="false">AA17*Ratio!AA37</f>
        <v>2.9600440611597</v>
      </c>
      <c r="AB35" s="63" t="n">
        <f aca="false">AB17*Ratio!AB37</f>
        <v>2.66504503154633</v>
      </c>
      <c r="AC35" s="68" t="n">
        <f aca="false">AC17*Ratio!AC37</f>
        <v>2.40882829706614</v>
      </c>
      <c r="AD35" s="67" t="n">
        <f aca="false">AD17*Ratio!AD37</f>
        <v>2.17121241439619</v>
      </c>
      <c r="AE35" s="63" t="n">
        <f aca="false">AE17*Ratio!AE37</f>
        <v>2.13089526247546</v>
      </c>
      <c r="AF35" s="65" t="n">
        <f aca="false">AF17*Ratio!AF37</f>
        <v>2.17619364824764</v>
      </c>
      <c r="AG35" s="63" t="n">
        <f aca="false">AG17*Ratio!AG37</f>
        <v>1.8587715489659</v>
      </c>
      <c r="AH35" s="63" t="n">
        <f aca="false">AH17*Ratio!AH37</f>
        <v>1.62539840752891</v>
      </c>
      <c r="AI35" s="66" t="n">
        <f aca="false">AI17*Ratio!AI37</f>
        <v>1.77887594038715</v>
      </c>
      <c r="AJ35" s="67" t="n">
        <f aca="false">AJ17*Ratio!AJ37</f>
        <v>1.93388972512023</v>
      </c>
      <c r="AK35" s="63" t="n">
        <f aca="false">AK17*Ratio!AK37</f>
        <v>1.87547965080011</v>
      </c>
      <c r="AL35" s="63" t="n">
        <f aca="false">AL17*Ratio!AL37</f>
        <v>1.88275187268767</v>
      </c>
      <c r="AM35" s="63" t="n">
        <f aca="false">AM17*Ratio!AM37</f>
        <v>1.77895753744315</v>
      </c>
      <c r="AN35" s="68" t="n">
        <f aca="false">AN17*Ratio!AN37</f>
        <v>2.60645942991095</v>
      </c>
      <c r="AO35" s="67" t="n">
        <f aca="false">AO17*Ratio!AO37</f>
        <v>2.72609389711289</v>
      </c>
      <c r="AP35" s="63" t="n">
        <f aca="false">AP17*Ratio!AP37</f>
        <v>2.71449746747691</v>
      </c>
      <c r="AQ35" s="63" t="n">
        <f aca="false">AQ17*Ratio!AQ37</f>
        <v>2.7177014907261</v>
      </c>
    </row>
    <row r="36" customFormat="false" ht="12.8" hidden="false" customHeight="false" outlineLevel="0" collapsed="false">
      <c r="A36" s="139" t="s">
        <v>185</v>
      </c>
      <c r="B36" s="65" t="n">
        <f aca="false">B18*Ratio!B42</f>
        <v>0.230258529097377</v>
      </c>
      <c r="C36" s="65" t="n">
        <f aca="false">C18*Ratio!C42</f>
        <v>0.229558097802664</v>
      </c>
      <c r="D36" s="63" t="n">
        <f aca="false">D18*Ratio!D42</f>
        <v>0.23073776490759</v>
      </c>
      <c r="E36" s="65" t="n">
        <f aca="false">E18*Ratio!E42</f>
        <v>0.248499982710029</v>
      </c>
      <c r="F36" s="63" t="n">
        <f aca="false">F18*Ratio!F42</f>
        <v>0.198822505020399</v>
      </c>
      <c r="G36" s="65" t="n">
        <f aca="false">G18*Ratio!G42</f>
        <v>0.270691791429762</v>
      </c>
      <c r="H36" s="63" t="n">
        <f aca="false">H18*Ratio!H42</f>
        <v>0.250637233619149</v>
      </c>
      <c r="I36" s="66" t="n">
        <f aca="false">I18*Ratio!I42</f>
        <v>0.268182613859312</v>
      </c>
      <c r="J36" s="67" t="n">
        <f aca="false">J18*Ratio!J42</f>
        <v>0.229180738856462</v>
      </c>
      <c r="K36" s="65" t="n">
        <f aca="false">K18*Ratio!K42</f>
        <v>0.0847805247550651</v>
      </c>
      <c r="L36" s="63" t="n">
        <f aca="false">L18*Ratio!L42</f>
        <v>0.198307176387499</v>
      </c>
      <c r="M36" s="65" t="n">
        <f aca="false">M18*Ratio!M42</f>
        <v>0.198592683360439</v>
      </c>
      <c r="N36" s="65" t="n">
        <f aca="false">N18*Ratio!N42</f>
        <v>0.1888269138963</v>
      </c>
      <c r="O36" s="63" t="n">
        <f aca="false">O18*Ratio!O42</f>
        <v>0.203973365585962</v>
      </c>
      <c r="P36" s="68" t="n">
        <f aca="false">P18*Ratio!P42</f>
        <v>0.326848761534353</v>
      </c>
      <c r="Q36" s="67" t="n">
        <f aca="false">Q18*Ratio!Q42</f>
        <v>0.300929642726462</v>
      </c>
      <c r="R36" s="63" t="n">
        <f aca="false">R18*Ratio!R42</f>
        <v>0.255840898919543</v>
      </c>
      <c r="S36" s="65" t="n">
        <f aca="false">S18*Ratio!S42</f>
        <v>0.219619267594806</v>
      </c>
      <c r="T36" s="63" t="n">
        <f aca="false">T18*Ratio!T42</f>
        <v>0.225578510174755</v>
      </c>
      <c r="U36" s="63" t="n">
        <f aca="false">U18*Ratio!U42</f>
        <v>0.103159444098479</v>
      </c>
      <c r="V36" s="65" t="n">
        <f aca="false">V18*Ratio!V42</f>
        <v>0.125623490960223</v>
      </c>
      <c r="W36" s="65" t="n">
        <f aca="false">W18*Ratio!W42</f>
        <v>0.132309647979088</v>
      </c>
      <c r="X36" s="66" t="n">
        <f aca="false">X18*Ratio!X42</f>
        <v>0.120756310021154</v>
      </c>
      <c r="Y36" s="67" t="n">
        <f aca="false">Y18*Ratio!Y42</f>
        <v>0.129495038661636</v>
      </c>
      <c r="Z36" s="63" t="n">
        <f aca="false">Z18*Ratio!Z42</f>
        <v>0.158079141613299</v>
      </c>
      <c r="AA36" s="65" t="n">
        <f aca="false">AA18*Ratio!AA42</f>
        <v>0.15094996128749</v>
      </c>
      <c r="AB36" s="63" t="n">
        <f aca="false">AB18*Ratio!AB42</f>
        <v>0.183834886241733</v>
      </c>
      <c r="AC36" s="68" t="n">
        <f aca="false">AC18*Ratio!AC42</f>
        <v>0.241432078937689</v>
      </c>
      <c r="AD36" s="67" t="n">
        <f aca="false">AD18*Ratio!AD42</f>
        <v>0.244898269793558</v>
      </c>
      <c r="AE36" s="63" t="n">
        <f aca="false">AE18*Ratio!AE42</f>
        <v>0.215080254971672</v>
      </c>
      <c r="AF36" s="65" t="n">
        <f aca="false">AF18*Ratio!AF42</f>
        <v>0.20153132000762</v>
      </c>
      <c r="AG36" s="63" t="n">
        <f aca="false">AG18*Ratio!AG42</f>
        <v>0.190185420399205</v>
      </c>
      <c r="AH36" s="63" t="n">
        <f aca="false">AH18*Ratio!AH42</f>
        <v>0.183379642544058</v>
      </c>
      <c r="AI36" s="66" t="n">
        <f aca="false">AI18*Ratio!AI42</f>
        <v>0.161484581237601</v>
      </c>
      <c r="AJ36" s="67" t="n">
        <f aca="false">AJ18*Ratio!AJ42</f>
        <v>0.177127072829471</v>
      </c>
      <c r="AK36" s="63" t="n">
        <f aca="false">AK18*Ratio!AK42</f>
        <v>0.169584935583626</v>
      </c>
      <c r="AL36" s="63" t="n">
        <f aca="false">AL18*Ratio!AL42</f>
        <v>0.170285465564777</v>
      </c>
      <c r="AM36" s="63" t="n">
        <f aca="false">AM18*Ratio!AM42</f>
        <v>0.178871495025559</v>
      </c>
      <c r="AN36" s="68" t="n">
        <f aca="false">AN18*Ratio!AN42</f>
        <v>0.20399732108556</v>
      </c>
      <c r="AO36" s="67" t="n">
        <f aca="false">AO18*Ratio!AO42</f>
        <v>0.176298978922459</v>
      </c>
      <c r="AP36" s="63" t="n">
        <f aca="false">AP18*Ratio!AP42</f>
        <v>0.189713167796732</v>
      </c>
      <c r="AQ36" s="63" t="n">
        <f aca="false">AQ18*Ratio!AQ42</f>
        <v>0.191935789757508</v>
      </c>
    </row>
    <row r="37" customFormat="false" ht="12.8" hidden="false" customHeight="false" outlineLevel="0" collapsed="false">
      <c r="A37" s="139" t="s">
        <v>189</v>
      </c>
      <c r="B37" s="65" t="n">
        <f aca="false">B19*Ratio!B47</f>
        <v>0.1762865456572</v>
      </c>
      <c r="C37" s="65" t="n">
        <f aca="false">C19*Ratio!C47</f>
        <v>0.196202758678199</v>
      </c>
      <c r="D37" s="63" t="n">
        <f aca="false">D19*Ratio!D47</f>
        <v>0.199104118153518</v>
      </c>
      <c r="E37" s="65" t="n">
        <f aca="false">E19*Ratio!E47</f>
        <v>0.152477553602122</v>
      </c>
      <c r="F37" s="63" t="n">
        <f aca="false">F19*Ratio!F47</f>
        <v>0.143280436568567</v>
      </c>
      <c r="G37" s="65" t="n">
        <f aca="false">G19*Ratio!G47</f>
        <v>0.15169793755331</v>
      </c>
      <c r="H37" s="63" t="n">
        <f aca="false">H19*Ratio!H47</f>
        <v>0.153176112828004</v>
      </c>
      <c r="I37" s="66" t="n">
        <f aca="false">I19*Ratio!I47</f>
        <v>0.28905973589707</v>
      </c>
      <c r="J37" s="67" t="n">
        <f aca="false">J19*Ratio!J47</f>
        <v>0.327725399707317</v>
      </c>
      <c r="K37" s="65" t="n">
        <f aca="false">K19*Ratio!K47</f>
        <v>0.251203849477389</v>
      </c>
      <c r="L37" s="63" t="n">
        <f aca="false">L19*Ratio!L47</f>
        <v>0.261314852926032</v>
      </c>
      <c r="M37" s="65" t="n">
        <f aca="false">M19*Ratio!M47</f>
        <v>0.261628278809087</v>
      </c>
      <c r="N37" s="65" t="n">
        <f aca="false">N19*Ratio!N47</f>
        <v>0.264236421796236</v>
      </c>
      <c r="O37" s="63" t="n">
        <f aca="false">O19*Ratio!O47</f>
        <v>0.27685578163619</v>
      </c>
      <c r="P37" s="68" t="n">
        <f aca="false">P19*Ratio!P47</f>
        <v>0.310055481341242</v>
      </c>
      <c r="Q37" s="67" t="n">
        <f aca="false">Q19*Ratio!Q47</f>
        <v>0.44888406075444</v>
      </c>
      <c r="R37" s="63" t="n">
        <f aca="false">R19*Ratio!R47</f>
        <v>0.481217978015172</v>
      </c>
      <c r="S37" s="65" t="n">
        <f aca="false">S19*Ratio!S47</f>
        <v>0.446248075988659</v>
      </c>
      <c r="T37" s="63" t="n">
        <f aca="false">T19*Ratio!T47</f>
        <v>0.486546707566961</v>
      </c>
      <c r="U37" s="63" t="n">
        <f aca="false">U19*Ratio!U47</f>
        <v>0.426190804703576</v>
      </c>
      <c r="V37" s="65" t="n">
        <f aca="false">V19*Ratio!V47</f>
        <v>0.218728297127984</v>
      </c>
      <c r="W37" s="65" t="n">
        <f aca="false">W19*Ratio!W47</f>
        <v>0.204263855068458</v>
      </c>
      <c r="X37" s="66" t="n">
        <f aca="false">X19*Ratio!X47</f>
        <v>0.186427443391439</v>
      </c>
      <c r="Y37" s="67" t="n">
        <f aca="false">Y19*Ratio!Y47</f>
        <v>0.231229812204325</v>
      </c>
      <c r="Z37" s="63" t="n">
        <f aca="false">Z19*Ratio!Z47</f>
        <v>0.246526509453933</v>
      </c>
      <c r="AA37" s="65" t="n">
        <f aca="false">AA19*Ratio!AA47</f>
        <v>0.2516382964938</v>
      </c>
      <c r="AB37" s="63" t="n">
        <f aca="false">AB19*Ratio!AB47</f>
        <v>0.298666911476459</v>
      </c>
      <c r="AC37" s="68" t="n">
        <f aca="false">AC19*Ratio!AC47</f>
        <v>0.299208626250211</v>
      </c>
      <c r="AD37" s="67" t="n">
        <f aca="false">AD19*Ratio!AD47</f>
        <v>0.244875109339387</v>
      </c>
      <c r="AE37" s="63" t="n">
        <f aca="false">AE19*Ratio!AE47</f>
        <v>0.231746170696554</v>
      </c>
      <c r="AF37" s="65" t="n">
        <f aca="false">AF19*Ratio!AF47</f>
        <v>0.240391356432792</v>
      </c>
      <c r="AG37" s="63" t="n">
        <f aca="false">AG19*Ratio!AG47</f>
        <v>0.20989194088788</v>
      </c>
      <c r="AH37" s="63" t="n">
        <f aca="false">AH19*Ratio!AH47</f>
        <v>0.228638904203611</v>
      </c>
      <c r="AI37" s="66" t="n">
        <f aca="false">AI19*Ratio!AI47</f>
        <v>0.349273447776392</v>
      </c>
      <c r="AJ37" s="67" t="n">
        <f aca="false">AJ19*Ratio!AJ47</f>
        <v>0.353505617458241</v>
      </c>
      <c r="AK37" s="63" t="n">
        <f aca="false">AK19*Ratio!AK47</f>
        <v>0.314822141734805</v>
      </c>
      <c r="AL37" s="63" t="n">
        <f aca="false">AL19*Ratio!AL47</f>
        <v>0.338544839257418</v>
      </c>
      <c r="AM37" s="63" t="n">
        <f aca="false">AM19*Ratio!AM47</f>
        <v>0.282399772024535</v>
      </c>
      <c r="AN37" s="68" t="n">
        <f aca="false">AN19*Ratio!AN47</f>
        <v>0.302936451894871</v>
      </c>
      <c r="AO37" s="67" t="n">
        <f aca="false">AO19*Ratio!AO47</f>
        <v>0.274094078841946</v>
      </c>
      <c r="AP37" s="63" t="n">
        <f aca="false">AP19*Ratio!AP47</f>
        <v>0.242549169422739</v>
      </c>
      <c r="AQ37" s="63" t="n">
        <f aca="false">AQ19*Ratio!AQ47</f>
        <v>0.2127626695348</v>
      </c>
    </row>
    <row r="38" customFormat="false" ht="12.8" hidden="false" customHeight="false" outlineLevel="0" collapsed="false">
      <c r="A38" s="139" t="s">
        <v>26</v>
      </c>
      <c r="B38" s="65" t="n">
        <f aca="false">B20*Ratio!B49</f>
        <v>-0.0607416429707152</v>
      </c>
      <c r="C38" s="65" t="n">
        <f aca="false">C20*Ratio!C49</f>
        <v>-0.0696376631594458</v>
      </c>
      <c r="D38" s="63" t="n">
        <f aca="false">D20*Ratio!D49</f>
        <v>-0.0576198969452164</v>
      </c>
      <c r="E38" s="65" t="n">
        <f aca="false">E20*Ratio!E49</f>
        <v>-0.0624971743751626</v>
      </c>
      <c r="F38" s="63" t="n">
        <f aca="false">F20*Ratio!F49</f>
        <v>-0.0617777563882266</v>
      </c>
      <c r="G38" s="65" t="n">
        <f aca="false">G20*Ratio!G49</f>
        <v>0.394137402440493</v>
      </c>
      <c r="H38" s="63" t="n">
        <f aca="false">H20*Ratio!H49</f>
        <v>0.329291804932553</v>
      </c>
      <c r="I38" s="66" t="n">
        <f aca="false">I20*Ratio!I49</f>
        <v>0.336362410053178</v>
      </c>
      <c r="J38" s="67" t="n">
        <f aca="false">J20*Ratio!J49</f>
        <v>0.337343887108704</v>
      </c>
      <c r="K38" s="65" t="n">
        <f aca="false">K20*Ratio!K49</f>
        <v>0.399222080198713</v>
      </c>
      <c r="L38" s="63" t="n">
        <f aca="false">L20*Ratio!L49</f>
        <v>0.458316272794436</v>
      </c>
      <c r="M38" s="65" t="n">
        <f aca="false">M20*Ratio!M49</f>
        <v>0.362379319904746</v>
      </c>
      <c r="N38" s="65" t="n">
        <f aca="false">N20*Ratio!N49</f>
        <v>0.366021119831967</v>
      </c>
      <c r="O38" s="63" t="n">
        <f aca="false">O20*Ratio!O49</f>
        <v>0.380891066409448</v>
      </c>
      <c r="P38" s="68" t="n">
        <f aca="false">P20*Ratio!P49</f>
        <v>0.0374391089608624</v>
      </c>
      <c r="Q38" s="67" t="n">
        <f aca="false">Q20*Ratio!Q49</f>
        <v>0.0344981403554537</v>
      </c>
      <c r="R38" s="63" t="n">
        <f aca="false">R20*Ratio!R49</f>
        <v>0.0439862546114673</v>
      </c>
      <c r="S38" s="65" t="n">
        <f aca="false">S20*Ratio!S49</f>
        <v>0.0419983136436971</v>
      </c>
      <c r="T38" s="63" t="n">
        <f aca="false">T20*Ratio!T49</f>
        <v>0.0518176224461019</v>
      </c>
      <c r="U38" s="63" t="n">
        <f aca="false">U20*Ratio!U49</f>
        <v>0.207772258123316</v>
      </c>
      <c r="V38" s="65" t="n">
        <f aca="false">V20*Ratio!V49</f>
        <v>0.209488563396374</v>
      </c>
      <c r="W38" s="65" t="n">
        <f aca="false">W20*Ratio!W49</f>
        <v>0.22138561116058</v>
      </c>
      <c r="X38" s="66" t="n">
        <f aca="false">X20*Ratio!X49</f>
        <v>0.243392240516542</v>
      </c>
      <c r="Y38" s="67" t="n">
        <f aca="false">Y20*Ratio!Y49</f>
        <v>0.223566503925855</v>
      </c>
      <c r="Z38" s="63" t="n">
        <f aca="false">Z20*Ratio!Z49</f>
        <v>0.229604030272559</v>
      </c>
      <c r="AA38" s="65" t="n">
        <f aca="false">AA20*Ratio!AA49</f>
        <v>0.222213134068861</v>
      </c>
      <c r="AB38" s="63" t="n">
        <f aca="false">AB20*Ratio!AB49</f>
        <v>0.285961142480361</v>
      </c>
      <c r="AC38" s="68" t="n">
        <f aca="false">AC20*Ratio!AC49</f>
        <v>1.34413656586992</v>
      </c>
      <c r="AD38" s="67" t="n">
        <f aca="false">AD20*Ratio!AD49</f>
        <v>1.31777797648329</v>
      </c>
      <c r="AE38" s="63" t="n">
        <f aca="false">AE20*Ratio!AE49</f>
        <v>1.38250000394969</v>
      </c>
      <c r="AF38" s="65" t="n">
        <f aca="false">AF20*Ratio!AF49</f>
        <v>1.20849093857173</v>
      </c>
      <c r="AG38" s="63" t="n">
        <f aca="false">AG20*Ratio!AG49</f>
        <v>1.22449408689493</v>
      </c>
      <c r="AH38" s="63" t="n">
        <f aca="false">AH20*Ratio!AH49</f>
        <v>0.517703150482863</v>
      </c>
      <c r="AI38" s="66" t="n">
        <f aca="false">AI20*Ratio!AI49</f>
        <v>0.751490712335631</v>
      </c>
      <c r="AJ38" s="67" t="n">
        <f aca="false">AJ20*Ratio!AJ49</f>
        <v>0.760933959029392</v>
      </c>
      <c r="AK38" s="63" t="n">
        <f aca="false">AK20*Ratio!AK49</f>
        <v>0.589124534276586</v>
      </c>
      <c r="AL38" s="63" t="n">
        <f aca="false">AL20*Ratio!AL49</f>
        <v>0.54013860875406</v>
      </c>
      <c r="AM38" s="63" t="n">
        <f aca="false">AM20*Ratio!AM49</f>
        <v>0.523044616094663</v>
      </c>
      <c r="AN38" s="68" t="n">
        <f aca="false">AN20*Ratio!AN49</f>
        <v>0.485703676799073</v>
      </c>
      <c r="AO38" s="67" t="n">
        <f aca="false">AO20*Ratio!AO49</f>
        <v>0.332792196784363</v>
      </c>
      <c r="AP38" s="63" t="n">
        <f aca="false">AP20*Ratio!AP49</f>
        <v>0.432633899993224</v>
      </c>
      <c r="AQ38" s="63" t="n">
        <f aca="false">AQ20*Ratio!AQ49</f>
        <v>0.391743059736257</v>
      </c>
    </row>
    <row r="39" customFormat="false" ht="12.8" hidden="false" customHeight="false" outlineLevel="0" collapsed="false">
      <c r="A39" s="139" t="s">
        <v>193</v>
      </c>
      <c r="B39" s="65" t="n">
        <f aca="false">B21*Ratio!B52</f>
        <v>0.147590520820192</v>
      </c>
      <c r="C39" s="65" t="n">
        <f aca="false">C21*Ratio!C52</f>
        <v>0.15439741813833</v>
      </c>
      <c r="D39" s="63" t="n">
        <f aca="false">D21*Ratio!D52</f>
        <v>0.151089835162962</v>
      </c>
      <c r="E39" s="65" t="n">
        <f aca="false">E21*Ratio!E52</f>
        <v>0.161816369650634</v>
      </c>
      <c r="F39" s="63" t="n">
        <f aca="false">F21*Ratio!F52</f>
        <v>0.170794971873334</v>
      </c>
      <c r="G39" s="65" t="n">
        <f aca="false">G21*Ratio!G52</f>
        <v>0.181182177528088</v>
      </c>
      <c r="H39" s="63" t="n">
        <f aca="false">H21*Ratio!H52</f>
        <v>0.18169244142547</v>
      </c>
      <c r="I39" s="66" t="n">
        <f aca="false">I21*Ratio!I52</f>
        <v>0.199982003656196</v>
      </c>
      <c r="J39" s="67" t="n">
        <f aca="false">J21*Ratio!J52</f>
        <v>0.226419685119996</v>
      </c>
      <c r="K39" s="65" t="n">
        <f aca="false">K21*Ratio!K52</f>
        <v>0</v>
      </c>
      <c r="L39" s="63" t="n">
        <f aca="false">L21*Ratio!L52</f>
        <v>0.242873387196075</v>
      </c>
      <c r="M39" s="65" t="n">
        <f aca="false">M21*Ratio!M52</f>
        <v>0.243223057071111</v>
      </c>
      <c r="N39" s="65" t="n">
        <f aca="false">N21*Ratio!N52</f>
        <v>0.245667373462491</v>
      </c>
      <c r="O39" s="63" t="n">
        <f aca="false">O21*Ratio!O52</f>
        <v>0.257791625760585</v>
      </c>
      <c r="P39" s="68" t="n">
        <f aca="false">P21*Ratio!P52</f>
        <v>0.179272794045159</v>
      </c>
      <c r="Q39" s="67" t="n">
        <f aca="false">Q21*Ratio!Q52</f>
        <v>0.178256045280064</v>
      </c>
      <c r="R39" s="63" t="n">
        <f aca="false">R21*Ratio!R52</f>
        <v>0.184235087219214</v>
      </c>
      <c r="S39" s="65" t="n">
        <f aca="false">S21*Ratio!S52</f>
        <v>0.17590865704645</v>
      </c>
      <c r="T39" s="63" t="n">
        <f aca="false">T21*Ratio!T52</f>
        <v>0.175747885703647</v>
      </c>
      <c r="U39" s="63" t="n">
        <f aca="false">U21*Ratio!U52</f>
        <v>0.144029898475103</v>
      </c>
      <c r="V39" s="65" t="n">
        <f aca="false">V21*Ratio!V52</f>
        <v>0.14942946111719</v>
      </c>
      <c r="W39" s="65" t="n">
        <f aca="false">W21*Ratio!W52</f>
        <v>0.157915697346358</v>
      </c>
      <c r="X39" s="66" t="n">
        <f aca="false">X21*Ratio!X52</f>
        <v>0.144126427643262</v>
      </c>
      <c r="Y39" s="67" t="n">
        <f aca="false">Y21*Ratio!Y52</f>
        <v>0.150019640787815</v>
      </c>
      <c r="Z39" s="63" t="n">
        <f aca="false">Z21*Ratio!Z52</f>
        <v>0.204506320212357</v>
      </c>
      <c r="AA39" s="65" t="n">
        <f aca="false">AA21*Ratio!AA52</f>
        <v>0.197923313006884</v>
      </c>
      <c r="AB39" s="63" t="n">
        <f aca="false">AB21*Ratio!AB52</f>
        <v>0.231023230579134</v>
      </c>
      <c r="AC39" s="68" t="n">
        <f aca="false">AC21*Ratio!AC52</f>
        <v>0.161933827248831</v>
      </c>
      <c r="AD39" s="67" t="n">
        <f aca="false">AD21*Ratio!AD52</f>
        <v>0.169480739749787</v>
      </c>
      <c r="AE39" s="63" t="n">
        <f aca="false">AE21*Ratio!AE52</f>
        <v>0.298155265003378</v>
      </c>
      <c r="AF39" s="65" t="n">
        <f aca="false">AF21*Ratio!AF52</f>
        <v>0.293286759001694</v>
      </c>
      <c r="AG39" s="63" t="n">
        <f aca="false">AG21*Ratio!AG52</f>
        <v>0.333380858560552</v>
      </c>
      <c r="AH39" s="63" t="n">
        <f aca="false">AH21*Ratio!AH52</f>
        <v>0.358694358533196</v>
      </c>
      <c r="AI39" s="66" t="n">
        <f aca="false">AI21*Ratio!AI52</f>
        <v>0.266161482226351</v>
      </c>
      <c r="AJ39" s="67" t="n">
        <f aca="false">AJ21*Ratio!AJ52</f>
        <v>0.256125275222564</v>
      </c>
      <c r="AK39" s="63" t="n">
        <f aca="false">AK21*Ratio!AK52</f>
        <v>0.270829340910963</v>
      </c>
      <c r="AL39" s="63" t="n">
        <f aca="false">AL21*Ratio!AL52</f>
        <v>0.271891284040005</v>
      </c>
      <c r="AM39" s="63" t="n">
        <f aca="false">AM21*Ratio!AM52</f>
        <v>0.279219896864498</v>
      </c>
      <c r="AN39" s="68" t="n">
        <f aca="false">AN21*Ratio!AN52</f>
        <v>0.236529707106299</v>
      </c>
      <c r="AO39" s="67" t="n">
        <f aca="false">AO21*Ratio!AO52</f>
        <v>0.265037866779611</v>
      </c>
      <c r="AP39" s="63" t="n">
        <f aca="false">AP21*Ratio!AP52</f>
        <v>0.26481789387574</v>
      </c>
      <c r="AQ39" s="63" t="n">
        <f aca="false">AQ21*Ratio!AQ52</f>
        <v>0.270438287931903</v>
      </c>
    </row>
    <row r="40" customFormat="false" ht="12.8" hidden="false" customHeight="false" outlineLevel="0" collapsed="false">
      <c r="B40" s="65"/>
      <c r="C40" s="65"/>
      <c r="K40" s="40"/>
    </row>
    <row r="41" customFormat="false" ht="12.8" hidden="false" customHeight="false" outlineLevel="0" collapsed="false">
      <c r="A41" s="1" t="s">
        <v>102</v>
      </c>
      <c r="B41" s="65"/>
      <c r="C41" s="65"/>
      <c r="K41" s="40"/>
    </row>
    <row r="42" customFormat="false" ht="12.8" hidden="false" customHeight="false" outlineLevel="0" collapsed="false">
      <c r="A42" s="139" t="s">
        <v>24</v>
      </c>
      <c r="B42" s="65" t="n">
        <f aca="false">B15*Ratio!B63</f>
        <v>1.41364699639743</v>
      </c>
      <c r="C42" s="65" t="n">
        <f aca="false">C15*Ratio!C63</f>
        <v>1.41408662754355</v>
      </c>
      <c r="D42" s="63" t="n">
        <f aca="false">D15*Ratio!D63</f>
        <v>1.48191106406578</v>
      </c>
      <c r="E42" s="65" t="n">
        <f aca="false">E15*Ratio!E63</f>
        <v>1.48308250831894</v>
      </c>
      <c r="F42" s="63" t="n">
        <f aca="false">F15*Ratio!F63</f>
        <v>1.33832973432032</v>
      </c>
      <c r="G42" s="65" t="n">
        <f aca="false">G15*Ratio!G63</f>
        <v>0.992463899605965</v>
      </c>
      <c r="H42" s="63" t="n">
        <f aca="false">H15*Ratio!H63</f>
        <v>0.98891025725787</v>
      </c>
      <c r="I42" s="66" t="n">
        <f aca="false">I15*Ratio!I63</f>
        <v>0.989278883980625</v>
      </c>
      <c r="J42" s="67" t="n">
        <f aca="false">J15*Ratio!J63</f>
        <v>0.811998622873776</v>
      </c>
      <c r="K42" s="65" t="n">
        <f aca="false">K15*Ratio!K63</f>
        <v>0.728834969793975</v>
      </c>
      <c r="L42" s="63" t="n">
        <f aca="false">L15*Ratio!L63</f>
        <v>0.671401773069226</v>
      </c>
      <c r="M42" s="65" t="n">
        <f aca="false">M15*Ratio!M63</f>
        <v>0.666922266738654</v>
      </c>
      <c r="N42" s="65" t="n">
        <f aca="false">N15*Ratio!N63</f>
        <v>0.659852945453461</v>
      </c>
      <c r="O42" s="63" t="n">
        <f aca="false">O15*Ratio!O63</f>
        <v>0.625266779817543</v>
      </c>
      <c r="P42" s="68" t="n">
        <f aca="false">P15*Ratio!P63</f>
        <v>0.671662264751016</v>
      </c>
      <c r="Q42" s="67" t="n">
        <f aca="false">Q15*Ratio!Q63</f>
        <v>0.67146983781644</v>
      </c>
      <c r="R42" s="63" t="n">
        <f aca="false">R15*Ratio!R63</f>
        <v>0.62547837533083</v>
      </c>
      <c r="S42" s="65" t="n">
        <f aca="false">S15*Ratio!S63</f>
        <v>0.631188458974428</v>
      </c>
      <c r="T42" s="63" t="n">
        <f aca="false">T15*Ratio!T63</f>
        <v>0.659068326367026</v>
      </c>
      <c r="U42" s="63" t="n">
        <f aca="false">U15*Ratio!U63</f>
        <v>0.70615399738374</v>
      </c>
      <c r="V42" s="65" t="n">
        <f aca="false">V15*Ratio!V63</f>
        <v>0.71439043391557</v>
      </c>
      <c r="W42" s="65" t="n">
        <f aca="false">W15*Ratio!W63</f>
        <v>0.639629216356329</v>
      </c>
      <c r="X42" s="66" t="n">
        <f aca="false">X15*Ratio!X63</f>
        <v>0.720574333866782</v>
      </c>
      <c r="Y42" s="67" t="n">
        <f aca="false">Y15*Ratio!Y63</f>
        <v>0.668146620542366</v>
      </c>
      <c r="Z42" s="63" t="n">
        <f aca="false">Z15*Ratio!Z63</f>
        <v>0.558489827473779</v>
      </c>
      <c r="AA42" s="65" t="n">
        <f aca="false">AA15*Ratio!AA63</f>
        <v>0.584942159773915</v>
      </c>
      <c r="AB42" s="63" t="n">
        <f aca="false">AB15*Ratio!AB63</f>
        <v>0.466038403805351</v>
      </c>
      <c r="AC42" s="68" t="n">
        <f aca="false">AC15*Ratio!AC63</f>
        <v>0.41723372636541</v>
      </c>
      <c r="AD42" s="67" t="n">
        <f aca="false">AD15*Ratio!AD63</f>
        <v>0.390697078892228</v>
      </c>
      <c r="AE42" s="63" t="n">
        <f aca="false">AE15*Ratio!AE63</f>
        <v>0.359440957203471</v>
      </c>
      <c r="AF42" s="65" t="n">
        <f aca="false">AF15*Ratio!AF63</f>
        <v>0.370315946630594</v>
      </c>
      <c r="AG42" s="63" t="n">
        <f aca="false">AG15*Ratio!AG63</f>
        <v>0.283155569303175</v>
      </c>
      <c r="AH42" s="63" t="n">
        <f aca="false">AH15*Ratio!AH63</f>
        <v>0.377471749356599</v>
      </c>
      <c r="AI42" s="66" t="n">
        <f aca="false">AI15*Ratio!AI63</f>
        <v>0.482585438620113</v>
      </c>
      <c r="AJ42" s="67" t="n">
        <f aca="false">AJ15*Ratio!AJ63</f>
        <v>0.371572701743154</v>
      </c>
      <c r="AK42" s="63" t="n">
        <f aca="false">AK15*Ratio!AK63</f>
        <v>0.283780117143188</v>
      </c>
      <c r="AL42" s="63" t="n">
        <f aca="false">AL15*Ratio!AL63</f>
        <v>0.270727618551587</v>
      </c>
      <c r="AM42" s="63" t="n">
        <f aca="false">AM15*Ratio!AM63</f>
        <v>0.277016473746499</v>
      </c>
      <c r="AN42" s="68" t="n">
        <f aca="false">AN15*Ratio!AN63</f>
        <v>0.307023545378437</v>
      </c>
      <c r="AO42" s="67" t="n">
        <f aca="false">AO15*Ratio!AO63</f>
        <v>0.25747242723686</v>
      </c>
      <c r="AP42" s="63" t="n">
        <f aca="false">AP15*Ratio!AP63</f>
        <v>0.27869028285279</v>
      </c>
      <c r="AQ42" s="63" t="n">
        <f aca="false">AQ15*Ratio!AQ63</f>
        <v>0.273361006617434</v>
      </c>
    </row>
    <row r="43" customFormat="false" ht="12.8" hidden="false" customHeight="false" outlineLevel="0" collapsed="false">
      <c r="A43" s="139" t="s">
        <v>181</v>
      </c>
      <c r="B43" s="65" t="n">
        <f aca="false">B16*Ratio!B65</f>
        <v>0.541454190060102</v>
      </c>
      <c r="C43" s="65" t="n">
        <f aca="false">C16*Ratio!C65</f>
        <v>0.535501169212247</v>
      </c>
      <c r="D43" s="63" t="n">
        <f aca="false">D16*Ratio!D65</f>
        <v>0.544437020488809</v>
      </c>
      <c r="E43" s="65" t="n">
        <f aca="false">E16*Ratio!E65</f>
        <v>0.540243867285711</v>
      </c>
      <c r="F43" s="63" t="n">
        <f aca="false">F16*Ratio!F65</f>
        <v>0.499392679775769</v>
      </c>
      <c r="G43" s="65" t="n">
        <f aca="false">G16*Ratio!G65</f>
        <v>0.552767253386303</v>
      </c>
      <c r="H43" s="63" t="n">
        <f aca="false">H16*Ratio!H65</f>
        <v>0.587776724772421</v>
      </c>
      <c r="I43" s="66" t="n">
        <f aca="false">I16*Ratio!I65</f>
        <v>0.541407031048337</v>
      </c>
      <c r="J43" s="67" t="n">
        <f aca="false">J16*Ratio!J65</f>
        <v>0.484518510699104</v>
      </c>
      <c r="K43" s="65" t="n">
        <f aca="false">K16*Ratio!K65</f>
        <v>0.495338401802635</v>
      </c>
      <c r="L43" s="63" t="n">
        <f aca="false">L16*Ratio!L65</f>
        <v>0.480807933764677</v>
      </c>
      <c r="M43" s="65" t="n">
        <f aca="false">M16*Ratio!M65</f>
        <v>0.481049709637361</v>
      </c>
      <c r="N43" s="65" t="n">
        <f aca="false">N16*Ratio!N65</f>
        <v>0.479629051837763</v>
      </c>
      <c r="O43" s="63" t="n">
        <f aca="false">O16*Ratio!O65</f>
        <v>0.479571564646143</v>
      </c>
      <c r="P43" s="68" t="n">
        <f aca="false">P16*Ratio!P65</f>
        <v>0.518973247030404</v>
      </c>
      <c r="Q43" s="67" t="n">
        <f aca="false">Q16*Ratio!Q65</f>
        <v>0.467424490592157</v>
      </c>
      <c r="R43" s="63" t="n">
        <f aca="false">R16*Ratio!R65</f>
        <v>0.433574976967309</v>
      </c>
      <c r="S43" s="65" t="n">
        <f aca="false">S16*Ratio!S65</f>
        <v>0.478854356442435</v>
      </c>
      <c r="T43" s="63" t="n">
        <f aca="false">T16*Ratio!T65</f>
        <v>0.470857502412587</v>
      </c>
      <c r="U43" s="63" t="n">
        <f aca="false">U16*Ratio!U65</f>
        <v>0.552229886814427</v>
      </c>
      <c r="V43" s="65" t="n">
        <f aca="false">V16*Ratio!V65</f>
        <v>0.550176981395869</v>
      </c>
      <c r="W43" s="65" t="n">
        <f aca="false">W16*Ratio!W65</f>
        <v>0.518481491061182</v>
      </c>
      <c r="X43" s="66" t="n">
        <f aca="false">X16*Ratio!X65</f>
        <v>0.564836065257996</v>
      </c>
      <c r="Y43" s="67" t="n">
        <f aca="false">Y16*Ratio!Y65</f>
        <v>0.610049921142074</v>
      </c>
      <c r="Z43" s="63" t="n">
        <f aca="false">Z16*Ratio!Z65</f>
        <v>0.552960119787636</v>
      </c>
      <c r="AA43" s="65" t="n">
        <f aca="false">AA16*Ratio!AA65</f>
        <v>0.582413042566978</v>
      </c>
      <c r="AB43" s="63" t="n">
        <f aca="false">AB16*Ratio!AB65</f>
        <v>0.480664040563964</v>
      </c>
      <c r="AC43" s="68" t="n">
        <f aca="false">AC16*Ratio!AC65</f>
        <v>0.467196951102831</v>
      </c>
      <c r="AD43" s="67" t="n">
        <f aca="false">AD16*Ratio!AD65</f>
        <v>0.448465585482447</v>
      </c>
      <c r="AE43" s="63" t="n">
        <f aca="false">AE16*Ratio!AE65</f>
        <v>0.41602779563467</v>
      </c>
      <c r="AF43" s="65" t="n">
        <f aca="false">AF16*Ratio!AF65</f>
        <v>0.415293671246564</v>
      </c>
      <c r="AG43" s="63" t="n">
        <f aca="false">AG16*Ratio!AG65</f>
        <v>0.403161781595851</v>
      </c>
      <c r="AH43" s="63" t="n">
        <f aca="false">AH16*Ratio!AH65</f>
        <v>0.32805356488279</v>
      </c>
      <c r="AI43" s="66" t="n">
        <f aca="false">AI16*Ratio!AI65</f>
        <v>0.438790739203172</v>
      </c>
      <c r="AJ43" s="67" t="n">
        <f aca="false">AJ16*Ratio!AJ65</f>
        <v>0.403486109116945</v>
      </c>
      <c r="AK43" s="63" t="n">
        <f aca="false">AK16*Ratio!AK65</f>
        <v>0.39332896449606</v>
      </c>
      <c r="AL43" s="63" t="n">
        <f aca="false">AL16*Ratio!AL65</f>
        <v>0.355247067981444</v>
      </c>
      <c r="AM43" s="63" t="n">
        <f aca="false">AM16*Ratio!AM65</f>
        <v>0.325901992440224</v>
      </c>
      <c r="AN43" s="68" t="n">
        <f aca="false">AN16*Ratio!AN65</f>
        <v>0.326412024896575</v>
      </c>
      <c r="AO43" s="67" t="n">
        <f aca="false">AO16*Ratio!AO65</f>
        <v>0.304553789770308</v>
      </c>
      <c r="AP43" s="63" t="n">
        <f aca="false">AP16*Ratio!AP65</f>
        <v>0.313807573440619</v>
      </c>
      <c r="AQ43" s="63" t="n">
        <f aca="false">AQ16*Ratio!AQ65</f>
        <v>0.30240909954034</v>
      </c>
    </row>
    <row r="44" customFormat="false" ht="12.8" hidden="false" customHeight="false" outlineLevel="0" collapsed="false">
      <c r="A44" s="139" t="s">
        <v>182</v>
      </c>
      <c r="B44" s="65" t="n">
        <f aca="false">B17*Ratio!B67</f>
        <v>0.203430920340589</v>
      </c>
      <c r="C44" s="65" t="n">
        <f aca="false">C17*Ratio!C67</f>
        <v>0.197764017928591</v>
      </c>
      <c r="D44" s="63" t="n">
        <f aca="false">D17*Ratio!D67</f>
        <v>0.193527412765577</v>
      </c>
      <c r="E44" s="65" t="n">
        <f aca="false">E17*Ratio!E67</f>
        <v>0.180921078545584</v>
      </c>
      <c r="F44" s="63" t="n">
        <f aca="false">F17*Ratio!F67</f>
        <v>0.189853470061962</v>
      </c>
      <c r="G44" s="65" t="n">
        <f aca="false">G17*Ratio!G67</f>
        <v>0.203191976945278</v>
      </c>
      <c r="H44" s="63" t="n">
        <f aca="false">H17*Ratio!H67</f>
        <v>0.193539159435977</v>
      </c>
      <c r="I44" s="66" t="n">
        <f aca="false">I17*Ratio!I67</f>
        <v>0.193839551627958</v>
      </c>
      <c r="J44" s="67" t="n">
        <f aca="false">J17*Ratio!J67</f>
        <v>0.204337870905512</v>
      </c>
      <c r="K44" s="65" t="n">
        <f aca="false">K17*Ratio!K67</f>
        <v>0.212869708922369</v>
      </c>
      <c r="L44" s="63" t="n">
        <f aca="false">L17*Ratio!L67</f>
        <v>0.205148466882675</v>
      </c>
      <c r="M44" s="65" t="n">
        <f aca="false">M17*Ratio!M67</f>
        <v>0.205792355491881</v>
      </c>
      <c r="N44" s="65" t="n">
        <f aca="false">N17*Ratio!N67</f>
        <v>0.20575629735072</v>
      </c>
      <c r="O44" s="63" t="n">
        <f aca="false">O17*Ratio!O67</f>
        <v>0.209702040710508</v>
      </c>
      <c r="P44" s="68" t="n">
        <f aca="false">P17*Ratio!P67</f>
        <v>0.245027603262461</v>
      </c>
      <c r="Q44" s="67" t="n">
        <f aca="false">Q17*Ratio!Q67</f>
        <v>0.256845567252175</v>
      </c>
      <c r="R44" s="63" t="n">
        <f aca="false">R17*Ratio!R67</f>
        <v>0.261668208374265</v>
      </c>
      <c r="S44" s="65" t="n">
        <f aca="false">S17*Ratio!S67</f>
        <v>0.257550805365342</v>
      </c>
      <c r="T44" s="63" t="n">
        <f aca="false">T17*Ratio!T67</f>
        <v>0.310971648238766</v>
      </c>
      <c r="U44" s="63" t="n">
        <f aca="false">U17*Ratio!U67</f>
        <v>0.415800713678157</v>
      </c>
      <c r="V44" s="65" t="n">
        <f aca="false">V17*Ratio!V67</f>
        <v>0.392386990190558</v>
      </c>
      <c r="W44" s="65" t="n">
        <f aca="false">W17*Ratio!W67</f>
        <v>0.400275830616998</v>
      </c>
      <c r="X44" s="66" t="n">
        <f aca="false">X17*Ratio!X67</f>
        <v>0.404916278838097</v>
      </c>
      <c r="Y44" s="67" t="n">
        <f aca="false">Y17*Ratio!Y67</f>
        <v>0.339512081562862</v>
      </c>
      <c r="Z44" s="63" t="n">
        <f aca="false">Z17*Ratio!Z67</f>
        <v>0.355099463456442</v>
      </c>
      <c r="AA44" s="65" t="n">
        <f aca="false">AA17*Ratio!AA67</f>
        <v>0.337206542900993</v>
      </c>
      <c r="AB44" s="63" t="n">
        <f aca="false">AB17*Ratio!AB67</f>
        <v>0.303600420532632</v>
      </c>
      <c r="AC44" s="68" t="n">
        <f aca="false">AC17*Ratio!AC67</f>
        <v>0.374331410874628</v>
      </c>
      <c r="AD44" s="67" t="n">
        <f aca="false">AD17*Ratio!AD67</f>
        <v>0.337405952669743</v>
      </c>
      <c r="AE44" s="63" t="n">
        <f aca="false">AE17*Ratio!AE67</f>
        <v>0.331140675738501</v>
      </c>
      <c r="AF44" s="65" t="n">
        <f aca="false">AF17*Ratio!AF67</f>
        <v>0.338180035362885</v>
      </c>
      <c r="AG44" s="63" t="n">
        <f aca="false">AG17*Ratio!AG67</f>
        <v>0.394815772910619</v>
      </c>
      <c r="AH44" s="63" t="n">
        <f aca="false">AH17*Ratio!AH67</f>
        <v>0.345245723667997</v>
      </c>
      <c r="AI44" s="66" t="n">
        <f aca="false">AI17*Ratio!AI67</f>
        <v>0.377845399939969</v>
      </c>
      <c r="AJ44" s="67" t="n">
        <f aca="false">AJ17*Ratio!AJ67</f>
        <v>0.410771386603172</v>
      </c>
      <c r="AK44" s="63" t="n">
        <f aca="false">AK17*Ratio!AK67</f>
        <v>0.398364687861041</v>
      </c>
      <c r="AL44" s="63" t="n">
        <f aca="false">AL17*Ratio!AL67</f>
        <v>0.399909357461192</v>
      </c>
      <c r="AM44" s="63" t="n">
        <f aca="false">AM17*Ratio!AM67</f>
        <v>0.377862731711994</v>
      </c>
      <c r="AN44" s="68" t="n">
        <f aca="false">AN17*Ratio!AN67</f>
        <v>0.390787892872941</v>
      </c>
      <c r="AO44" s="67" t="n">
        <f aca="false">AO17*Ratio!AO67</f>
        <v>0.408724754201498</v>
      </c>
      <c r="AP44" s="63" t="n">
        <f aca="false">AP17*Ratio!AP67</f>
        <v>0.406986095141516</v>
      </c>
      <c r="AQ44" s="63" t="n">
        <f aca="false">AQ17*Ratio!AQ67</f>
        <v>0.407466476105783</v>
      </c>
    </row>
    <row r="45" customFormat="false" ht="12.8" hidden="false" customHeight="false" outlineLevel="0" collapsed="false">
      <c r="A45" s="139" t="s">
        <v>185</v>
      </c>
      <c r="B45" s="65" t="n">
        <f aca="false">B18*Ratio!B72</f>
        <v>0.028570358643819</v>
      </c>
      <c r="C45" s="65" t="n">
        <f aca="false">C18*Ratio!C72</f>
        <v>0.028483449492728</v>
      </c>
      <c r="D45" s="63" t="n">
        <f aca="false">D18*Ratio!D72</f>
        <v>0.0286298219741304</v>
      </c>
      <c r="E45" s="65" t="n">
        <f aca="false">E18*Ratio!E72</f>
        <v>0.0308337487294807</v>
      </c>
      <c r="F45" s="63" t="n">
        <f aca="false">F18*Ratio!F72</f>
        <v>0.0246697931110861</v>
      </c>
      <c r="G45" s="65" t="n">
        <f aca="false">G18*Ratio!G72</f>
        <v>0.0297403973620594</v>
      </c>
      <c r="H45" s="63" t="n">
        <f aca="false">H18*Ratio!H72</f>
        <v>0.0275370408618206</v>
      </c>
      <c r="I45" s="66" t="n">
        <f aca="false">I18*Ratio!I72</f>
        <v>0.0294647187476359</v>
      </c>
      <c r="J45" s="67" t="n">
        <f aca="false">J18*Ratio!J72</f>
        <v>0.0251796561887622</v>
      </c>
      <c r="K45" s="65" t="n">
        <f aca="false">K18*Ratio!K72</f>
        <v>0.00931467659754946</v>
      </c>
      <c r="L45" s="63" t="n">
        <f aca="false">L18*Ratio!L72</f>
        <v>0.0217876360208822</v>
      </c>
      <c r="M45" s="65" t="n">
        <f aca="false">M18*Ratio!M72</f>
        <v>0.0218190041343371</v>
      </c>
      <c r="N45" s="65" t="n">
        <f aca="false">N18*Ratio!N72</f>
        <v>0.0207460574340485</v>
      </c>
      <c r="O45" s="63" t="n">
        <f aca="false">O18*Ratio!O72</f>
        <v>0.022410169557643</v>
      </c>
      <c r="P45" s="68" t="n">
        <f aca="false">P18*Ratio!P72</f>
        <v>0.0233523904873721</v>
      </c>
      <c r="Q45" s="67" t="n">
        <f aca="false">Q18*Ratio!Q72</f>
        <v>0.0215005450630569</v>
      </c>
      <c r="R45" s="63" t="n">
        <f aca="false">R18*Ratio!R72</f>
        <v>0.0182790858565988</v>
      </c>
      <c r="S45" s="65" t="n">
        <f aca="false">S18*Ratio!S72</f>
        <v>0.0156911559687386</v>
      </c>
      <c r="T45" s="63" t="n">
        <f aca="false">T18*Ratio!T72</f>
        <v>0.016116926466025</v>
      </c>
      <c r="U45" s="63" t="n">
        <f aca="false">U18*Ratio!U72</f>
        <v>0.0134669323427511</v>
      </c>
      <c r="V45" s="65" t="n">
        <f aca="false">V18*Ratio!V72</f>
        <v>0.016399497575874</v>
      </c>
      <c r="W45" s="65" t="n">
        <f aca="false">W18*Ratio!W72</f>
        <v>0.0172723408234598</v>
      </c>
      <c r="X45" s="66" t="n">
        <f aca="false">X18*Ratio!X72</f>
        <v>0.0157641122558077</v>
      </c>
      <c r="Y45" s="67" t="n">
        <f aca="false">Y18*Ratio!Y72</f>
        <v>0.016904908121775</v>
      </c>
      <c r="Z45" s="63" t="n">
        <f aca="false">Z18*Ratio!Z72</f>
        <v>0.0206364150515798</v>
      </c>
      <c r="AA45" s="65" t="n">
        <f aca="false">AA18*Ratio!AA72</f>
        <v>0.0197057374006291</v>
      </c>
      <c r="AB45" s="63" t="n">
        <f aca="false">AB18*Ratio!AB72</f>
        <v>0.0239986944180445</v>
      </c>
      <c r="AC45" s="68" t="n">
        <f aca="false">AC18*Ratio!AC72</f>
        <v>0.0244169008070389</v>
      </c>
      <c r="AD45" s="67" t="n">
        <f aca="false">AD18*Ratio!AD72</f>
        <v>0.0247674492456657</v>
      </c>
      <c r="AE45" s="63" t="n">
        <f aca="false">AE18*Ratio!AE72</f>
        <v>0.0217518453815382</v>
      </c>
      <c r="AF45" s="65" t="n">
        <f aca="false">AF18*Ratio!AF72</f>
        <v>0.0203815925033212</v>
      </c>
      <c r="AG45" s="63" t="n">
        <f aca="false">AG18*Ratio!AG72</f>
        <v>0.0192341405718122</v>
      </c>
      <c r="AH45" s="63" t="n">
        <f aca="false">AH18*Ratio!AH72</f>
        <v>0.0248942753934907</v>
      </c>
      <c r="AI45" s="66" t="n">
        <f aca="false">AI18*Ratio!AI72</f>
        <v>0.0219219624455616</v>
      </c>
      <c r="AJ45" s="67" t="n">
        <f aca="false">AJ18*Ratio!AJ72</f>
        <v>0.0240454723844297</v>
      </c>
      <c r="AK45" s="63" t="n">
        <f aca="false">AK18*Ratio!AK72</f>
        <v>0.0230216071448164</v>
      </c>
      <c r="AL45" s="63" t="n">
        <f aca="false">AL18*Ratio!AL72</f>
        <v>0.0231167059574775</v>
      </c>
      <c r="AM45" s="63" t="n">
        <f aca="false">AM18*Ratio!AM72</f>
        <v>0.0242822823484445</v>
      </c>
      <c r="AN45" s="68" t="n">
        <f aca="false">AN18*Ratio!AN72</f>
        <v>0.0288300322634312</v>
      </c>
      <c r="AO45" s="67" t="n">
        <f aca="false">AO18*Ratio!AO72</f>
        <v>0.0249155490047474</v>
      </c>
      <c r="AP45" s="63" t="n">
        <f aca="false">AP18*Ratio!AP72</f>
        <v>0.0268113165372576</v>
      </c>
      <c r="AQ45" s="63" t="n">
        <f aca="false">AQ18*Ratio!AQ72</f>
        <v>0.0271254297937337</v>
      </c>
    </row>
    <row r="46" customFormat="false" ht="12.8" hidden="false" customHeight="false" outlineLevel="0" collapsed="false">
      <c r="A46" s="139" t="s">
        <v>189</v>
      </c>
      <c r="B46" s="65" t="n">
        <f aca="false">B19*Ratio!B77</f>
        <v>0.0152336565306807</v>
      </c>
      <c r="C46" s="65" t="n">
        <f aca="false">C19*Ratio!C77</f>
        <v>0.0169546996620366</v>
      </c>
      <c r="D46" s="63" t="n">
        <f aca="false">D19*Ratio!D77</f>
        <v>0.0172054182495174</v>
      </c>
      <c r="E46" s="65" t="n">
        <f aca="false">E19*Ratio!E77</f>
        <v>0.013176222107897</v>
      </c>
      <c r="F46" s="63" t="n">
        <f aca="false">F19*Ratio!F77</f>
        <v>0.0123814608205886</v>
      </c>
      <c r="G46" s="65" t="n">
        <f aca="false">G19*Ratio!G77</f>
        <v>0.0131088522296732</v>
      </c>
      <c r="H46" s="63" t="n">
        <f aca="false">H19*Ratio!H77</f>
        <v>0.013236587527582</v>
      </c>
      <c r="I46" s="66" t="n">
        <f aca="false">I19*Ratio!I77</f>
        <v>0.0157728724945229</v>
      </c>
      <c r="J46" s="67" t="n">
        <f aca="false">J19*Ratio!J77</f>
        <v>0.0178827083154906</v>
      </c>
      <c r="K46" s="65" t="n">
        <f aca="false">K19*Ratio!K77</f>
        <v>0.0137072230957516</v>
      </c>
      <c r="L46" s="63" t="n">
        <f aca="false">L19*Ratio!L77</f>
        <v>0.0142589414722048</v>
      </c>
      <c r="M46" s="65" t="n">
        <f aca="false">M19*Ratio!M77</f>
        <v>0.0142760439111681</v>
      </c>
      <c r="N46" s="65" t="n">
        <f aca="false">N19*Ratio!N77</f>
        <v>0.0144183601928048</v>
      </c>
      <c r="O46" s="63" t="n">
        <f aca="false">O19*Ratio!O77</f>
        <v>0.0151069498820619</v>
      </c>
      <c r="P46" s="68" t="n">
        <f aca="false">P19*Ratio!P77</f>
        <v>0.0169185291692259</v>
      </c>
      <c r="Q46" s="67" t="n">
        <f aca="false">Q19*Ratio!Q77</f>
        <v>0.018515725650913</v>
      </c>
      <c r="R46" s="63" t="n">
        <f aca="false">R19*Ratio!R77</f>
        <v>0.0198494463007681</v>
      </c>
      <c r="S46" s="65" t="n">
        <f aca="false">S19*Ratio!S77</f>
        <v>0.0184069956357257</v>
      </c>
      <c r="T46" s="63" t="n">
        <f aca="false">T19*Ratio!T77</f>
        <v>0.0200692475881719</v>
      </c>
      <c r="U46" s="63" t="n">
        <f aca="false">U19*Ratio!U77</f>
        <v>0.0175796663431766</v>
      </c>
      <c r="V46" s="65" t="n">
        <f aca="false">V19*Ratio!V77</f>
        <v>0.0177271398540315</v>
      </c>
      <c r="W46" s="65" t="n">
        <f aca="false">W19*Ratio!W77</f>
        <v>0.0165548489768721</v>
      </c>
      <c r="X46" s="66" t="n">
        <f aca="false">X19*Ratio!X77</f>
        <v>0.0151092721199025</v>
      </c>
      <c r="Y46" s="67" t="n">
        <f aca="false">Y19*Ratio!Y77</f>
        <v>0.0187403425765668</v>
      </c>
      <c r="Z46" s="63" t="n">
        <f aca="false">Z19*Ratio!Z77</f>
        <v>0.0199800847361737</v>
      </c>
      <c r="AA46" s="65" t="n">
        <f aca="false">AA19*Ratio!AA77</f>
        <v>0.0203943766451293</v>
      </c>
      <c r="AB46" s="63" t="n">
        <f aca="false">AB19*Ratio!AB77</f>
        <v>0.0242058763270894</v>
      </c>
      <c r="AC46" s="68" t="n">
        <f aca="false">AC19*Ratio!AC77</f>
        <v>0.0242497803563411</v>
      </c>
      <c r="AD46" s="67" t="n">
        <f aca="false">AD19*Ratio!AD77</f>
        <v>0.023537753419344</v>
      </c>
      <c r="AE46" s="63" t="n">
        <f aca="false">AE19*Ratio!AE77</f>
        <v>0.0222757806477284</v>
      </c>
      <c r="AF46" s="65" t="n">
        <f aca="false">AF19*Ratio!AF77</f>
        <v>0.0231067685365055</v>
      </c>
      <c r="AG46" s="63" t="n">
        <f aca="false">AG19*Ratio!AG77</f>
        <v>0.0201751201363601</v>
      </c>
      <c r="AH46" s="63" t="n">
        <f aca="false">AH19*Ratio!AH77</f>
        <v>0.0219771056508437</v>
      </c>
      <c r="AI46" s="66" t="n">
        <f aca="false">AI19*Ratio!AI77</f>
        <v>0.0335726742985981</v>
      </c>
      <c r="AJ46" s="67" t="n">
        <f aca="false">AJ19*Ratio!AJ77</f>
        <v>0.0321338710334793</v>
      </c>
      <c r="AK46" s="63" t="n">
        <f aca="false">AK19*Ratio!AK77</f>
        <v>0.0286175200658163</v>
      </c>
      <c r="AL46" s="63" t="n">
        <f aca="false">AL19*Ratio!AL77</f>
        <v>0.0307739273903702</v>
      </c>
      <c r="AM46" s="63" t="n">
        <f aca="false">AM19*Ratio!AM77</f>
        <v>0.02567030736136</v>
      </c>
      <c r="AN46" s="68" t="n">
        <f aca="false">AN19*Ratio!AN77</f>
        <v>0.0275371037850043</v>
      </c>
      <c r="AO46" s="67" t="n">
        <f aca="false">AO19*Ratio!AO77</f>
        <v>0.0245464114568798</v>
      </c>
      <c r="AP46" s="63" t="n">
        <f aca="false">AP19*Ratio!AP77</f>
        <v>0.0217214167351939</v>
      </c>
      <c r="AQ46" s="63" t="n">
        <f aca="false">AQ19*Ratio!AQ77</f>
        <v>0.0190538958416424</v>
      </c>
    </row>
    <row r="47" customFormat="false" ht="12.8" hidden="false" customHeight="false" outlineLevel="0" collapsed="false">
      <c r="A47" s="139" t="s">
        <v>26</v>
      </c>
      <c r="B47" s="65" t="n">
        <f aca="false">B20*Ratio!B79</f>
        <v>0.00681569280524652</v>
      </c>
      <c r="C47" s="65" t="n">
        <f aca="false">C20*Ratio!C79</f>
        <v>0.00781389663758096</v>
      </c>
      <c r="D47" s="63" t="n">
        <f aca="false">D20*Ratio!D79</f>
        <v>0.00646540820830111</v>
      </c>
      <c r="E47" s="65" t="n">
        <f aca="false">E20*Ratio!E79</f>
        <v>0.00701267731500772</v>
      </c>
      <c r="F47" s="63" t="n">
        <f aca="false">F20*Ratio!F79</f>
        <v>0.0069319529263064</v>
      </c>
      <c r="G47" s="65" t="n">
        <f aca="false">G20*Ratio!G79</f>
        <v>0.00630340071352367</v>
      </c>
      <c r="H47" s="63" t="n">
        <f aca="false">H20*Ratio!H79</f>
        <v>0.005266331450192</v>
      </c>
      <c r="I47" s="66" t="n">
        <f aca="false">I20*Ratio!I79</f>
        <v>0.00537941094248688</v>
      </c>
      <c r="J47" s="67" t="n">
        <f aca="false">J20*Ratio!J79</f>
        <v>0.0053951076085069</v>
      </c>
      <c r="K47" s="65" t="n">
        <f aca="false">K20*Ratio!K79</f>
        <v>0.00638471946482903</v>
      </c>
      <c r="L47" s="63" t="n">
        <f aca="false">L20*Ratio!L79</f>
        <v>0.00732980707505455</v>
      </c>
      <c r="M47" s="65" t="n">
        <f aca="false">M20*Ratio!M79</f>
        <v>0.00579549682296054</v>
      </c>
      <c r="N47" s="65" t="n">
        <f aca="false">N20*Ratio!N79</f>
        <v>0.00585373977102285</v>
      </c>
      <c r="O47" s="63" t="n">
        <f aca="false">O20*Ratio!O79</f>
        <v>0.00609155336416618</v>
      </c>
      <c r="P47" s="68" t="n">
        <f aca="false">P20*Ratio!P79</f>
        <v>0.0070102334325926</v>
      </c>
      <c r="Q47" s="67" t="n">
        <f aca="false">Q20*Ratio!Q79</f>
        <v>0.00645955589207225</v>
      </c>
      <c r="R47" s="63" t="n">
        <f aca="false">R20*Ratio!R79</f>
        <v>0.00823614453469449</v>
      </c>
      <c r="S47" s="65" t="n">
        <f aca="false">S20*Ratio!S79</f>
        <v>0.00786391531714416</v>
      </c>
      <c r="T47" s="63" t="n">
        <f aca="false">T20*Ratio!T79</f>
        <v>0.00970251801795971</v>
      </c>
      <c r="U47" s="63" t="n">
        <f aca="false">U20*Ratio!U79</f>
        <v>0.011456642738533</v>
      </c>
      <c r="V47" s="65" t="n">
        <f aca="false">V20*Ratio!V79</f>
        <v>0.0115512804756462</v>
      </c>
      <c r="W47" s="65" t="n">
        <f aca="false">W20*Ratio!W79</f>
        <v>0.0122072882945383</v>
      </c>
      <c r="X47" s="66" t="n">
        <f aca="false">X20*Ratio!X79</f>
        <v>0.0134207423556716</v>
      </c>
      <c r="Y47" s="67" t="n">
        <f aca="false">Y20*Ratio!Y79</f>
        <v>0.0123275435658074</v>
      </c>
      <c r="Z47" s="63" t="n">
        <f aca="false">Z20*Ratio!Z79</f>
        <v>0.0126604551056031</v>
      </c>
      <c r="AA47" s="65" t="n">
        <f aca="false">AA20*Ratio!AA79</f>
        <v>0.0122529182280229</v>
      </c>
      <c r="AB47" s="63" t="n">
        <f aca="false">AB20*Ratio!AB79</f>
        <v>0.0157680080877581</v>
      </c>
      <c r="AC47" s="68" t="n">
        <f aca="false">AC20*Ratio!AC79</f>
        <v>0.0163944637324077</v>
      </c>
      <c r="AD47" s="67" t="n">
        <f aca="false">AD20*Ratio!AD79</f>
        <v>0.0160729674286026</v>
      </c>
      <c r="AE47" s="63" t="n">
        <f aca="false">AE20*Ratio!AE79</f>
        <v>0.016862383444005</v>
      </c>
      <c r="AF47" s="65" t="n">
        <f aca="false">AF20*Ratio!AF79</f>
        <v>0.0147399909848707</v>
      </c>
      <c r="AG47" s="63" t="n">
        <f aca="false">AG20*Ratio!AG79</f>
        <v>0.0149351817426039</v>
      </c>
      <c r="AH47" s="63" t="n">
        <f aca="false">AH20*Ratio!AH79</f>
        <v>0.0129729111917381</v>
      </c>
      <c r="AI47" s="66" t="n">
        <f aca="false">AI20*Ratio!AI79</f>
        <v>0.0188312979425626</v>
      </c>
      <c r="AJ47" s="67" t="n">
        <f aca="false">AJ20*Ratio!AJ79</f>
        <v>0.0190679323934165</v>
      </c>
      <c r="AK47" s="63" t="n">
        <f aca="false">AK20*Ratio!AK79</f>
        <v>0.0147626303933362</v>
      </c>
      <c r="AL47" s="63" t="n">
        <f aca="false">AL20*Ratio!AL79</f>
        <v>0.0135351121507755</v>
      </c>
      <c r="AM47" s="63" t="n">
        <f aca="false">AM20*Ratio!AM79</f>
        <v>0.0131067607905883</v>
      </c>
      <c r="AN47" s="68" t="n">
        <f aca="false">AN20*Ratio!AN79</f>
        <v>0.0156210622089466</v>
      </c>
      <c r="AO47" s="67" t="n">
        <f aca="false">AO20*Ratio!AO79</f>
        <v>0.0107031670892026</v>
      </c>
      <c r="AP47" s="63" t="n">
        <f aca="false">AP20*Ratio!AP79</f>
        <v>0.0139142472835121</v>
      </c>
      <c r="AQ47" s="63" t="n">
        <f aca="false">AQ20*Ratio!AQ79</f>
        <v>0.0125991278188217</v>
      </c>
    </row>
    <row r="48" customFormat="false" ht="12.8" hidden="false" customHeight="false" outlineLevel="0" collapsed="false">
      <c r="A48" s="139" t="s">
        <v>193</v>
      </c>
      <c r="B48" s="65" t="n">
        <f aca="false">B21*Ratio!B82</f>
        <v>0.00350489662640368</v>
      </c>
      <c r="C48" s="65" t="n">
        <f aca="false">C21*Ratio!C82</f>
        <v>0.00366654299308114</v>
      </c>
      <c r="D48" s="63" t="n">
        <f aca="false">D21*Ratio!D82</f>
        <v>0.00358799637404698</v>
      </c>
      <c r="E48" s="65" t="n">
        <f aca="false">E21*Ratio!E82</f>
        <v>0.00384272407830549</v>
      </c>
      <c r="F48" s="63" t="n">
        <f aca="false">F21*Ratio!F82</f>
        <v>0.00405594287084907</v>
      </c>
      <c r="G48" s="65" t="n">
        <f aca="false">G21*Ratio!G82</f>
        <v>0.0045545866516961</v>
      </c>
      <c r="H48" s="63" t="n">
        <f aca="false">H21*Ratio!H82</f>
        <v>0.00456741374742685</v>
      </c>
      <c r="I48" s="66" t="n">
        <f aca="false">I21*Ratio!I82</f>
        <v>0.00502717969757675</v>
      </c>
      <c r="J48" s="67" t="n">
        <f aca="false">J21*Ratio!J82</f>
        <v>0.00569177437647749</v>
      </c>
      <c r="K48" s="65" t="n">
        <f aca="false">K21*Ratio!K82</f>
        <v>0</v>
      </c>
      <c r="L48" s="63" t="n">
        <f aca="false">L21*Ratio!L82</f>
        <v>0.00610539017947267</v>
      </c>
      <c r="M48" s="65" t="n">
        <f aca="false">M21*Ratio!M82</f>
        <v>0.00611418023690033</v>
      </c>
      <c r="N48" s="65" t="n">
        <f aca="false">N21*Ratio!N82</f>
        <v>0.00617562585456861</v>
      </c>
      <c r="O48" s="63" t="n">
        <f aca="false">O21*Ratio!O82</f>
        <v>0.00648040725432927</v>
      </c>
      <c r="P48" s="68" t="n">
        <f aca="false">P21*Ratio!P82</f>
        <v>0.00586651753861443</v>
      </c>
      <c r="Q48" s="67" t="n">
        <f aca="false">Q21*Ratio!Q82</f>
        <v>0.0058332454825026</v>
      </c>
      <c r="R48" s="63" t="n">
        <f aca="false">R21*Ratio!R82</f>
        <v>0.00602890347169698</v>
      </c>
      <c r="S48" s="65" t="n">
        <f aca="false">S21*Ratio!S82</f>
        <v>0.00575642962030901</v>
      </c>
      <c r="T48" s="63" t="n">
        <f aca="false">T21*Ratio!T82</f>
        <v>0.00575116854370624</v>
      </c>
      <c r="U48" s="63" t="n">
        <f aca="false">U21*Ratio!U82</f>
        <v>0.00491406388617293</v>
      </c>
      <c r="V48" s="65" t="n">
        <f aca="false">V21*Ratio!V82</f>
        <v>0.00509828810671</v>
      </c>
      <c r="W48" s="65" t="n">
        <f aca="false">W21*Ratio!W82</f>
        <v>0.00538782456701997</v>
      </c>
      <c r="X48" s="66" t="n">
        <f aca="false">X21*Ratio!X82</f>
        <v>0.00491735730305536</v>
      </c>
      <c r="Y48" s="67" t="n">
        <f aca="false">Y21*Ratio!Y82</f>
        <v>0.00511842406901003</v>
      </c>
      <c r="Z48" s="63" t="n">
        <f aca="false">Z21*Ratio!Z82</f>
        <v>0.00697742019740004</v>
      </c>
      <c r="AA48" s="65" t="n">
        <f aca="false">AA21*Ratio!AA82</f>
        <v>0.0067528187895443</v>
      </c>
      <c r="AB48" s="63" t="n">
        <f aca="false">AB21*Ratio!AB82</f>
        <v>0.00788213368387652</v>
      </c>
      <c r="AC48" s="68" t="n">
        <f aca="false">AC21*Ratio!AC82</f>
        <v>0.00882952406734599</v>
      </c>
      <c r="AD48" s="67" t="n">
        <f aca="false">AD21*Ratio!AD82</f>
        <v>0.00924102329943017</v>
      </c>
      <c r="AE48" s="63" t="n">
        <f aca="false">AE21*Ratio!AE82</f>
        <v>0.0162570670555941</v>
      </c>
      <c r="AF48" s="65" t="n">
        <f aca="false">AF21*Ratio!AF82</f>
        <v>0.0159916092964329</v>
      </c>
      <c r="AG48" s="63" t="n">
        <f aca="false">AG21*Ratio!AG82</f>
        <v>0.0181777604115394</v>
      </c>
      <c r="AH48" s="63" t="n">
        <f aca="false">AH21*Ratio!AH82</f>
        <v>0.0126976386711823</v>
      </c>
      <c r="AI48" s="66" t="n">
        <f aca="false">AI21*Ratio!AI82</f>
        <v>0.00942201138405624</v>
      </c>
      <c r="AJ48" s="67" t="n">
        <f aca="false">AJ21*Ratio!AJ82</f>
        <v>0.00906673361865062</v>
      </c>
      <c r="AK48" s="63" t="n">
        <f aca="false">AK21*Ratio!AK82</f>
        <v>0.0095872517385121</v>
      </c>
      <c r="AL48" s="63" t="n">
        <f aca="false">AL21*Ratio!AL82</f>
        <v>0.00962484410600028</v>
      </c>
      <c r="AM48" s="63" t="n">
        <f aca="false">AM21*Ratio!AM82</f>
        <v>0.00988427410648021</v>
      </c>
      <c r="AN48" s="68" t="n">
        <f aca="false">AN21*Ratio!AN82</f>
        <v>0.0149689741514932</v>
      </c>
      <c r="AO48" s="67" t="n">
        <f aca="false">AO21*Ratio!AO82</f>
        <v>0.0167731361338385</v>
      </c>
      <c r="AP48" s="63" t="n">
        <f aca="false">AP21*Ratio!AP82</f>
        <v>0.0167592149703941</v>
      </c>
      <c r="AQ48" s="63" t="n">
        <f aca="false">AQ21*Ratio!AQ82</f>
        <v>0.0171149061619032</v>
      </c>
    </row>
    <row r="50" customFormat="false" ht="12.8" hidden="false" customHeight="false" outlineLevel="0" collapsed="false">
      <c r="A50" s="1" t="s">
        <v>103</v>
      </c>
    </row>
    <row r="51" customFormat="false" ht="12.8" hidden="false" customHeight="false" outlineLevel="0" collapsed="false">
      <c r="A51" s="139" t="s">
        <v>24</v>
      </c>
      <c r="B51" s="97" t="n">
        <f aca="false">B15*Ratio!B93</f>
        <v>11.7629851854537</v>
      </c>
      <c r="C51" s="72" t="n">
        <f aca="false">C15*Ratio!C93</f>
        <v>11.9273883731531</v>
      </c>
      <c r="D51" s="31" t="n">
        <f aca="false">D15*Ratio!D93</f>
        <v>12.2432674882526</v>
      </c>
      <c r="E51" s="96" t="n">
        <f aca="false">E15*Ratio!E93</f>
        <v>12.5066576974107</v>
      </c>
      <c r="F51" s="31" t="n">
        <f aca="false">F15*Ratio!F93</f>
        <v>11.8458166000254</v>
      </c>
      <c r="G51" s="96" t="n">
        <f aca="false">G15*Ratio!G93</f>
        <v>9.91478047081862</v>
      </c>
      <c r="H51" s="31" t="n">
        <f aca="false">H15*Ratio!H93</f>
        <v>9.90048099507989</v>
      </c>
      <c r="I51" s="74" t="n">
        <f aca="false">I15*Ratio!I93</f>
        <v>15.6174756428605</v>
      </c>
      <c r="J51" s="75" t="n">
        <f aca="false">J15*Ratio!J93</f>
        <v>14.321213127909</v>
      </c>
      <c r="K51" s="72" t="n">
        <f aca="false">K15*Ratio!K93</f>
        <v>13.7239424185575</v>
      </c>
      <c r="L51" s="31" t="n">
        <f aca="false">L15*Ratio!L93</f>
        <v>13.0037795450556</v>
      </c>
      <c r="M51" s="96" t="n">
        <f aca="false">M15*Ratio!M93</f>
        <v>12.955571461604</v>
      </c>
      <c r="N51" s="96" t="n">
        <f aca="false">N15*Ratio!N93</f>
        <v>12.9158189612996</v>
      </c>
      <c r="O51" s="31" t="n">
        <f aca="false">O15*Ratio!O93</f>
        <v>12.7097337995927</v>
      </c>
      <c r="P51" s="76" t="n">
        <f aca="false">P15*Ratio!P93</f>
        <v>13.0828329050165</v>
      </c>
      <c r="Q51" s="75" t="n">
        <f aca="false">Q15*Ratio!Q93</f>
        <v>11.7148098530958</v>
      </c>
      <c r="R51" s="31" t="n">
        <f aca="false">R15*Ratio!R93</f>
        <v>11.3432029720156</v>
      </c>
      <c r="S51" s="96" t="n">
        <f aca="false">S15*Ratio!S93</f>
        <v>11.2125210527149</v>
      </c>
      <c r="T51" s="31" t="n">
        <f aca="false">T15*Ratio!T93</f>
        <v>11.5174913840365</v>
      </c>
      <c r="U51" s="31" t="n">
        <f aca="false">U15*Ratio!U93</f>
        <v>11.6474610143734</v>
      </c>
      <c r="V51" s="96" t="n">
        <f aca="false">V15*Ratio!V93</f>
        <v>12.4037129401342</v>
      </c>
      <c r="W51" s="96" t="n">
        <f aca="false">W15*Ratio!W93</f>
        <v>11.7903416460922</v>
      </c>
      <c r="X51" s="74" t="n">
        <f aca="false">X15*Ratio!X93</f>
        <v>12.313586539746</v>
      </c>
      <c r="Y51" s="75" t="n">
        <f aca="false">Y15*Ratio!Y93</f>
        <v>11.8992831524022</v>
      </c>
      <c r="Z51" s="73" t="n">
        <f aca="false">Z15*Ratio!Z93</f>
        <v>10.9884197494859</v>
      </c>
      <c r="AA51" s="72" t="n">
        <f aca="false">AA15*Ratio!AA93</f>
        <v>11.1758928946484</v>
      </c>
      <c r="AB51" s="73" t="n">
        <f aca="false">AB15*Ratio!AB93</f>
        <v>10.2895177533709</v>
      </c>
      <c r="AC51" s="76" t="n">
        <f aca="false">AC15*Ratio!AC93</f>
        <v>9.94907694467421</v>
      </c>
      <c r="AD51" s="75" t="n">
        <f aca="false">AD15*Ratio!AD93</f>
        <v>8.44430934777852</v>
      </c>
      <c r="AE51" s="31" t="n">
        <f aca="false">AE15*Ratio!AE93</f>
        <v>8.11161304710851</v>
      </c>
      <c r="AF51" s="96" t="n">
        <f aca="false">AF15*Ratio!AF93</f>
        <v>8.20514699117864</v>
      </c>
      <c r="AG51" s="31" t="n">
        <f aca="false">AG15*Ratio!AG93</f>
        <v>7.36192681616582</v>
      </c>
      <c r="AH51" s="31" t="n">
        <f aca="false">AH15*Ratio!AH93</f>
        <v>7.49190899136882</v>
      </c>
      <c r="AI51" s="74" t="n">
        <f aca="false">AI15*Ratio!AI93</f>
        <v>7.76570578903327</v>
      </c>
      <c r="AJ51" s="75" t="n">
        <f aca="false">AJ15*Ratio!AJ93</f>
        <v>6.82757962962015</v>
      </c>
      <c r="AK51" s="31" t="n">
        <f aca="false">AK15*Ratio!AK93</f>
        <v>5.93117812240753</v>
      </c>
      <c r="AL51" s="31" t="n">
        <f aca="false">AL15*Ratio!AL93</f>
        <v>5.77600430291459</v>
      </c>
      <c r="AM51" s="31" t="n">
        <f aca="false">AM15*Ratio!AM93</f>
        <v>6.08170695787363</v>
      </c>
      <c r="AN51" s="76" t="n">
        <f aca="false">AN15*Ratio!AN93</f>
        <v>10.8520080267407</v>
      </c>
      <c r="AO51" s="75" t="n">
        <f aca="false">AO15*Ratio!AO93</f>
        <v>9.98015790003439</v>
      </c>
      <c r="AP51" s="73" t="n">
        <f aca="false">AP15*Ratio!AP93</f>
        <v>10.4505429035065</v>
      </c>
      <c r="AQ51" s="31" t="n">
        <f aca="false">AQ15*Ratio!AQ93</f>
        <v>10.4173686960519</v>
      </c>
    </row>
    <row r="52" customFormat="false" ht="12.8" hidden="false" customHeight="false" outlineLevel="0" collapsed="false">
      <c r="A52" s="139" t="s">
        <v>181</v>
      </c>
      <c r="B52" s="97" t="n">
        <f aca="false">B16*Ratio!B95</f>
        <v>7.67624551669029</v>
      </c>
      <c r="C52" s="72" t="n">
        <f aca="false">C16*Ratio!C95</f>
        <v>7.56960147594845</v>
      </c>
      <c r="D52" s="31" t="n">
        <f aca="false">D16*Ratio!D95</f>
        <v>7.65916071503259</v>
      </c>
      <c r="E52" s="96" t="n">
        <f aca="false">E16*Ratio!E95</f>
        <v>7.49167146107051</v>
      </c>
      <c r="F52" s="31" t="n">
        <f aca="false">F16*Ratio!F95</f>
        <v>7.30588084293608</v>
      </c>
      <c r="G52" s="96" t="n">
        <f aca="false">G16*Ratio!G95</f>
        <v>10.0966570007627</v>
      </c>
      <c r="H52" s="31" t="n">
        <f aca="false">H16*Ratio!H95</f>
        <v>10.7075633779936</v>
      </c>
      <c r="I52" s="74" t="n">
        <f aca="false">I16*Ratio!I95</f>
        <v>9.45445930872347</v>
      </c>
      <c r="J52" s="75" t="n">
        <f aca="false">J16*Ratio!J95</f>
        <v>9.13133319239119</v>
      </c>
      <c r="K52" s="72" t="n">
        <f aca="false">K16*Ratio!K95</f>
        <v>9.5097073000241</v>
      </c>
      <c r="L52" s="31" t="n">
        <f aca="false">L16*Ratio!L95</f>
        <v>9.24880060836359</v>
      </c>
      <c r="M52" s="96" t="n">
        <f aca="false">M16*Ratio!M95</f>
        <v>9.2994647006917</v>
      </c>
      <c r="N52" s="96" t="n">
        <f aca="false">N16*Ratio!N95</f>
        <v>9.2560967695555</v>
      </c>
      <c r="O52" s="31" t="n">
        <f aca="false">O16*Ratio!O95</f>
        <v>8.92858563253081</v>
      </c>
      <c r="P52" s="76" t="n">
        <f aca="false">P16*Ratio!P95</f>
        <v>9.20342617634934</v>
      </c>
      <c r="Q52" s="75" t="n">
        <f aca="false">Q16*Ratio!Q95</f>
        <v>8.43454295540107</v>
      </c>
      <c r="R52" s="31" t="n">
        <f aca="false">R16*Ratio!R95</f>
        <v>8.27786976705049</v>
      </c>
      <c r="S52" s="96" t="n">
        <f aca="false">S16*Ratio!S95</f>
        <v>8.89361121936475</v>
      </c>
      <c r="T52" s="31" t="n">
        <f aca="false">T16*Ratio!T95</f>
        <v>8.78863895834406</v>
      </c>
      <c r="U52" s="31" t="n">
        <f aca="false">U16*Ratio!U95</f>
        <v>10.2153953640831</v>
      </c>
      <c r="V52" s="96" t="n">
        <f aca="false">V16*Ratio!V95</f>
        <v>10.5474672501378</v>
      </c>
      <c r="W52" s="96" t="n">
        <f aca="false">W16*Ratio!W95</f>
        <v>10.0807500757213</v>
      </c>
      <c r="X52" s="74" t="n">
        <f aca="false">X16*Ratio!X95</f>
        <v>9.58144516554468</v>
      </c>
      <c r="Y52" s="75" t="n">
        <f aca="false">Y16*Ratio!Y95</f>
        <v>10.2017921957603</v>
      </c>
      <c r="Z52" s="73" t="n">
        <f aca="false">Z16*Ratio!Z95</f>
        <v>9.87689357727068</v>
      </c>
      <c r="AA52" s="72" t="n">
        <f aca="false">AA16*Ratio!AA95</f>
        <v>9.90068410030992</v>
      </c>
      <c r="AB52" s="73" t="n">
        <f aca="false">AB16*Ratio!AB95</f>
        <v>9.32063261616531</v>
      </c>
      <c r="AC52" s="76" t="n">
        <f aca="false">AC16*Ratio!AC95</f>
        <v>7.19784860704199</v>
      </c>
      <c r="AD52" s="75" t="n">
        <f aca="false">AD16*Ratio!AD95</f>
        <v>7.46625796932632</v>
      </c>
      <c r="AE52" s="31" t="n">
        <f aca="false">AE16*Ratio!AE95</f>
        <v>7.24794396723408</v>
      </c>
      <c r="AF52" s="96" t="n">
        <f aca="false">AF16*Ratio!AF95</f>
        <v>7.02974431876565</v>
      </c>
      <c r="AG52" s="31" t="n">
        <f aca="false">AG16*Ratio!AG95</f>
        <v>7.23866100906044</v>
      </c>
      <c r="AH52" s="31" t="n">
        <f aca="false">AH16*Ratio!AH95</f>
        <v>5.42036049170848</v>
      </c>
      <c r="AI52" s="74" t="n">
        <f aca="false">AI16*Ratio!AI95</f>
        <v>5.73855986177417</v>
      </c>
      <c r="AJ52" s="75" t="n">
        <f aca="false">AJ16*Ratio!AJ95</f>
        <v>5.67672279207391</v>
      </c>
      <c r="AK52" s="31" t="n">
        <f aca="false">AK16*Ratio!AK95</f>
        <v>5.85257870015766</v>
      </c>
      <c r="AL52" s="31" t="n">
        <f aca="false">AL16*Ratio!AL95</f>
        <v>5.9329223611608</v>
      </c>
      <c r="AM52" s="31" t="n">
        <f aca="false">AM16*Ratio!AM95</f>
        <v>5.91529013110647</v>
      </c>
      <c r="AN52" s="76" t="n">
        <f aca="false">AN16*Ratio!AN95</f>
        <v>4.98287334487661</v>
      </c>
      <c r="AO52" s="75" t="n">
        <f aca="false">AO16*Ratio!AO95</f>
        <v>4.73947795763327</v>
      </c>
      <c r="AP52" s="73" t="n">
        <f aca="false">AP16*Ratio!AP95</f>
        <v>4.80660191982959</v>
      </c>
      <c r="AQ52" s="31" t="n">
        <f aca="false">AQ16*Ratio!AQ95</f>
        <v>4.7888639580532</v>
      </c>
    </row>
    <row r="53" customFormat="false" ht="12.8" hidden="false" customHeight="false" outlineLevel="0" collapsed="false">
      <c r="A53" s="139" t="s">
        <v>182</v>
      </c>
      <c r="B53" s="97" t="n">
        <f aca="false">B17*Ratio!B97</f>
        <v>6.58995783233094</v>
      </c>
      <c r="C53" s="72" t="n">
        <f aca="false">C17*Ratio!C97</f>
        <v>6.08740851896706</v>
      </c>
      <c r="D53" s="31" t="n">
        <f aca="false">D17*Ratio!D97</f>
        <v>5.95700084101351</v>
      </c>
      <c r="E53" s="96" t="n">
        <f aca="false">E17*Ratio!E97</f>
        <v>5.36201186250225</v>
      </c>
      <c r="F53" s="31" t="n">
        <f aca="false">F17*Ratio!F97</f>
        <v>5.61850395505163</v>
      </c>
      <c r="G53" s="96" t="n">
        <f aca="false">G17*Ratio!G97</f>
        <v>9.15199374567256</v>
      </c>
      <c r="H53" s="31" t="n">
        <f aca="false">H17*Ratio!H97</f>
        <v>8.60241249984448</v>
      </c>
      <c r="I53" s="74" t="n">
        <f aca="false">I17*Ratio!I97</f>
        <v>8.6767261145371</v>
      </c>
      <c r="J53" s="75" t="n">
        <f aca="false">J17*Ratio!J97</f>
        <v>9.03738778586558</v>
      </c>
      <c r="K53" s="72" t="n">
        <f aca="false">K17*Ratio!K97</f>
        <v>9.93553265213882</v>
      </c>
      <c r="L53" s="31" t="n">
        <f aca="false">L17*Ratio!L97</f>
        <v>9.50523489710203</v>
      </c>
      <c r="M53" s="96" t="n">
        <f aca="false">M17*Ratio!M97</f>
        <v>9.53870321876927</v>
      </c>
      <c r="N53" s="96" t="n">
        <f aca="false">N17*Ratio!N97</f>
        <v>9.51530982754674</v>
      </c>
      <c r="O53" s="31" t="n">
        <f aca="false">O17*Ratio!O97</f>
        <v>9.51475636527573</v>
      </c>
      <c r="P53" s="76" t="n">
        <f aca="false">P17*Ratio!P97</f>
        <v>8.89984886543188</v>
      </c>
      <c r="Q53" s="75" t="n">
        <f aca="false">Q17*Ratio!Q97</f>
        <v>9.65475647199469</v>
      </c>
      <c r="R53" s="31" t="n">
        <f aca="false">R17*Ratio!R97</f>
        <v>10.0154593545314</v>
      </c>
      <c r="S53" s="96" t="n">
        <f aca="false">S17*Ratio!S97</f>
        <v>10.0554889626914</v>
      </c>
      <c r="T53" s="31" t="n">
        <f aca="false">T17*Ratio!T97</f>
        <v>9.72653513320539</v>
      </c>
      <c r="U53" s="31" t="n">
        <f aca="false">U17*Ratio!U97</f>
        <v>11.414279275497</v>
      </c>
      <c r="V53" s="96" t="n">
        <f aca="false">V17*Ratio!V97</f>
        <v>10.8741348000083</v>
      </c>
      <c r="W53" s="96" t="n">
        <f aca="false">W17*Ratio!W97</f>
        <v>10.9942870179488</v>
      </c>
      <c r="X53" s="74" t="n">
        <f aca="false">X17*Ratio!X97</f>
        <v>11.4219291516357</v>
      </c>
      <c r="Y53" s="75" t="n">
        <f aca="false">Y17*Ratio!Y97</f>
        <v>10.6373343153505</v>
      </c>
      <c r="Z53" s="73" t="n">
        <f aca="false">Z17*Ratio!Z97</f>
        <v>10.9985211666608</v>
      </c>
      <c r="AA53" s="72" t="n">
        <f aca="false">AA17*Ratio!AA97</f>
        <v>11.0034049722378</v>
      </c>
      <c r="AB53" s="73" t="n">
        <f aca="false">AB17*Ratio!AB97</f>
        <v>11.1490944460632</v>
      </c>
      <c r="AC53" s="76" t="n">
        <f aca="false">AC17*Ratio!AC97</f>
        <v>8.54039996462663</v>
      </c>
      <c r="AD53" s="75" t="n">
        <f aca="false">AD17*Ratio!AD97</f>
        <v>8.57454464091959</v>
      </c>
      <c r="AE53" s="31" t="n">
        <f aca="false">AE17*Ratio!AE97</f>
        <v>8.83264069026953</v>
      </c>
      <c r="AF53" s="96" t="n">
        <f aca="false">AF17*Ratio!AF97</f>
        <v>8.77035314675507</v>
      </c>
      <c r="AG53" s="31" t="n">
        <f aca="false">AG17*Ratio!AG97</f>
        <v>2.0834119449617</v>
      </c>
      <c r="AH53" s="31" t="n">
        <f aca="false">AH17*Ratio!AH97</f>
        <v>1.67614842271189</v>
      </c>
      <c r="AI53" s="74" t="n">
        <f aca="false">AI17*Ratio!AI97</f>
        <v>2.34012913893973</v>
      </c>
      <c r="AJ53" s="75" t="n">
        <f aca="false">AJ17*Ratio!AJ97</f>
        <v>2.3712673524644</v>
      </c>
      <c r="AK53" s="31" t="n">
        <f aca="false">AK17*Ratio!AK97</f>
        <v>2.50121496688594</v>
      </c>
      <c r="AL53" s="31" t="n">
        <f aca="false">AL17*Ratio!AL97</f>
        <v>2.51102242733098</v>
      </c>
      <c r="AM53" s="31" t="n">
        <f aca="false">AM17*Ratio!AM97</f>
        <v>2.0983055203776</v>
      </c>
      <c r="AN53" s="76" t="n">
        <f aca="false">AN17*Ratio!AN97</f>
        <v>9.552268273798</v>
      </c>
      <c r="AO53" s="75" t="n">
        <f aca="false">AO17*Ratio!AO97</f>
        <v>10.2589637536822</v>
      </c>
      <c r="AP53" s="73" t="n">
        <f aca="false">AP17*Ratio!AP97</f>
        <v>9.77115005270032</v>
      </c>
      <c r="AQ53" s="31" t="n">
        <f aca="false">AQ17*Ratio!AQ97</f>
        <v>9.7343527412517</v>
      </c>
    </row>
    <row r="54" customFormat="false" ht="12.8" hidden="false" customHeight="false" outlineLevel="0" collapsed="false">
      <c r="A54" s="139" t="s">
        <v>185</v>
      </c>
      <c r="B54" s="97" t="n">
        <f aca="false">B18*Ratio!B102</f>
        <v>0.774866611997198</v>
      </c>
      <c r="C54" s="72" t="n">
        <f aca="false">C18*Ratio!C102</f>
        <v>0.809458171148482</v>
      </c>
      <c r="D54" s="31" t="n">
        <f aca="false">D18*Ratio!D102</f>
        <v>0.817355367676001</v>
      </c>
      <c r="E54" s="96" t="n">
        <f aca="false">E18*Ratio!E102</f>
        <v>0.841275565471341</v>
      </c>
      <c r="F54" s="31" t="n">
        <f aca="false">F18*Ratio!F102</f>
        <v>0.858227073952965</v>
      </c>
      <c r="G54" s="96" t="n">
        <f aca="false">G18*Ratio!G102</f>
        <v>1.29422725524787</v>
      </c>
      <c r="H54" s="31" t="n">
        <f aca="false">H18*Ratio!H102</f>
        <v>1.25430528388496</v>
      </c>
      <c r="I54" s="74" t="n">
        <f aca="false">I18*Ratio!I102</f>
        <v>1.41557059169532</v>
      </c>
      <c r="J54" s="75" t="n">
        <f aca="false">J18*Ratio!J102</f>
        <v>1.23454564405114</v>
      </c>
      <c r="K54" s="72" t="n">
        <f aca="false">K18*Ratio!K102</f>
        <v>0.479315971209649</v>
      </c>
      <c r="L54" s="31" t="n">
        <f aca="false">L18*Ratio!L102</f>
        <v>1.14746534455061</v>
      </c>
      <c r="M54" s="96" t="n">
        <f aca="false">M18*Ratio!M102</f>
        <v>1.14911737431093</v>
      </c>
      <c r="N54" s="96" t="n">
        <f aca="false">N18*Ratio!N102</f>
        <v>1.16093019590522</v>
      </c>
      <c r="O54" s="31" t="n">
        <f aca="false">O18*Ratio!O102</f>
        <v>1.25973978427268</v>
      </c>
      <c r="P54" s="76" t="n">
        <f aca="false">P18*Ratio!P102</f>
        <v>1.19857131396167</v>
      </c>
      <c r="Q54" s="75" t="n">
        <f aca="false">Q18*Ratio!Q102</f>
        <v>1.00627143240096</v>
      </c>
      <c r="R54" s="31" t="n">
        <f aca="false">R18*Ratio!R102</f>
        <v>0.802206227442335</v>
      </c>
      <c r="S54" s="96" t="n">
        <f aca="false">S18*Ratio!S102</f>
        <v>0.681773298744358</v>
      </c>
      <c r="T54" s="31" t="n">
        <f aca="false">T18*Ratio!T102</f>
        <v>0.746722327244873</v>
      </c>
      <c r="U54" s="31" t="n">
        <f aca="false">U18*Ratio!U102</f>
        <v>0.396746098966567</v>
      </c>
      <c r="V54" s="96" t="n">
        <f aca="false">V18*Ratio!V102</f>
        <v>0.438269279314796</v>
      </c>
      <c r="W54" s="96" t="n">
        <f aca="false">W18*Ratio!W102</f>
        <v>0.461444365121037</v>
      </c>
      <c r="X54" s="74" t="n">
        <f aca="false">X18*Ratio!X102</f>
        <v>0.421150835658466</v>
      </c>
      <c r="Y54" s="75" t="n">
        <f aca="false">Y18*Ratio!Y102</f>
        <v>0.405215615986252</v>
      </c>
      <c r="Z54" s="73" t="n">
        <f aca="false">Z18*Ratio!Z102</f>
        <v>0.478294367822996</v>
      </c>
      <c r="AA54" s="72" t="n">
        <f aca="false">AA18*Ratio!AA102</f>
        <v>0.464128150689931</v>
      </c>
      <c r="AB54" s="73" t="n">
        <f aca="false">AB18*Ratio!AB102</f>
        <v>0.546468567997669</v>
      </c>
      <c r="AC54" s="76" t="n">
        <f aca="false">AC18*Ratio!AC102</f>
        <v>0.62116650641068</v>
      </c>
      <c r="AD54" s="75" t="n">
        <f aca="false">AD18*Ratio!AD102</f>
        <v>0.601586009813409</v>
      </c>
      <c r="AE54" s="31" t="n">
        <f aca="false">AE18*Ratio!AE102</f>
        <v>0.617384733846375</v>
      </c>
      <c r="AF54" s="96" t="n">
        <f aca="false">AF18*Ratio!AF102</f>
        <v>0.607303606209588</v>
      </c>
      <c r="AG54" s="31" t="n">
        <f aca="false">AG18*Ratio!AG102</f>
        <v>0.585643770696278</v>
      </c>
      <c r="AH54" s="31" t="n">
        <f aca="false">AH18*Ratio!AH102</f>
        <v>0.557564809540009</v>
      </c>
      <c r="AI54" s="74" t="n">
        <f aca="false">AI18*Ratio!AI102</f>
        <v>0.501112441841668</v>
      </c>
      <c r="AJ54" s="75" t="n">
        <f aca="false">AJ18*Ratio!AJ102</f>
        <v>0.599204020436875</v>
      </c>
      <c r="AK54" s="31" t="n">
        <f aca="false">AK18*Ratio!AK102</f>
        <v>0.562300221406197</v>
      </c>
      <c r="AL54" s="31" t="n">
        <f aca="false">AL18*Ratio!AL102</f>
        <v>0.565901789584121</v>
      </c>
      <c r="AM54" s="31" t="n">
        <f aca="false">AM18*Ratio!AM102</f>
        <v>0.621345591694974</v>
      </c>
      <c r="AN54" s="76" t="n">
        <f aca="false">AN18*Ratio!AN102</f>
        <v>0.601260205133579</v>
      </c>
      <c r="AO54" s="75" t="n">
        <f aca="false">AO18*Ratio!AO102</f>
        <v>0.557223838300923</v>
      </c>
      <c r="AP54" s="73" t="n">
        <f aca="false">AP18*Ratio!AP102</f>
        <v>0.634695202413049</v>
      </c>
      <c r="AQ54" s="31" t="n">
        <f aca="false">AQ18*Ratio!AQ102</f>
        <v>0.657905945489831</v>
      </c>
    </row>
    <row r="55" customFormat="false" ht="12.8" hidden="false" customHeight="false" outlineLevel="0" collapsed="false">
      <c r="A55" s="139" t="s">
        <v>189</v>
      </c>
      <c r="B55" s="97" t="n">
        <f aca="false">B19*Ratio!B107</f>
        <v>0.410091796647117</v>
      </c>
      <c r="C55" s="72" t="n">
        <f aca="false">C19*Ratio!C107</f>
        <v>0.445589319745995</v>
      </c>
      <c r="D55" s="31" t="n">
        <f aca="false">D19*Ratio!D107</f>
        <v>0.445887353207091</v>
      </c>
      <c r="E55" s="96" t="n">
        <f aca="false">E19*Ratio!E107</f>
        <v>0.389449565101356</v>
      </c>
      <c r="F55" s="31" t="n">
        <f aca="false">F19*Ratio!F107</f>
        <v>0.383430613270993</v>
      </c>
      <c r="G55" s="96" t="n">
        <f aca="false">G19*Ratio!G107</f>
        <v>0.408781416005615</v>
      </c>
      <c r="H55" s="31" t="n">
        <f aca="false">H19*Ratio!H107</f>
        <v>0.411617830750979</v>
      </c>
      <c r="I55" s="74" t="n">
        <f aca="false">I19*Ratio!I107</f>
        <v>0.671787241187919</v>
      </c>
      <c r="J55" s="75" t="n">
        <f aca="false">J19*Ratio!J107</f>
        <v>0.761224993774075</v>
      </c>
      <c r="K55" s="72" t="n">
        <f aca="false">K19*Ratio!K107</f>
        <v>0.658625504060465</v>
      </c>
      <c r="L55" s="31" t="n">
        <f aca="false">L19*Ratio!L107</f>
        <v>0.685080902903302</v>
      </c>
      <c r="M55" s="96" t="n">
        <f aca="false">M19*Ratio!M107</f>
        <v>0.685970690945456</v>
      </c>
      <c r="N55" s="96" t="n">
        <f aca="false">N19*Ratio!N107</f>
        <v>0.692831982235291</v>
      </c>
      <c r="O55" s="31" t="n">
        <f aca="false">O19*Ratio!O107</f>
        <v>0.726376908362263</v>
      </c>
      <c r="P55" s="76" t="n">
        <f aca="false">P19*Ratio!P107</f>
        <v>0.762666234305267</v>
      </c>
      <c r="Q55" s="75" t="n">
        <f aca="false">Q19*Ratio!Q107</f>
        <v>0.953199365166723</v>
      </c>
      <c r="R55" s="31" t="n">
        <f aca="false">R19*Ratio!R107</f>
        <v>1.00650188220509</v>
      </c>
      <c r="S55" s="96" t="n">
        <f aca="false">S19*Ratio!S107</f>
        <v>0.944711585973331</v>
      </c>
      <c r="T55" s="31" t="n">
        <f aca="false">T19*Ratio!T107</f>
        <v>0.993519201113926</v>
      </c>
      <c r="U55" s="31" t="n">
        <f aca="false">U19*Ratio!U107</f>
        <v>0.886104832233134</v>
      </c>
      <c r="V55" s="96" t="n">
        <f aca="false">V19*Ratio!V107</f>
        <v>0.637062778572975</v>
      </c>
      <c r="W55" s="96" t="n">
        <f aca="false">W19*Ratio!W107</f>
        <v>0.626201122206659</v>
      </c>
      <c r="X55" s="74" t="n">
        <f aca="false">X19*Ratio!X107</f>
        <v>0.571520958628303</v>
      </c>
      <c r="Y55" s="75" t="n">
        <f aca="false">Y19*Ratio!Y107</f>
        <v>0.659328618732594</v>
      </c>
      <c r="Z55" s="73" t="n">
        <f aca="false">Z19*Ratio!Z107</f>
        <v>0.71112428068109</v>
      </c>
      <c r="AA55" s="72" t="n">
        <f aca="false">AA19*Ratio!AA107</f>
        <v>0.710189059169143</v>
      </c>
      <c r="AB55" s="73" t="n">
        <f aca="false">AB19*Ratio!AB107</f>
        <v>0.837180718404752</v>
      </c>
      <c r="AC55" s="76" t="n">
        <f aca="false">AC19*Ratio!AC107</f>
        <v>0.868159380505423</v>
      </c>
      <c r="AD55" s="75" t="n">
        <f aca="false">AD19*Ratio!AD107</f>
        <v>0.726370742020514</v>
      </c>
      <c r="AE55" s="31" t="n">
        <f aca="false">AE19*Ratio!AE107</f>
        <v>0.710784401665474</v>
      </c>
      <c r="AF55" s="96" t="n">
        <f aca="false">AF19*Ratio!AF107</f>
        <v>0.721314460639896</v>
      </c>
      <c r="AG55" s="31" t="n">
        <f aca="false">AG19*Ratio!AG107</f>
        <v>0.702957457032172</v>
      </c>
      <c r="AH55" s="31" t="n">
        <f aca="false">AH19*Ratio!AH107</f>
        <v>0.767955991006701</v>
      </c>
      <c r="AI55" s="74" t="n">
        <f aca="false">AI19*Ratio!AI107</f>
        <v>0.873571465853133</v>
      </c>
      <c r="AJ55" s="75" t="n">
        <f aca="false">AJ19*Ratio!AJ107</f>
        <v>0.829981667480925</v>
      </c>
      <c r="AK55" s="31" t="n">
        <f aca="false">AK19*Ratio!AK107</f>
        <v>0.791394277285923</v>
      </c>
      <c r="AL55" s="31" t="n">
        <f aca="false">AL19*Ratio!AL107</f>
        <v>0.827962398248957</v>
      </c>
      <c r="AM55" s="31" t="n">
        <f aca="false">AM19*Ratio!AM107</f>
        <v>0.771699179732069</v>
      </c>
      <c r="AN55" s="76" t="n">
        <f aca="false">AN19*Ratio!AN107</f>
        <v>0.783651378818591</v>
      </c>
      <c r="AO55" s="75" t="n">
        <f aca="false">AO19*Ratio!AO107</f>
        <v>0.720698364998209</v>
      </c>
      <c r="AP55" s="73" t="n">
        <f aca="false">AP19*Ratio!AP107</f>
        <v>0.670172527137572</v>
      </c>
      <c r="AQ55" s="31" t="n">
        <f aca="false">AQ19*Ratio!AQ107</f>
        <v>0.625658244367528</v>
      </c>
    </row>
    <row r="56" customFormat="false" ht="12.8" hidden="false" customHeight="false" outlineLevel="0" collapsed="false">
      <c r="A56" s="139" t="s">
        <v>26</v>
      </c>
      <c r="B56" s="97" t="n">
        <f aca="false">B20*Ratio!B109</f>
        <v>0.376048740106967</v>
      </c>
      <c r="C56" s="72" t="n">
        <f aca="false">C20*Ratio!C109</f>
        <v>0.414798124493551</v>
      </c>
      <c r="D56" s="31" t="n">
        <f aca="false">D20*Ratio!D109</f>
        <v>0.368440997375672</v>
      </c>
      <c r="E56" s="96" t="n">
        <f aca="false">E20*Ratio!E109</f>
        <v>0.397481331251007</v>
      </c>
      <c r="F56" s="31" t="n">
        <f aca="false">F20*Ratio!F109</f>
        <v>0.404039189468113</v>
      </c>
      <c r="G56" s="96" t="n">
        <f aca="false">G20*Ratio!G109</f>
        <v>0.440648578378089</v>
      </c>
      <c r="H56" s="31" t="n">
        <f aca="false">H20*Ratio!H109</f>
        <v>0.398855418302412</v>
      </c>
      <c r="I56" s="74" t="n">
        <f aca="false">I20*Ratio!I109</f>
        <v>0.421095118669945</v>
      </c>
      <c r="J56" s="75" t="n">
        <f aca="false">J20*Ratio!J109</f>
        <v>0.445715879314117</v>
      </c>
      <c r="K56" s="72" t="n">
        <f aca="false">K20*Ratio!K109</f>
        <v>0.4628527851172</v>
      </c>
      <c r="L56" s="31" t="n">
        <f aca="false">L20*Ratio!L109</f>
        <v>0.545343131745024</v>
      </c>
      <c r="M56" s="96" t="n">
        <f aca="false">M20*Ratio!M109</f>
        <v>0.478793964820085</v>
      </c>
      <c r="N56" s="96" t="n">
        <f aca="false">N20*Ratio!N109</f>
        <v>0.483605695872216</v>
      </c>
      <c r="O56" s="31" t="n">
        <f aca="false">O20*Ratio!O109</f>
        <v>0.505131279797711</v>
      </c>
      <c r="P56" s="76" t="n">
        <f aca="false">P20*Ratio!P109</f>
        <v>0.176461570859928</v>
      </c>
      <c r="Q56" s="75" t="n">
        <f aca="false">Q20*Ratio!Q109</f>
        <v>0.172482939607158</v>
      </c>
      <c r="R56" s="31" t="n">
        <f aca="false">R20*Ratio!R109</f>
        <v>0.200713255363711</v>
      </c>
      <c r="S56" s="96" t="n">
        <f aca="false">S20*Ratio!S109</f>
        <v>0.191642101053427</v>
      </c>
      <c r="T56" s="31" t="n">
        <f aca="false">T20*Ratio!T109</f>
        <v>0.215980568886595</v>
      </c>
      <c r="U56" s="31" t="n">
        <f aca="false">U20*Ratio!U109</f>
        <v>0.388115683905819</v>
      </c>
      <c r="V56" s="96" t="n">
        <f aca="false">V20*Ratio!V109</f>
        <v>0.396030215242508</v>
      </c>
      <c r="W56" s="96" t="n">
        <f aca="false">W20*Ratio!W109</f>
        <v>0.41852113460546</v>
      </c>
      <c r="X56" s="74" t="n">
        <f aca="false">X20*Ratio!X109</f>
        <v>0.425855315847162</v>
      </c>
      <c r="Y56" s="75" t="n">
        <f aca="false">Y20*Ratio!Y109</f>
        <v>0.411987349581406</v>
      </c>
      <c r="Z56" s="73" t="n">
        <f aca="false">Z20*Ratio!Z109</f>
        <v>0.434873779442294</v>
      </c>
      <c r="AA56" s="72" t="n">
        <f aca="false">AA20*Ratio!AA109</f>
        <v>0.420875301446274</v>
      </c>
      <c r="AB56" s="73" t="n">
        <f aca="false">AB20*Ratio!AB109</f>
        <v>0.5199930711981</v>
      </c>
      <c r="AC56" s="76" t="n">
        <f aca="false">AC20*Ratio!AC109</f>
        <v>0.631732119469454</v>
      </c>
      <c r="AD56" s="75" t="n">
        <f aca="false">AD20*Ratio!AD109</f>
        <v>0.636642315835263</v>
      </c>
      <c r="AE56" s="31" t="n">
        <f aca="false">AE20*Ratio!AE109</f>
        <v>0.661728828869481</v>
      </c>
      <c r="AF56" s="96" t="n">
        <f aca="false">AF20*Ratio!AF109</f>
        <v>0.6081149608843</v>
      </c>
      <c r="AG56" s="31" t="n">
        <f aca="false">AG20*Ratio!AG109</f>
        <v>0.647208251873285</v>
      </c>
      <c r="AH56" s="31" t="n">
        <f aca="false">AH20*Ratio!AH109</f>
        <v>0.691049387717575</v>
      </c>
      <c r="AI56" s="74" t="n">
        <f aca="false">AI20*Ratio!AI109</f>
        <v>0.752719330167948</v>
      </c>
      <c r="AJ56" s="75" t="n">
        <f aca="false">AJ20*Ratio!AJ109</f>
        <v>0.786163359586345</v>
      </c>
      <c r="AK56" s="31" t="n">
        <f aca="false">AK20*Ratio!AK109</f>
        <v>0.694841897402877</v>
      </c>
      <c r="AL56" s="31" t="n">
        <f aca="false">AL20*Ratio!AL109</f>
        <v>0.662473425818092</v>
      </c>
      <c r="AM56" s="31" t="n">
        <f aca="false">AM20*Ratio!AM109</f>
        <v>0.677472643263909</v>
      </c>
      <c r="AN56" s="76" t="n">
        <f aca="false">AN20*Ratio!AN109</f>
        <v>0.639379627571659</v>
      </c>
      <c r="AO56" s="75" t="n">
        <f aca="false">AO20*Ratio!AO109</f>
        <v>0.527370089018855</v>
      </c>
      <c r="AP56" s="73" t="n">
        <f aca="false">AP20*Ratio!AP109</f>
        <v>0.611029819671625</v>
      </c>
      <c r="AQ56" s="31" t="n">
        <f aca="false">AQ20*Ratio!AQ109</f>
        <v>0.582702391473313</v>
      </c>
    </row>
    <row r="57" customFormat="false" ht="12.8" hidden="false" customHeight="false" outlineLevel="0" collapsed="false">
      <c r="A57" s="139" t="s">
        <v>193</v>
      </c>
      <c r="B57" s="97" t="n">
        <f aca="false">B21*Ratio!B112</f>
        <v>0.0719857037773288</v>
      </c>
      <c r="C57" s="72" t="n">
        <f aca="false">C21*Ratio!C112</f>
        <v>0.0745304694148087</v>
      </c>
      <c r="D57" s="31" t="n">
        <f aca="false">D21*Ratio!D112</f>
        <v>0.0729338383651773</v>
      </c>
      <c r="E57" s="96" t="n">
        <f aca="false">E21*Ratio!E112</f>
        <v>0.0780266169934937</v>
      </c>
      <c r="F57" s="31" t="n">
        <f aca="false">F21*Ratio!F112</f>
        <v>0.0905150797865308</v>
      </c>
      <c r="G57" s="96" t="n">
        <f aca="false">G21*Ratio!G112</f>
        <v>0.0834448884267758</v>
      </c>
      <c r="H57" s="31" t="n">
        <f aca="false">H21*Ratio!H112</f>
        <v>0.0835932018658083</v>
      </c>
      <c r="I57" s="74" t="n">
        <f aca="false">I21*Ratio!I112</f>
        <v>0.0920269619569086</v>
      </c>
      <c r="J57" s="75" t="n">
        <f aca="false">J21*Ratio!J112</f>
        <v>0.111733712077474</v>
      </c>
      <c r="K57" s="72" t="n">
        <f aca="false">K21*Ratio!K112</f>
        <v>0</v>
      </c>
      <c r="L57" s="31" t="n">
        <f aca="false">L21*Ratio!L112</f>
        <v>0.12159156150372</v>
      </c>
      <c r="M57" s="96" t="n">
        <f aca="false">M21*Ratio!M112</f>
        <v>0.121766619407788</v>
      </c>
      <c r="N57" s="96" t="n">
        <f aca="false">N21*Ratio!N112</f>
        <v>0.122990336218708</v>
      </c>
      <c r="O57" s="31" t="n">
        <f aca="false">O21*Ratio!O112</f>
        <v>0.130905231979406</v>
      </c>
      <c r="P57" s="76" t="n">
        <f aca="false">P21*Ratio!P112</f>
        <v>0.114322511868427</v>
      </c>
      <c r="Q57" s="75" t="n">
        <f aca="false">Q21*Ratio!Q112</f>
        <v>0.116969680726224</v>
      </c>
      <c r="R57" s="31" t="n">
        <f aca="false">R21*Ratio!R112</f>
        <v>0.123263448464965</v>
      </c>
      <c r="S57" s="96" t="n">
        <f aca="false">S21*Ratio!S112</f>
        <v>0.117692606819169</v>
      </c>
      <c r="T57" s="31" t="n">
        <f aca="false">T21*Ratio!T112</f>
        <v>0.120976824295927</v>
      </c>
      <c r="U57" s="31" t="n">
        <f aca="false">U21*Ratio!U112</f>
        <v>0.118678150213838</v>
      </c>
      <c r="V57" s="96" t="n">
        <f aca="false">V21*Ratio!V112</f>
        <v>0.128454130679137</v>
      </c>
      <c r="W57" s="96" t="n">
        <f aca="false">W21*Ratio!W112</f>
        <v>0.13574915864354</v>
      </c>
      <c r="X57" s="74" t="n">
        <f aca="false">X21*Ratio!X112</f>
        <v>0.123895481067722</v>
      </c>
      <c r="Y57" s="75" t="n">
        <f aca="false">Y21*Ratio!Y112</f>
        <v>0.129710169330796</v>
      </c>
      <c r="Z57" s="73" t="n">
        <f aca="false">Z21*Ratio!Z112</f>
        <v>0.16442405531503</v>
      </c>
      <c r="AA57" s="72" t="n">
        <f aca="false">AA21*Ratio!AA112</f>
        <v>0.159131286173382</v>
      </c>
      <c r="AB57" s="73" t="n">
        <f aca="false">AB21*Ratio!AB112</f>
        <v>0.197325740341096</v>
      </c>
      <c r="AC57" s="76" t="n">
        <f aca="false">AC21*Ratio!AC112</f>
        <v>0.115404920192992</v>
      </c>
      <c r="AD57" s="75" t="n">
        <f aca="false">AD21*Ratio!AD112</f>
        <v>0.120783356864769</v>
      </c>
      <c r="AE57" s="31" t="n">
        <f aca="false">AE21*Ratio!AE112</f>
        <v>0.212515805574245</v>
      </c>
      <c r="AF57" s="96" t="n">
        <f aca="false">AF21*Ratio!AF112</f>
        <v>0.209045685820099</v>
      </c>
      <c r="AG57" s="31" t="n">
        <f aca="false">AG21*Ratio!AG112</f>
        <v>0.237623513773022</v>
      </c>
      <c r="AH57" s="31" t="n">
        <f aca="false">AH21*Ratio!AH112</f>
        <v>0.244983460104007</v>
      </c>
      <c r="AI57" s="74" t="n">
        <f aca="false">AI21*Ratio!AI112</f>
        <v>0.181784740437138</v>
      </c>
      <c r="AJ57" s="75" t="n">
        <f aca="false">AJ21*Ratio!AJ112</f>
        <v>0.174426846160297</v>
      </c>
      <c r="AK57" s="31" t="n">
        <f aca="false">AK21*Ratio!AK112</f>
        <v>0.184440632583885</v>
      </c>
      <c r="AL57" s="31" t="n">
        <f aca="false">AL21*Ratio!AL112</f>
        <v>0.185163838798654</v>
      </c>
      <c r="AM57" s="31" t="n">
        <f aca="false">AM21*Ratio!AM112</f>
        <v>0.1898467859349</v>
      </c>
      <c r="AN57" s="76" t="n">
        <f aca="false">AN21*Ratio!AN112</f>
        <v>0.15840247802883</v>
      </c>
      <c r="AO57" s="75" t="n">
        <f aca="false">AO21*Ratio!AO112</f>
        <v>0.178006400518014</v>
      </c>
      <c r="AP57" s="73" t="n">
        <f aca="false">AP21*Ratio!AP112</f>
        <v>0.177858660931571</v>
      </c>
      <c r="AQ57" s="31" t="n">
        <f aca="false">AQ21*Ratio!AQ112</f>
        <v>0.181643574092553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800080"/>
    <pageSetUpPr fitToPage="false"/>
  </sheetPr>
  <dimension ref="A1:AV64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B8" activePane="bottomRight" state="frozen"/>
      <selection pane="topLeft" activeCell="A1" activeCellId="0" sqref="A1"/>
      <selection pane="topRight" activeCell="B1" activeCellId="0" sqref="B1"/>
      <selection pane="bottomLeft" activeCell="A8" activeCellId="0" sqref="A8"/>
      <selection pane="bottomRight" activeCell="AP13" activeCellId="0" sqref="AP13"/>
    </sheetView>
  </sheetViews>
  <sheetFormatPr defaultColWidth="11.53515625" defaultRowHeight="12.8" zeroHeight="false" outlineLevelRow="0" outlineLevelCol="0"/>
  <cols>
    <col collapsed="false" customWidth="true" hidden="false" outlineLevel="0" max="2" min="2" style="38" width="14.18"/>
    <col collapsed="false" customWidth="true" hidden="false" outlineLevel="0" max="3" min="3" style="39" width="14.18"/>
    <col collapsed="false" customWidth="true" hidden="false" outlineLevel="0" max="4" min="4" style="1" width="14.18"/>
    <col collapsed="false" customWidth="true" hidden="false" outlineLevel="0" max="5" min="5" style="40" width="14.18"/>
    <col collapsed="false" customWidth="true" hidden="false" outlineLevel="0" max="6" min="6" style="1" width="14.18"/>
    <col collapsed="false" customWidth="true" hidden="false" outlineLevel="0" max="7" min="7" style="40" width="14.18"/>
    <col collapsed="false" customWidth="true" hidden="false" outlineLevel="0" max="8" min="8" style="1" width="14.18"/>
    <col collapsed="false" customWidth="true" hidden="false" outlineLevel="0" max="9" min="9" style="41" width="14.18"/>
    <col collapsed="false" customWidth="true" hidden="false" outlineLevel="0" max="10" min="10" style="21" width="14.18"/>
    <col collapsed="false" customWidth="true" hidden="false" outlineLevel="0" max="11" min="11" style="39" width="14.18"/>
    <col collapsed="false" customWidth="true" hidden="false" outlineLevel="0" max="12" min="12" style="1" width="14.18"/>
    <col collapsed="false" customWidth="true" hidden="false" outlineLevel="0" max="14" min="13" style="40" width="14.18"/>
    <col collapsed="false" customWidth="true" hidden="false" outlineLevel="0" max="15" min="15" style="1" width="14.18"/>
    <col collapsed="false" customWidth="true" hidden="false" outlineLevel="0" max="16" min="16" style="42" width="14.18"/>
    <col collapsed="false" customWidth="true" hidden="false" outlineLevel="0" max="17" min="17" style="21" width="14.18"/>
    <col collapsed="false" customWidth="true" hidden="false" outlineLevel="0" max="18" min="18" style="1" width="14.18"/>
    <col collapsed="false" customWidth="true" hidden="false" outlineLevel="0" max="19" min="19" style="40" width="14.18"/>
    <col collapsed="false" customWidth="true" hidden="false" outlineLevel="0" max="21" min="20" style="1" width="14.18"/>
    <col collapsed="false" customWidth="true" hidden="false" outlineLevel="0" max="23" min="22" style="40" width="14.18"/>
    <col collapsed="false" customWidth="true" hidden="false" outlineLevel="0" max="24" min="24" style="41" width="14.18"/>
    <col collapsed="false" customWidth="true" hidden="false" outlineLevel="0" max="25" min="25" style="21" width="14.18"/>
    <col collapsed="false" customWidth="true" hidden="false" outlineLevel="0" max="26" min="26" style="1" width="14.18"/>
    <col collapsed="false" customWidth="true" hidden="false" outlineLevel="0" max="27" min="27" style="40" width="14.18"/>
    <col collapsed="false" customWidth="true" hidden="false" outlineLevel="0" max="28" min="28" style="1" width="14.18"/>
    <col collapsed="false" customWidth="true" hidden="false" outlineLevel="0" max="29" min="29" style="42" width="14.18"/>
    <col collapsed="false" customWidth="true" hidden="false" outlineLevel="0" max="30" min="30" style="21" width="14.18"/>
    <col collapsed="false" customWidth="true" hidden="false" outlineLevel="0" max="31" min="31" style="1" width="14.18"/>
    <col collapsed="false" customWidth="true" hidden="false" outlineLevel="0" max="32" min="32" style="40" width="14.18"/>
    <col collapsed="false" customWidth="true" hidden="false" outlineLevel="0" max="34" min="33" style="1" width="14.18"/>
    <col collapsed="false" customWidth="true" hidden="false" outlineLevel="0" max="35" min="35" style="41" width="14.18"/>
    <col collapsed="false" customWidth="true" hidden="false" outlineLevel="0" max="36" min="36" style="21" width="14.18"/>
    <col collapsed="false" customWidth="true" hidden="false" outlineLevel="0" max="37" min="37" style="1" width="13.81"/>
    <col collapsed="false" customWidth="true" hidden="false" outlineLevel="0" max="39" min="38" style="1" width="14.18"/>
    <col collapsed="false" customWidth="true" hidden="false" outlineLevel="0" max="40" min="40" style="42" width="14.18"/>
    <col collapsed="false" customWidth="true" hidden="false" outlineLevel="0" max="41" min="41" style="21" width="14.18"/>
    <col collapsed="false" customWidth="true" hidden="false" outlineLevel="0" max="42" min="42" style="1" width="14.18"/>
    <col collapsed="false" customWidth="true" hidden="false" outlineLevel="0" max="43" min="43" style="1" width="13.15"/>
  </cols>
  <sheetData>
    <row r="1" customFormat="false" ht="12.8" hidden="false" customHeight="false" outlineLevel="0" collapsed="false">
      <c r="B1" s="43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24" t="s">
        <v>79</v>
      </c>
    </row>
    <row r="3" customFormat="false" ht="12.8" hidden="false" customHeight="false" outlineLevel="0" collapsed="false">
      <c r="A3" s="139" t="s">
        <v>183</v>
      </c>
      <c r="B3" s="20" t="n">
        <v>332770068.292683</v>
      </c>
      <c r="C3" s="25" t="n">
        <v>340562204.878049</v>
      </c>
      <c r="D3" s="32" t="n">
        <v>340562204.878049</v>
      </c>
      <c r="E3" s="20" t="n">
        <v>341020565.853659</v>
      </c>
      <c r="F3" s="32" t="n">
        <v>341020565.853659</v>
      </c>
      <c r="G3" s="20" t="n">
        <v>286475609.756098</v>
      </c>
      <c r="H3" s="32" t="n">
        <v>286475609.756098</v>
      </c>
      <c r="I3" s="26" t="n">
        <v>279600195.121951</v>
      </c>
      <c r="J3" s="33" t="n">
        <v>278545964.878049</v>
      </c>
      <c r="K3" s="168" t="n">
        <v>264923476.682927</v>
      </c>
      <c r="L3" s="32" t="n">
        <v>264923476.682927</v>
      </c>
      <c r="M3" s="20" t="n">
        <v>264923476.682927</v>
      </c>
      <c r="N3" s="20" t="n">
        <v>264923476.682927</v>
      </c>
      <c r="O3" s="32" t="n">
        <v>267682809.756098</v>
      </c>
      <c r="P3" s="167" t="n">
        <v>273641502.439024</v>
      </c>
      <c r="Q3" s="33" t="n">
        <v>265849365.853659</v>
      </c>
      <c r="R3" s="32" t="n">
        <v>261274923.317073</v>
      </c>
      <c r="S3" s="20" t="n">
        <v>258698934.634146</v>
      </c>
      <c r="T3" s="32" t="n">
        <v>320852682.926829</v>
      </c>
      <c r="U3" s="32" t="n">
        <v>375856000</v>
      </c>
      <c r="V3" s="20" t="n">
        <v>365772058.536585</v>
      </c>
      <c r="W3" s="20" t="n">
        <v>365772058.536585</v>
      </c>
      <c r="X3" s="26" t="n">
        <v>365772058.536585</v>
      </c>
      <c r="Y3" s="33" t="n">
        <v>321833575.414634</v>
      </c>
      <c r="Z3" s="32" t="n">
        <v>321778572.097561</v>
      </c>
      <c r="AA3" s="20" t="n">
        <v>307431873.560976</v>
      </c>
      <c r="AB3" s="32" t="n">
        <v>265858533.073171</v>
      </c>
      <c r="AC3" s="167" t="n">
        <v>265849365.853659</v>
      </c>
      <c r="AD3" s="33" t="n">
        <v>238356874.536585</v>
      </c>
      <c r="AE3" s="32" t="n">
        <v>229189655.02439</v>
      </c>
      <c r="AF3" s="20" t="n">
        <v>229180487.804878</v>
      </c>
      <c r="AG3" s="32" t="n">
        <v>224596878.048781</v>
      </c>
      <c r="AH3" s="32" t="n">
        <v>212221131.707317</v>
      </c>
      <c r="AI3" s="26" t="n">
        <v>221846712.195122</v>
      </c>
      <c r="AJ3" s="33" t="n">
        <v>230097209.756098</v>
      </c>
      <c r="AK3" s="32" t="n">
        <v>211313576.97561</v>
      </c>
      <c r="AL3" s="32" t="n">
        <v>211304409.756098</v>
      </c>
      <c r="AM3" s="32" t="n">
        <v>210855216</v>
      </c>
      <c r="AN3" s="167" t="n">
        <v>215429658.536585</v>
      </c>
      <c r="AO3" s="33" t="n">
        <v>210846048.780488</v>
      </c>
      <c r="AP3" s="32" t="n">
        <v>218179824.390244</v>
      </c>
      <c r="AQ3" s="32" t="n">
        <v>218179824.390244</v>
      </c>
    </row>
    <row r="4" customFormat="false" ht="12.8" hidden="false" customHeight="false" outlineLevel="0" collapsed="false">
      <c r="A4" s="139" t="s">
        <v>31</v>
      </c>
      <c r="B4" s="20" t="n">
        <v>81456989.2682927</v>
      </c>
      <c r="C4" s="25" t="n">
        <v>81456989.2682927</v>
      </c>
      <c r="D4" s="32" t="n">
        <v>81456989.2682927</v>
      </c>
      <c r="E4" s="20" t="n">
        <v>73607860.3902439</v>
      </c>
      <c r="F4" s="32" t="n">
        <v>67433560.9756098</v>
      </c>
      <c r="G4" s="20" t="n">
        <v>70819000.9756098</v>
      </c>
      <c r="H4" s="32" t="n">
        <v>70819000.9756098</v>
      </c>
      <c r="I4" s="26" t="n">
        <v>67433560.9756098</v>
      </c>
      <c r="J4" s="33" t="n">
        <v>68672136.5853659</v>
      </c>
      <c r="K4" s="168" t="n">
        <v>83539172.4878049</v>
      </c>
      <c r="L4" s="32" t="n">
        <v>83539172.4878049</v>
      </c>
      <c r="M4" s="20" t="n">
        <v>83918176.6243903</v>
      </c>
      <c r="N4" s="20" t="n">
        <v>76547000.3121951</v>
      </c>
      <c r="O4" s="32" t="n">
        <v>45414439.0243902</v>
      </c>
      <c r="P4" s="167" t="n">
        <v>46102536.5853659</v>
      </c>
      <c r="Q4" s="33" t="n">
        <v>48166829.2682927</v>
      </c>
      <c r="R4" s="32" t="n">
        <v>45455724.8780488</v>
      </c>
      <c r="S4" s="20" t="n">
        <v>49955882.9268293</v>
      </c>
      <c r="T4" s="32" t="n">
        <v>44905246.8292683</v>
      </c>
      <c r="U4" s="32" t="n">
        <v>50065978.5365854</v>
      </c>
      <c r="V4" s="20" t="n">
        <v>50244883.902439</v>
      </c>
      <c r="W4" s="20" t="n">
        <v>50244883.902439</v>
      </c>
      <c r="X4" s="26" t="n">
        <v>50244883.902439</v>
      </c>
      <c r="Y4" s="33" t="n">
        <v>49446690.7317073</v>
      </c>
      <c r="Z4" s="32" t="n">
        <v>49538207.7073171</v>
      </c>
      <c r="AA4" s="20" t="n">
        <v>51543324</v>
      </c>
      <c r="AB4" s="32" t="n">
        <v>46790634.1463415</v>
      </c>
      <c r="AC4" s="167" t="n">
        <v>46790634.1463415</v>
      </c>
      <c r="AD4" s="33" t="n">
        <v>46780725.5414634</v>
      </c>
      <c r="AE4" s="32" t="n">
        <v>49439259.2780488</v>
      </c>
      <c r="AF4" s="20" t="n">
        <v>43361568.7609756</v>
      </c>
      <c r="AG4" s="32" t="n">
        <v>45414439.0243902</v>
      </c>
      <c r="AH4" s="32" t="n">
        <v>41285853.6585366</v>
      </c>
      <c r="AI4" s="26" t="n">
        <v>62148971.7073171</v>
      </c>
      <c r="AJ4" s="33" t="n">
        <v>66057365.8536585</v>
      </c>
      <c r="AK4" s="32" t="n">
        <v>65860707.5707317</v>
      </c>
      <c r="AL4" s="32" t="n">
        <v>62052638.0487805</v>
      </c>
      <c r="AM4" s="32" t="n">
        <v>60552585.3658537</v>
      </c>
      <c r="AN4" s="167" t="n">
        <v>58089196.097561</v>
      </c>
      <c r="AO4" s="33" t="n">
        <v>55171662.4390244</v>
      </c>
      <c r="AP4" s="32" t="n">
        <v>68075831.2390244</v>
      </c>
      <c r="AQ4" s="32" t="n">
        <v>60552585.3658537</v>
      </c>
    </row>
    <row r="5" customFormat="false" ht="12.8" hidden="false" customHeight="false" outlineLevel="0" collapsed="false">
      <c r="A5" s="139" t="s">
        <v>184</v>
      </c>
      <c r="B5" s="20" t="n">
        <v>81419457.5100813</v>
      </c>
      <c r="C5" s="25" t="n">
        <v>71933147.5726829</v>
      </c>
      <c r="D5" s="32" t="n">
        <v>71915168.7804878</v>
      </c>
      <c r="E5" s="20" t="n">
        <v>71915168.7804878</v>
      </c>
      <c r="F5" s="32" t="n">
        <v>66921059.8373984</v>
      </c>
      <c r="G5" s="20" t="n">
        <v>68918703.4146342</v>
      </c>
      <c r="H5" s="32" t="n">
        <v>61427540</v>
      </c>
      <c r="I5" s="26" t="n">
        <v>58573906.1499187</v>
      </c>
      <c r="J5" s="33" t="n">
        <v>58893029.7113821</v>
      </c>
      <c r="K5" s="168" t="n">
        <v>55934020.1626016</v>
      </c>
      <c r="L5" s="32" t="n">
        <v>55714279.3691057</v>
      </c>
      <c r="M5" s="20" t="n">
        <v>55434609.2682927</v>
      </c>
      <c r="N5" s="20" t="n">
        <v>55434609.2682927</v>
      </c>
      <c r="O5" s="32" t="n">
        <v>57400789.959187</v>
      </c>
      <c r="P5" s="167" t="n">
        <v>59979248.4065041</v>
      </c>
      <c r="Q5" s="33" t="n">
        <v>63678884.3115447</v>
      </c>
      <c r="R5" s="32" t="n">
        <v>74891657.7105691</v>
      </c>
      <c r="S5" s="20" t="n">
        <v>69336710.3331707</v>
      </c>
      <c r="T5" s="32" t="n">
        <v>65922238.0487805</v>
      </c>
      <c r="U5" s="32" t="n">
        <v>64920919.2056911</v>
      </c>
      <c r="V5" s="20" t="n">
        <v>59138240.4604878</v>
      </c>
      <c r="W5" s="20" t="n">
        <v>59138240.4604878</v>
      </c>
      <c r="X5" s="26" t="n">
        <v>65690511.3938211</v>
      </c>
      <c r="Y5" s="33" t="n">
        <v>69556950.537561</v>
      </c>
      <c r="Z5" s="32" t="n">
        <v>65173121.7073171</v>
      </c>
      <c r="AA5" s="20" t="n">
        <v>64973357.3495935</v>
      </c>
      <c r="AB5" s="32" t="n">
        <v>59929307.3170732</v>
      </c>
      <c r="AC5" s="167" t="n">
        <v>52594958.923252</v>
      </c>
      <c r="AD5" s="33" t="n">
        <v>55881582.0186992</v>
      </c>
      <c r="AE5" s="32" t="n">
        <v>51439322.1138211</v>
      </c>
      <c r="AF5" s="20" t="n">
        <v>51426337.4305691</v>
      </c>
      <c r="AG5" s="32" t="n">
        <v>46500148.3691057</v>
      </c>
      <c r="AH5" s="32" t="n">
        <v>39496409.9873171</v>
      </c>
      <c r="AI5" s="26" t="n">
        <v>59899342.6634146</v>
      </c>
      <c r="AJ5" s="33" t="n">
        <v>56248149.615122</v>
      </c>
      <c r="AK5" s="32" t="n">
        <v>51127190.3048781</v>
      </c>
      <c r="AL5" s="32" t="n">
        <v>46815776.0543089</v>
      </c>
      <c r="AM5" s="32" t="n">
        <v>43515169.4538211</v>
      </c>
      <c r="AN5" s="167" t="n">
        <v>40951693.3333333</v>
      </c>
      <c r="AO5" s="33" t="n">
        <v>39976843.2676423</v>
      </c>
      <c r="AP5" s="32" t="n">
        <v>43178566.5110569</v>
      </c>
      <c r="AQ5" s="32" t="n">
        <v>40672522.6434146</v>
      </c>
    </row>
    <row r="6" customFormat="false" ht="12.8" hidden="false" customHeight="false" outlineLevel="0" collapsed="false">
      <c r="A6" s="139" t="s">
        <v>187</v>
      </c>
      <c r="B6" s="20" t="n">
        <v>32807702.0347967</v>
      </c>
      <c r="C6" s="25" t="n">
        <v>33288000.3252033</v>
      </c>
      <c r="D6" s="32" t="n">
        <v>33288000.3252033</v>
      </c>
      <c r="E6" s="20" t="n">
        <v>32486710.6030894</v>
      </c>
      <c r="F6" s="32" t="n">
        <v>33050228.8943089</v>
      </c>
      <c r="G6" s="20" t="n">
        <v>31385828.8780488</v>
      </c>
      <c r="H6" s="32" t="n">
        <v>31623600.3089431</v>
      </c>
      <c r="I6" s="26" t="n">
        <v>34476857.4796748</v>
      </c>
      <c r="J6" s="33" t="n">
        <v>30196971.7235772</v>
      </c>
      <c r="K6" s="168" t="n">
        <v>30860354.0157724</v>
      </c>
      <c r="L6" s="32" t="n">
        <v>29959200.2926829</v>
      </c>
      <c r="M6" s="20" t="n">
        <v>29959200.2926829</v>
      </c>
      <c r="N6" s="20" t="n">
        <v>29721428.8617886</v>
      </c>
      <c r="O6" s="32" t="n">
        <v>30910286.0162602</v>
      </c>
      <c r="P6" s="167" t="n">
        <v>31861371.7398374</v>
      </c>
      <c r="Q6" s="33" t="n">
        <v>31385828.8780488</v>
      </c>
      <c r="R6" s="32" t="n">
        <v>28057028.8455285</v>
      </c>
      <c r="S6" s="20" t="n">
        <v>28882095.7107317</v>
      </c>
      <c r="T6" s="32" t="n">
        <v>28741810.5665041</v>
      </c>
      <c r="U6" s="32" t="n">
        <v>26154857.398374</v>
      </c>
      <c r="V6" s="20" t="n">
        <v>22826057.3658537</v>
      </c>
      <c r="W6" s="20" t="n">
        <v>20900108.7756098</v>
      </c>
      <c r="X6" s="26" t="n">
        <v>21637200.2113821</v>
      </c>
      <c r="Y6" s="33" t="n">
        <v>23539371.6585366</v>
      </c>
      <c r="Z6" s="32" t="n">
        <v>21473137.924065</v>
      </c>
      <c r="AA6" s="20" t="n">
        <v>23301600.2276423</v>
      </c>
      <c r="AB6" s="32" t="n">
        <v>22112743.0731707</v>
      </c>
      <c r="AC6" s="167" t="n">
        <v>14741828.7154472</v>
      </c>
      <c r="AD6" s="33" t="n">
        <v>15317235.5782114</v>
      </c>
      <c r="AE6" s="32" t="n">
        <v>17119543.0243902</v>
      </c>
      <c r="AF6" s="20" t="n">
        <v>18058740.1764228</v>
      </c>
      <c r="AG6" s="32" t="n">
        <v>18308400.1788618</v>
      </c>
      <c r="AH6" s="32" t="n">
        <v>17595085.8861789</v>
      </c>
      <c r="AI6" s="26" t="n">
        <v>21874971.6422764</v>
      </c>
      <c r="AJ6" s="33" t="n">
        <v>22086588.2157724</v>
      </c>
      <c r="AK6" s="32" t="n">
        <v>25679314.5365854</v>
      </c>
      <c r="AL6" s="32" t="n">
        <v>23774765.375122</v>
      </c>
      <c r="AM6" s="32" t="n">
        <v>24966000.2439024</v>
      </c>
      <c r="AN6" s="167" t="n">
        <v>26154857.398374</v>
      </c>
      <c r="AO6" s="33" t="n">
        <v>27105943.1219512</v>
      </c>
      <c r="AP6" s="32" t="n">
        <v>34182020.9053659</v>
      </c>
      <c r="AQ6" s="32" t="n">
        <v>32099143.1707317</v>
      </c>
    </row>
    <row r="7" customFormat="false" ht="12.8" hidden="false" customHeight="false" outlineLevel="0" collapsed="false">
      <c r="A7" s="139" t="s">
        <v>191</v>
      </c>
      <c r="B7" s="20" t="n">
        <v>18856565.8536585</v>
      </c>
      <c r="C7" s="25" t="n">
        <v>20558168.8873171</v>
      </c>
      <c r="D7" s="32" t="n">
        <v>20558168.8873171</v>
      </c>
      <c r="E7" s="20" t="n">
        <v>20001428.7804878</v>
      </c>
      <c r="F7" s="32" t="n">
        <v>20203463.4146341</v>
      </c>
      <c r="G7" s="20" t="n">
        <v>19402059.3658537</v>
      </c>
      <c r="H7" s="32" t="n">
        <v>18856565.8536585</v>
      </c>
      <c r="I7" s="26" t="n">
        <v>18856565.8536585</v>
      </c>
      <c r="J7" s="33" t="n">
        <v>20129384.0487805</v>
      </c>
      <c r="K7" s="168" t="n">
        <v>20876912.195122</v>
      </c>
      <c r="L7" s="32" t="n">
        <v>20876912.195122</v>
      </c>
      <c r="M7" s="20" t="n">
        <v>20876912.195122</v>
      </c>
      <c r="N7" s="20" t="n">
        <v>20809567.3170732</v>
      </c>
      <c r="O7" s="32" t="n">
        <v>20876912.195122</v>
      </c>
      <c r="P7" s="167" t="n">
        <v>17464749.2590244</v>
      </c>
      <c r="Q7" s="33" t="n">
        <v>16836219.5121951</v>
      </c>
      <c r="R7" s="32" t="n">
        <v>15267083.8536585</v>
      </c>
      <c r="S7" s="20" t="n">
        <v>15354632.195122</v>
      </c>
      <c r="T7" s="32" t="n">
        <v>15222232.1648781</v>
      </c>
      <c r="U7" s="32" t="n">
        <v>15826046.3414634</v>
      </c>
      <c r="V7" s="20" t="n">
        <v>15522994.3902439</v>
      </c>
      <c r="W7" s="20" t="n">
        <v>15522994.3902439</v>
      </c>
      <c r="X7" s="26" t="n">
        <v>15522994.3902439</v>
      </c>
      <c r="Y7" s="33" t="n">
        <v>15826046.3414634</v>
      </c>
      <c r="Z7" s="32" t="n">
        <v>14977500.8780488</v>
      </c>
      <c r="AA7" s="20" t="n">
        <v>15112190.6341463</v>
      </c>
      <c r="AB7" s="32" t="n">
        <v>13738355.1219512</v>
      </c>
      <c r="AC7" s="167" t="n">
        <v>12795526.8292683</v>
      </c>
      <c r="AD7" s="33" t="n">
        <v>13132251.2195122</v>
      </c>
      <c r="AE7" s="32" t="n">
        <v>13495913.5609756</v>
      </c>
      <c r="AF7" s="20" t="n">
        <v>12707978.4878049</v>
      </c>
      <c r="AG7" s="32" t="n">
        <v>9592671.77414634</v>
      </c>
      <c r="AH7" s="32" t="n">
        <v>13435303.1707317</v>
      </c>
      <c r="AI7" s="26" t="n">
        <v>15151048.6287805</v>
      </c>
      <c r="AJ7" s="33" t="n">
        <v>15489321.9512195</v>
      </c>
      <c r="AK7" s="32" t="n">
        <v>16162770.7317073</v>
      </c>
      <c r="AL7" s="32" t="n">
        <v>15832780.8292683</v>
      </c>
      <c r="AM7" s="32" t="n">
        <v>16059194.3092683</v>
      </c>
      <c r="AN7" s="167" t="n">
        <v>15024642.2926829</v>
      </c>
      <c r="AO7" s="33" t="n">
        <v>15455447.477561</v>
      </c>
      <c r="AP7" s="32" t="n">
        <v>15489321.9512195</v>
      </c>
      <c r="AQ7" s="32" t="n">
        <v>15152597.5609756</v>
      </c>
    </row>
    <row r="8" customFormat="false" ht="12.8" hidden="false" customHeight="false" outlineLevel="0" collapsed="false">
      <c r="A8" s="139" t="s">
        <v>197</v>
      </c>
      <c r="B8" s="20" t="n">
        <v>10341697.5609756</v>
      </c>
      <c r="C8" s="25" t="n">
        <v>9424390.24390244</v>
      </c>
      <c r="D8" s="32" t="n">
        <v>9424390.24390244</v>
      </c>
      <c r="E8" s="20" t="n">
        <v>9424390.24390244</v>
      </c>
      <c r="F8" s="32" t="n">
        <v>10052682.9268293</v>
      </c>
      <c r="G8" s="20" t="n">
        <v>7539512.19512195</v>
      </c>
      <c r="H8" s="32" t="n">
        <v>7539512.19512195</v>
      </c>
      <c r="I8" s="26" t="n">
        <v>7539512.19512195</v>
      </c>
      <c r="J8" s="33" t="n">
        <v>6282926.82926829</v>
      </c>
      <c r="K8" s="168" t="n">
        <v>6282926.82926829</v>
      </c>
      <c r="L8" s="32" t="n">
        <v>5434731.70731707</v>
      </c>
      <c r="M8" s="20" t="n">
        <v>5434731.70731707</v>
      </c>
      <c r="N8" s="20" t="n">
        <v>5434731.70731707</v>
      </c>
      <c r="O8" s="32" t="n">
        <v>4536273.17073171</v>
      </c>
      <c r="P8" s="167" t="n">
        <v>4536273.17073171</v>
      </c>
      <c r="Q8" s="33" t="n">
        <v>5277658.53658537</v>
      </c>
      <c r="R8" s="32" t="n">
        <v>5120585.36585366</v>
      </c>
      <c r="S8" s="20" t="n">
        <v>5120585.36585366</v>
      </c>
      <c r="T8" s="32" t="n">
        <v>5057756.09756098</v>
      </c>
      <c r="U8" s="32" t="n">
        <v>4775024.3902439</v>
      </c>
      <c r="V8" s="20" t="n">
        <v>4712195.12195122</v>
      </c>
      <c r="W8" s="20" t="n">
        <v>4712195.12195122</v>
      </c>
      <c r="X8" s="26" t="n">
        <v>4599102.43902439</v>
      </c>
      <c r="Y8" s="33" t="n">
        <v>4398048.78048781</v>
      </c>
      <c r="Z8" s="32" t="n">
        <v>4398048.78048781</v>
      </c>
      <c r="AA8" s="20" t="n">
        <v>4096468.29268293</v>
      </c>
      <c r="AB8" s="32" t="n">
        <v>4153014.63414634</v>
      </c>
      <c r="AC8" s="167" t="n">
        <v>4712195.12195122</v>
      </c>
      <c r="AD8" s="33" t="n">
        <v>4266107.31707317</v>
      </c>
      <c r="AE8" s="32" t="n">
        <v>3882848.7804878</v>
      </c>
      <c r="AF8" s="20" t="n">
        <v>3882848.7804878</v>
      </c>
      <c r="AG8" s="32" t="n">
        <v>3882848.7804878</v>
      </c>
      <c r="AH8" s="32" t="n">
        <v>4146731.70731707</v>
      </c>
      <c r="AI8" s="26" t="n">
        <v>4146731.70731707</v>
      </c>
      <c r="AJ8" s="33" t="n">
        <v>4146731.70731707</v>
      </c>
      <c r="AK8" s="32" t="n">
        <v>4146731.70731707</v>
      </c>
      <c r="AL8" s="32" t="n">
        <v>4266107.31707317</v>
      </c>
      <c r="AM8" s="32" t="n">
        <v>4266107.31707317</v>
      </c>
      <c r="AN8" s="167" t="n">
        <v>4341502.43902439</v>
      </c>
      <c r="AO8" s="33" t="n">
        <v>4146731.70731707</v>
      </c>
      <c r="AP8" s="32" t="n">
        <v>3518439.02439024</v>
      </c>
      <c r="AQ8" s="32" t="n">
        <v>3606400</v>
      </c>
    </row>
    <row r="9" customFormat="false" ht="12.8" hidden="false" customHeight="false" outlineLevel="0" collapsed="false">
      <c r="A9" s="139" t="s">
        <v>198</v>
      </c>
      <c r="B9" s="20" t="n">
        <v>6706666.66666667</v>
      </c>
      <c r="C9" s="25" t="n">
        <v>6706666.66666667</v>
      </c>
      <c r="D9" s="32" t="n">
        <v>6706666.66666667</v>
      </c>
      <c r="E9" s="20" t="n">
        <v>6706666.66666667</v>
      </c>
      <c r="F9" s="32" t="n">
        <v>6706666.66666667</v>
      </c>
      <c r="G9" s="20" t="n">
        <v>6706666.66666667</v>
      </c>
      <c r="H9" s="32" t="n">
        <v>6706666.66666667</v>
      </c>
      <c r="I9" s="26" t="n">
        <v>6706666.66666667</v>
      </c>
      <c r="J9" s="33" t="n">
        <v>4694666.66666667</v>
      </c>
      <c r="K9" s="32" t="n">
        <v>6706666.66666667</v>
      </c>
      <c r="L9" s="32" t="n">
        <v>6706666.66666667</v>
      </c>
      <c r="M9" s="20" t="n">
        <v>6706666.66666667</v>
      </c>
      <c r="N9" s="20" t="n">
        <v>6706666.66666667</v>
      </c>
      <c r="O9" s="32" t="n">
        <v>6706666.66666667</v>
      </c>
      <c r="P9" s="167" t="n">
        <v>7042000</v>
      </c>
      <c r="Q9" s="33" t="n">
        <v>7042000</v>
      </c>
      <c r="R9" s="32" t="n">
        <v>7042000</v>
      </c>
      <c r="S9" s="20" t="n">
        <v>7042000</v>
      </c>
      <c r="T9" s="32" t="n">
        <v>7209666.66666667</v>
      </c>
      <c r="U9" s="32" t="n">
        <v>7209666.66666667</v>
      </c>
      <c r="V9" s="20" t="n">
        <v>7209666.66666667</v>
      </c>
      <c r="W9" s="20" t="n">
        <v>7209666.66666667</v>
      </c>
      <c r="X9" s="26" t="n">
        <v>7209666.66666667</v>
      </c>
      <c r="Y9" s="33" t="n">
        <v>6706666.66666667</v>
      </c>
      <c r="Z9" s="32" t="n">
        <v>6706666.66666667</v>
      </c>
      <c r="AA9" s="20" t="n">
        <v>6710020</v>
      </c>
      <c r="AB9" s="32" t="n">
        <v>6710020</v>
      </c>
      <c r="AC9" s="167" t="n">
        <v>6710020</v>
      </c>
      <c r="AD9" s="33" t="n">
        <v>6371333.33333333</v>
      </c>
      <c r="AE9" s="32" t="n">
        <v>6039353.33333333</v>
      </c>
      <c r="AF9" s="20" t="n">
        <v>6039353.33333333</v>
      </c>
      <c r="AG9" s="32" t="n">
        <v>6039353.33333333</v>
      </c>
      <c r="AH9" s="32" t="n">
        <v>6039353.33333333</v>
      </c>
      <c r="AI9" s="26" t="n">
        <v>6039353.33333333</v>
      </c>
      <c r="AJ9" s="33" t="n">
        <v>6039353.33333333</v>
      </c>
      <c r="AK9" s="32" t="n">
        <v>6039353.33333333</v>
      </c>
      <c r="AL9" s="32" t="n">
        <v>6039353.33333333</v>
      </c>
      <c r="AM9" s="32" t="n">
        <v>6039353.33333333</v>
      </c>
      <c r="AN9" s="167" t="n">
        <v>6039353.33333333</v>
      </c>
      <c r="AO9" s="33" t="n">
        <v>6039353.33333333</v>
      </c>
      <c r="AP9" s="32" t="n">
        <v>5700666.66666667</v>
      </c>
      <c r="AQ9" s="32" t="n">
        <v>5700666.66666667</v>
      </c>
      <c r="AR9" s="53"/>
    </row>
    <row r="10" customFormat="false" ht="12.8" hidden="false" customHeight="false" outlineLevel="0" collapsed="false">
      <c r="A10" s="139" t="s">
        <v>199</v>
      </c>
      <c r="B10" s="20" t="n">
        <v>2972360.24390244</v>
      </c>
      <c r="C10" s="25" t="n">
        <v>2972360.24390244</v>
      </c>
      <c r="D10" s="32" t="n">
        <v>2972360.24390244</v>
      </c>
      <c r="E10" s="20" t="n">
        <v>2567646.34146341</v>
      </c>
      <c r="F10" s="32" t="n">
        <v>2567646.34146341</v>
      </c>
      <c r="G10" s="20" t="n">
        <v>2567646.34146341</v>
      </c>
      <c r="H10" s="32" t="n">
        <v>2567646.34146341</v>
      </c>
      <c r="I10" s="26" t="n">
        <v>2567646.34146341</v>
      </c>
      <c r="J10" s="33" t="n">
        <v>2567646.34146341</v>
      </c>
      <c r="K10" s="168" t="n">
        <v>2567646.34146341</v>
      </c>
      <c r="L10" s="32" t="n">
        <v>2567646.34146341</v>
      </c>
      <c r="M10" s="20" t="n">
        <v>2567646.34146341</v>
      </c>
      <c r="N10" s="20" t="n">
        <v>2567646.34146341</v>
      </c>
      <c r="O10" s="32" t="n">
        <v>2567646.34146341</v>
      </c>
      <c r="P10" s="167" t="n">
        <v>2567646.34146341</v>
      </c>
      <c r="Q10" s="33" t="n">
        <v>2567646.34146341</v>
      </c>
      <c r="R10" s="32" t="n">
        <v>2567646.34146341</v>
      </c>
      <c r="S10" s="20" t="n">
        <v>2567646.34146341</v>
      </c>
      <c r="T10" s="32" t="n">
        <v>2567646.34146341</v>
      </c>
      <c r="U10" s="32" t="n">
        <v>2567646.34146341</v>
      </c>
      <c r="V10" s="20" t="n">
        <v>2567646.34146341</v>
      </c>
      <c r="W10" s="20" t="n">
        <v>2567646.34146341</v>
      </c>
      <c r="X10" s="26" t="n">
        <v>2567646.34146341</v>
      </c>
      <c r="Y10" s="33" t="n">
        <v>2567646.34146341</v>
      </c>
      <c r="Z10" s="32" t="n">
        <v>2031000</v>
      </c>
      <c r="AA10" s="20" t="n">
        <v>2031000</v>
      </c>
      <c r="AB10" s="32" t="n">
        <v>2031000</v>
      </c>
      <c r="AC10" s="167" t="n">
        <v>2031000</v>
      </c>
      <c r="AD10" s="33" t="n">
        <v>2031000</v>
      </c>
      <c r="AE10" s="32" t="n">
        <v>1667731.70731707</v>
      </c>
      <c r="AF10" s="20" t="n">
        <v>1667731.70731707</v>
      </c>
      <c r="AG10" s="32" t="n">
        <v>1667731.70731707</v>
      </c>
      <c r="AH10" s="32" t="n">
        <v>1667731.70731707</v>
      </c>
      <c r="AI10" s="26" t="n">
        <v>1667731.70731707</v>
      </c>
      <c r="AJ10" s="33" t="n">
        <v>1667731.70731707</v>
      </c>
      <c r="AK10" s="32" t="n">
        <v>1667731.70731707</v>
      </c>
      <c r="AL10" s="32" t="n">
        <v>1667731.70731707</v>
      </c>
      <c r="AM10" s="32" t="n">
        <v>1667731.70731707</v>
      </c>
      <c r="AN10" s="167" t="n">
        <v>1667731.70731707</v>
      </c>
      <c r="AO10" s="33" t="n">
        <v>1667731.70731707</v>
      </c>
      <c r="AP10" s="32" t="n">
        <v>1667731.70731707</v>
      </c>
      <c r="AQ10" s="32" t="n">
        <v>1667731.70731707</v>
      </c>
      <c r="AR10" s="53"/>
    </row>
    <row r="12" customFormat="false" ht="12.8" hidden="false" customHeight="false" outlineLevel="0" collapsed="false">
      <c r="A12" s="1" t="s">
        <v>216</v>
      </c>
      <c r="B12" s="191" t="n">
        <f aca="false">SUM(B3:B10)</f>
        <v>567331507.431057</v>
      </c>
      <c r="C12" s="181" t="n">
        <f aca="false">SUM(C3:C10)</f>
        <v>566901928.086017</v>
      </c>
      <c r="D12" s="187" t="n">
        <f aca="false">SUM(D3:D10)</f>
        <v>566883949.293822</v>
      </c>
      <c r="E12" s="181" t="n">
        <f aca="false">SUM(E3:E10)</f>
        <v>557730437.66</v>
      </c>
      <c r="F12" s="187" t="n">
        <f aca="false">SUM(F3:F10)</f>
        <v>547955874.91057</v>
      </c>
      <c r="G12" s="181" t="n">
        <f aca="false">SUM(G3:G10)</f>
        <v>493815027.593497</v>
      </c>
      <c r="H12" s="187" t="n">
        <f aca="false">SUM(H3:H10)</f>
        <v>486016142.097561</v>
      </c>
      <c r="I12" s="184" t="n">
        <f aca="false">SUM(I3:I10)</f>
        <v>475754910.784065</v>
      </c>
      <c r="J12" s="185" t="n">
        <f aca="false">SUM(J3:J10)</f>
        <v>469982726.784553</v>
      </c>
      <c r="K12" s="181" t="n">
        <f aca="false">SUM(K3:K10)</f>
        <v>471691175.381626</v>
      </c>
      <c r="L12" s="187" t="n">
        <f aca="false">SUM(L3:L10)</f>
        <v>469722085.74309</v>
      </c>
      <c r="M12" s="181" t="n">
        <f aca="false">SUM(M3:M10)</f>
        <v>469821419.778862</v>
      </c>
      <c r="N12" s="181" t="n">
        <f aca="false">SUM(N3:N10)</f>
        <v>462145127.157724</v>
      </c>
      <c r="O12" s="187" t="n">
        <f aca="false">SUM(O3:O10)</f>
        <v>436095823.129919</v>
      </c>
      <c r="P12" s="186" t="n">
        <f aca="false">SUM(P3:P10)</f>
        <v>443195327.941951</v>
      </c>
      <c r="Q12" s="185" t="n">
        <f aca="false">SUM(Q3:Q10)</f>
        <v>440804432.701789</v>
      </c>
      <c r="R12" s="187" t="n">
        <f aca="false">SUM(R3:R10)</f>
        <v>439676650.312195</v>
      </c>
      <c r="S12" s="181" t="n">
        <f aca="false">SUM(S3:S10)</f>
        <v>436958487.507317</v>
      </c>
      <c r="T12" s="187" t="n">
        <f aca="false">SUM(T3:T10)</f>
        <v>490479279.641951</v>
      </c>
      <c r="U12" s="187" t="n">
        <f aca="false">SUM(U3:U10)</f>
        <v>547376138.880488</v>
      </c>
      <c r="V12" s="181" t="n">
        <f aca="false">SUM(V3:V10)</f>
        <v>527993742.785691</v>
      </c>
      <c r="W12" s="181" t="n">
        <f aca="false">SUM(W3:W10)</f>
        <v>526067794.195447</v>
      </c>
      <c r="X12" s="184" t="n">
        <f aca="false">SUM(X3:X10)</f>
        <v>533244063.881626</v>
      </c>
      <c r="Y12" s="185" t="n">
        <f aca="false">SUM(Y3:Y10)</f>
        <v>493874996.47252</v>
      </c>
      <c r="Z12" s="187" t="n">
        <f aca="false">SUM(Z3:Z10)</f>
        <v>486076255.761463</v>
      </c>
      <c r="AA12" s="181" t="n">
        <f aca="false">SUM(AA3:AA10)</f>
        <v>475199834.065041</v>
      </c>
      <c r="AB12" s="187" t="n">
        <f aca="false">SUM(AB3:AB10)</f>
        <v>421323607.365854</v>
      </c>
      <c r="AC12" s="186" t="n">
        <f aca="false">SUM(AC3:AC10)</f>
        <v>406225529.589919</v>
      </c>
      <c r="AD12" s="185" t="n">
        <f aca="false">SUM(AD3:AD10)</f>
        <v>382137109.544878</v>
      </c>
      <c r="AE12" s="187" t="n">
        <f aca="false">SUM(AE3:AE10)</f>
        <v>372273626.822764</v>
      </c>
      <c r="AF12" s="181" t="n">
        <f aca="false">SUM(AF3:AF10)</f>
        <v>366325046.481789</v>
      </c>
      <c r="AG12" s="187" t="n">
        <f aca="false">SUM(AG3:AG10)</f>
        <v>356002471.216423</v>
      </c>
      <c r="AH12" s="187" t="n">
        <f aca="false">SUM(AH3:AH10)</f>
        <v>335887601.158049</v>
      </c>
      <c r="AI12" s="184" t="n">
        <f aca="false">SUM(AI3:AI10)</f>
        <v>392774863.584878</v>
      </c>
      <c r="AJ12" s="185" t="n">
        <f aca="false">SUM(AJ3:AJ10)</f>
        <v>401832452.139838</v>
      </c>
      <c r="AK12" s="187" t="n">
        <f aca="false">SUM(AK3:AK10)</f>
        <v>381997376.86748</v>
      </c>
      <c r="AL12" s="187" t="n">
        <f aca="false">SUM(AL3:AL10)</f>
        <v>371753562.421301</v>
      </c>
      <c r="AM12" s="187" t="n">
        <f aca="false">SUM(AM3:AM10)</f>
        <v>367921357.730569</v>
      </c>
      <c r="AN12" s="186" t="n">
        <f aca="false">SUM(AN3:AN10)</f>
        <v>367698635.138211</v>
      </c>
      <c r="AO12" s="185" t="n">
        <f aca="false">SUM(AO3:AO10)</f>
        <v>360409761.834634</v>
      </c>
      <c r="AP12" s="187" t="n">
        <f aca="false">SUM(AP3:AP10)</f>
        <v>389992402.395285</v>
      </c>
      <c r="AQ12" s="187" t="n">
        <f aca="false">SUM(AQ3:AQ10)</f>
        <v>377631471.505203</v>
      </c>
    </row>
    <row r="13" customFormat="false" ht="12.8" hidden="false" customHeight="false" outlineLevel="0" collapsed="false">
      <c r="A13" s="1" t="s">
        <v>202</v>
      </c>
      <c r="B13" s="191" t="n">
        <f aca="false">SUMPRODUCT(B3:B10,B17:B24)</f>
        <v>221374921.485226</v>
      </c>
      <c r="C13" s="181" t="n">
        <f aca="false">SUMPRODUCT(C3:C10,C17:C24)</f>
        <v>228373887.097522</v>
      </c>
      <c r="D13" s="187" t="n">
        <f aca="false">SUMPRODUCT(D3:D10,D17:D24)</f>
        <v>228376567.836099</v>
      </c>
      <c r="E13" s="181" t="n">
        <f aca="false">SUMPRODUCT(E3:E10,E17:E24)</f>
        <v>230363561.153678</v>
      </c>
      <c r="F13" s="187" t="n">
        <f aca="false">SUMPRODUCT(F3:F10,F17:F24)</f>
        <v>231722793.253996</v>
      </c>
      <c r="G13" s="181" t="n">
        <f aca="false">SUMPRODUCT(G3:G10,G17:G24)</f>
        <v>188943865.501646</v>
      </c>
      <c r="H13" s="187" t="n">
        <f aca="false">SUMPRODUCT(H3:H10,H17:H24)</f>
        <v>189954569.735622</v>
      </c>
      <c r="I13" s="184" t="n">
        <f aca="false">SUMPRODUCT(I3:I10,I17:I24)</f>
        <v>184563721.690553</v>
      </c>
      <c r="J13" s="185" t="n">
        <f aca="false">SUMPRODUCT(J3:J10,J17:J24)</f>
        <v>185447800.419755</v>
      </c>
      <c r="K13" s="181" t="n">
        <f aca="false">SUMPRODUCT(K3:K10,K17:K24)</f>
        <v>173357304.492596</v>
      </c>
      <c r="L13" s="187" t="n">
        <f aca="false">SUMPRODUCT(L3:L10,L17:L24)</f>
        <v>173893953.215633</v>
      </c>
      <c r="M13" s="181" t="n">
        <f aca="false">SUMPRODUCT(M3:M10,M17:M24)</f>
        <v>173926111.006486</v>
      </c>
      <c r="N13" s="181" t="n">
        <f aca="false">SUMPRODUCT(N3:N10,N17:N24)</f>
        <v>174218860.802935</v>
      </c>
      <c r="O13" s="187" t="n">
        <f aca="false">SUMPRODUCT(O3:O10,O17:O24)</f>
        <v>179948638.901734</v>
      </c>
      <c r="P13" s="186" t="n">
        <f aca="false">SUMPRODUCT(P3:P10,P17:P24)</f>
        <v>185018987.403856</v>
      </c>
      <c r="Q13" s="185" t="n">
        <f aca="false">SUMPRODUCT(Q3:Q10,Q17:Q24)</f>
        <v>177864576.783751</v>
      </c>
      <c r="R13" s="187" t="n">
        <f aca="false">SUMPRODUCT(R3:R10,R17:R24)</f>
        <v>175224798.728159</v>
      </c>
      <c r="S13" s="181" t="n">
        <f aca="false">SUMPRODUCT(S3:S10,S17:S24)</f>
        <v>172512157.84456</v>
      </c>
      <c r="T13" s="187" t="n">
        <f aca="false">SUMPRODUCT(T3:T10,T17:T24)</f>
        <v>225189182.117488</v>
      </c>
      <c r="U13" s="187" t="n">
        <f aca="false">SUMPRODUCT(U3:U10,U17:U24)</f>
        <v>272216787.281824</v>
      </c>
      <c r="V13" s="181" t="n">
        <f aca="false">SUMPRODUCT(V3:V10,V17:V24)</f>
        <v>266393020.19166</v>
      </c>
      <c r="W13" s="181" t="n">
        <f aca="false">SUMPRODUCT(W3:W10,W17:W24)</f>
        <v>267208209.637552</v>
      </c>
      <c r="X13" s="184" t="n">
        <f aca="false">SUMPRODUCT(X3:X10,X17:X24)</f>
        <v>265202851.119382</v>
      </c>
      <c r="Y13" s="185" t="n">
        <f aca="false">SUMPRODUCT(Y3:Y10,Y17:Y24)</f>
        <v>226242422.544375</v>
      </c>
      <c r="Z13" s="187" t="n">
        <f aca="false">SUMPRODUCT(Z3:Z10,Z17:Z24)</f>
        <v>228352828.014411</v>
      </c>
      <c r="AA13" s="181" t="n">
        <f aca="false">SUMPRODUCT(AA3:AA10,AA17:AA24)</f>
        <v>215130297.251475</v>
      </c>
      <c r="AB13" s="187" t="n">
        <f aca="false">SUMPRODUCT(AB3:AB10,AB17:AB24)</f>
        <v>183245743.283801</v>
      </c>
      <c r="AC13" s="186" t="n">
        <f aca="false">SUMPRODUCT(AC3:AC10,AC17:AC24)</f>
        <v>187294677.620424</v>
      </c>
      <c r="AD13" s="185" t="n">
        <f aca="false">SUMPRODUCT(AD3:AD10,AD17:AD24)</f>
        <v>163802933.071415</v>
      </c>
      <c r="AE13" s="187" t="n">
        <f aca="false">SUMPRODUCT(AE3:AE10,AE17:AE24)</f>
        <v>156196109.707143</v>
      </c>
      <c r="AF13" s="181" t="n">
        <f aca="false">SUMPRODUCT(AF3:AF10,AF17:AF24)</f>
        <v>157211560.653337</v>
      </c>
      <c r="AG13" s="187" t="n">
        <f aca="false">SUMPRODUCT(AG3:AG10,AG17:AG24)</f>
        <v>154914770.710232</v>
      </c>
      <c r="AH13" s="187" t="n">
        <f aca="false">SUMPRODUCT(AH3:AH10,AH17:AH24)</f>
        <v>145432107.672726</v>
      </c>
      <c r="AI13" s="184" t="n">
        <f aca="false">SUMPRODUCT(AI3:AI10,AI17:AI24)</f>
        <v>146218391.584134</v>
      </c>
      <c r="AJ13" s="185" t="n">
        <f aca="false">SUMPRODUCT(AJ3:AJ10,AJ17:AJ24)</f>
        <v>152442498.123522</v>
      </c>
      <c r="AK13" s="187" t="n">
        <f aca="false">SUMPRODUCT(AK3:AK10,AK17:AK24)</f>
        <v>137650586.739596</v>
      </c>
      <c r="AL13" s="187" t="n">
        <f aca="false">SUMPRODUCT(AL3:AL10,AL17:AL24)</f>
        <v>138707941.975599</v>
      </c>
      <c r="AM13" s="187" t="n">
        <f aca="false">SUMPRODUCT(AM3:AM10,AM17:AM24)</f>
        <v>138504493.66471</v>
      </c>
      <c r="AN13" s="186" t="n">
        <f aca="false">SUMPRODUCT(AN3:AN10,AN17:AN24)</f>
        <v>142587567.262314</v>
      </c>
      <c r="AO13" s="185" t="n">
        <f aca="false">SUMPRODUCT(AO3:AO10,AO17:AO24)</f>
        <v>139086604.857619</v>
      </c>
      <c r="AP13" s="187" t="n">
        <f aca="false">SUMPRODUCT(AP3:AP10,AP17:AP24)</f>
        <v>142456957.686638</v>
      </c>
      <c r="AQ13" s="187" t="n">
        <f aca="false">SUMPRODUCT(AQ3:AQ10,AQ17:AQ24)</f>
        <v>143609711.613961</v>
      </c>
    </row>
    <row r="14" customFormat="false" ht="12.8" hidden="false" customHeight="false" outlineLevel="0" collapsed="false">
      <c r="A14" s="23" t="s">
        <v>220</v>
      </c>
      <c r="B14" s="192" t="n">
        <f aca="false">B13/$AQ13*1000</f>
        <v>1541.50383701283</v>
      </c>
      <c r="C14" s="193" t="n">
        <f aca="false">C13/$AQ13*1000</f>
        <v>1590.23985586307</v>
      </c>
      <c r="D14" s="194" t="n">
        <f aca="false">D13/$AQ13*1000</f>
        <v>1590.25852269658</v>
      </c>
      <c r="E14" s="195" t="n">
        <f aca="false">E13/$AQ13*1000</f>
        <v>1604.0945877875</v>
      </c>
      <c r="F14" s="194" t="n">
        <f aca="false">F13/$AQ13*1000</f>
        <v>1613.55935228735</v>
      </c>
      <c r="G14" s="195" t="n">
        <f aca="false">G13/$AQ13*1000</f>
        <v>1315.6761014154</v>
      </c>
      <c r="H14" s="194" t="n">
        <f aca="false">H13/$AQ13*1000</f>
        <v>1322.71395576813</v>
      </c>
      <c r="I14" s="196" t="n">
        <f aca="false">I13/$AQ13*1000</f>
        <v>1285.17576991368</v>
      </c>
      <c r="J14" s="197" t="n">
        <f aca="false">J13/$AQ13*1000</f>
        <v>1291.33189068898</v>
      </c>
      <c r="K14" s="195" t="n">
        <f aca="false">K13/$AQ13*1000</f>
        <v>1207.14193033547</v>
      </c>
      <c r="L14" s="194" t="n">
        <f aca="false">L13/$AQ13*1000</f>
        <v>1210.87878571249</v>
      </c>
      <c r="M14" s="195" t="n">
        <f aca="false">M13/$AQ13*1000</f>
        <v>1211.10271061625</v>
      </c>
      <c r="N14" s="195" t="n">
        <f aca="false">N13/$AQ13*1000</f>
        <v>1213.14122036019</v>
      </c>
      <c r="O14" s="194" t="n">
        <f aca="false">O13/$AQ13*1000</f>
        <v>1253.03948374645</v>
      </c>
      <c r="P14" s="198" t="n">
        <f aca="false">P13/$AQ13*1000</f>
        <v>1288.34592956504</v>
      </c>
      <c r="Q14" s="197" t="n">
        <f aca="false">Q13/$AQ13*1000</f>
        <v>1238.52749779118</v>
      </c>
      <c r="R14" s="194" t="n">
        <f aca="false">R13/$AQ13*1000</f>
        <v>1220.14588539237</v>
      </c>
      <c r="S14" s="195" t="n">
        <f aca="false">S13/$AQ13*1000</f>
        <v>1201.25690599736</v>
      </c>
      <c r="T14" s="194" t="n">
        <f aca="false">T13/$AQ13*1000</f>
        <v>1568.06374434358</v>
      </c>
      <c r="U14" s="194" t="n">
        <f aca="false">U13/$AQ13*1000</f>
        <v>1895.53188445621</v>
      </c>
      <c r="V14" s="195" t="n">
        <f aca="false">V13/$AQ13*1000</f>
        <v>1854.97914589338</v>
      </c>
      <c r="W14" s="195" t="n">
        <f aca="false">W13/$AQ13*1000</f>
        <v>1860.65556872531</v>
      </c>
      <c r="X14" s="196" t="n">
        <f aca="false">X13/$AQ13*1000</f>
        <v>1846.69162091404</v>
      </c>
      <c r="Y14" s="197" t="n">
        <f aca="false">Y13/$AQ13*1000</f>
        <v>1575.39779170744</v>
      </c>
      <c r="Z14" s="194" t="n">
        <f aca="false">Z13/$AQ13*1000</f>
        <v>1590.09321478376</v>
      </c>
      <c r="AA14" s="195" t="n">
        <f aca="false">AA13/$AQ13*1000</f>
        <v>1498.02053658996</v>
      </c>
      <c r="AB14" s="194" t="n">
        <f aca="false">AB13/$AQ13*1000</f>
        <v>1275.99826797498</v>
      </c>
      <c r="AC14" s="198" t="n">
        <f aca="false">AC13/$AQ13*1000</f>
        <v>1304.1922827886</v>
      </c>
      <c r="AD14" s="197" t="n">
        <f aca="false">AD13/$AQ13*1000</f>
        <v>1140.61180981782</v>
      </c>
      <c r="AE14" s="194" t="n">
        <f aca="false">AE13/$AQ13*1000</f>
        <v>1087.64308452214</v>
      </c>
      <c r="AF14" s="195" t="n">
        <f aca="false">AF13/$AQ13*1000</f>
        <v>1094.71399173852</v>
      </c>
      <c r="AG14" s="194" t="n">
        <f aca="false">AG13/$AQ13*1000</f>
        <v>1078.72071442258</v>
      </c>
      <c r="AH14" s="194" t="n">
        <f aca="false">AH13/$AQ13*1000</f>
        <v>1012.68992213886</v>
      </c>
      <c r="AI14" s="196" t="n">
        <f aca="false">AI13/$AQ13*1000</f>
        <v>1018.1650665603</v>
      </c>
      <c r="AJ14" s="197" t="n">
        <f aca="false">AJ13/$AQ13*1000</f>
        <v>1061.50549576553</v>
      </c>
      <c r="AK14" s="194" t="n">
        <f aca="false">AK13/$AQ13*1000</f>
        <v>958.504722226702</v>
      </c>
      <c r="AL14" s="194" t="n">
        <f aca="false">AL13/$AQ13*1000</f>
        <v>965.867422312371</v>
      </c>
      <c r="AM14" s="194" t="n">
        <f aca="false">AM13/$AQ13*1000</f>
        <v>964.450747154383</v>
      </c>
      <c r="AN14" s="198" t="n">
        <f aca="false">AN13/$AQ13*1000</f>
        <v>992.882484477135</v>
      </c>
      <c r="AO14" s="197" t="n">
        <f aca="false">AO13/$AQ13*1000</f>
        <v>968.504172137741</v>
      </c>
      <c r="AP14" s="199" t="n">
        <f aca="false">AP13/$AQ13*1000</f>
        <v>991.97300854958</v>
      </c>
      <c r="AQ14" s="169" t="n">
        <v>1000</v>
      </c>
    </row>
    <row r="15" customFormat="false" ht="12.8" hidden="false" customHeight="false" outlineLevel="0" collapsed="false">
      <c r="A15" s="1" t="s">
        <v>218</v>
      </c>
      <c r="B15" s="201" t="n">
        <f aca="false">B12/C12-1</f>
        <v>0.000757766597285769</v>
      </c>
      <c r="C15" s="118" t="n">
        <f aca="false">C12/D12-1</f>
        <v>3.17151195010634E-005</v>
      </c>
      <c r="D15" s="117" t="n">
        <f aca="false">D12/E12-1</f>
        <v>0.0164120711651048</v>
      </c>
      <c r="E15" s="79" t="n">
        <f aca="false">E12/F12-1</f>
        <v>0.0178382296768442</v>
      </c>
      <c r="F15" s="117" t="n">
        <f aca="false">F12/G12-1</f>
        <v>0.109637909524376</v>
      </c>
      <c r="G15" s="79" t="n">
        <f aca="false">G12/H12-1</f>
        <v>0.0160465565243912</v>
      </c>
      <c r="H15" s="117" t="n">
        <f aca="false">H12/I12-1</f>
        <v>0.0215683140224148</v>
      </c>
      <c r="I15" s="176" t="n">
        <f aca="false">I12/J12-1</f>
        <v>0.0122816939230999</v>
      </c>
      <c r="J15" s="177" t="n">
        <f aca="false">J12/L12-1</f>
        <v>0.000554883513835813</v>
      </c>
      <c r="K15" s="79" t="n">
        <f aca="false">K12/L12-1</f>
        <v>0.00419203119951583</v>
      </c>
      <c r="L15" s="117" t="n">
        <f aca="false">L12/M12-1</f>
        <v>-0.000211429346535841</v>
      </c>
      <c r="M15" s="79" t="n">
        <f aca="false">M12/N12-1</f>
        <v>0.0166101342847622</v>
      </c>
      <c r="N15" s="79" t="n">
        <f aca="false">N12/O12-1</f>
        <v>0.0597329821708568</v>
      </c>
      <c r="O15" s="117" t="n">
        <f aca="false">O12/P12-1</f>
        <v>-0.0160189071599637</v>
      </c>
      <c r="P15" s="178" t="n">
        <f aca="false">P12/Q12-1</f>
        <v>0.00542393647338679</v>
      </c>
      <c r="Q15" s="177" t="n">
        <f aca="false">Q12/R12-1</f>
        <v>0.00256502679592674</v>
      </c>
      <c r="R15" s="117" t="n">
        <f aca="false">R12/S12-1</f>
        <v>0.0062206431104801</v>
      </c>
      <c r="S15" s="79" t="n">
        <f aca="false">S12/T12-1</f>
        <v>-0.10911937436726</v>
      </c>
      <c r="T15" s="117" t="n">
        <f aca="false">T12/U12-1</f>
        <v>-0.103944719539482</v>
      </c>
      <c r="U15" s="117" t="n">
        <f aca="false">U12/V12-1</f>
        <v>0.0367095185494735</v>
      </c>
      <c r="V15" s="79" t="n">
        <f aca="false">V12/W12-1</f>
        <v>0.0036610273647133</v>
      </c>
      <c r="W15" s="79" t="n">
        <f aca="false">W12/X12-1</f>
        <v>-0.0134577582241436</v>
      </c>
      <c r="X15" s="176" t="n">
        <f aca="false">X12/Y12-1</f>
        <v>0.0797146397171291</v>
      </c>
      <c r="Y15" s="177" t="n">
        <f aca="false">Y12/Z12-1</f>
        <v>0.0160442741619617</v>
      </c>
      <c r="Z15" s="117" t="n">
        <f aca="false">Z12/AA12-1</f>
        <v>0.0228881007877915</v>
      </c>
      <c r="AA15" s="79" t="n">
        <f aca="false">AA12/AB12-1</f>
        <v>0.127873743026234</v>
      </c>
      <c r="AB15" s="117" t="n">
        <f aca="false">AB12/AC12-1</f>
        <v>0.0371667378738507</v>
      </c>
      <c r="AC15" s="178" t="n">
        <f aca="false">AC12/AD12-1</f>
        <v>0.0630360659652516</v>
      </c>
      <c r="AD15" s="177" t="n">
        <f aca="false">AD12/AE12-1</f>
        <v>0.0264952497610305</v>
      </c>
      <c r="AE15" s="117" t="n">
        <f aca="false">AE12/AF12-1</f>
        <v>0.0162385302291119</v>
      </c>
      <c r="AF15" s="79" t="n">
        <f aca="false">AF12/AG12-1</f>
        <v>0.0289957966586416</v>
      </c>
      <c r="AG15" s="117" t="n">
        <f aca="false">AG12/AH12-1</f>
        <v>0.0598857176895602</v>
      </c>
      <c r="AH15" s="117" t="n">
        <f aca="false">AH12/AI12-1</f>
        <v>-0.144834274545006</v>
      </c>
      <c r="AI15" s="176" t="n">
        <f aca="false">AI12/AJ12-1</f>
        <v>-0.0225407094591945</v>
      </c>
      <c r="AJ15" s="177" t="n">
        <f aca="false">AJ12/AK12-1</f>
        <v>0.0519246373758189</v>
      </c>
      <c r="AK15" s="117" t="n">
        <f aca="false">AK12/AM12-1</f>
        <v>0.0382582278553638</v>
      </c>
      <c r="AL15" s="117" t="n">
        <f aca="false">AL12/AM12-1</f>
        <v>0.0104158255839513</v>
      </c>
      <c r="AM15" s="117" t="n">
        <f aca="false">AM12/AN12-1</f>
        <v>0.000605720476156701</v>
      </c>
      <c r="AN15" s="178" t="n">
        <f aca="false">AN12/AO12-1</f>
        <v>0.0202238509480799</v>
      </c>
      <c r="AO15" s="177" t="n">
        <f aca="false">AO12/AP12-1</f>
        <v>-0.0758544022369602</v>
      </c>
      <c r="AP15" s="179" t="n">
        <f aca="false">AP12/AQ12-1</f>
        <v>0.0327327879766266</v>
      </c>
    </row>
    <row r="16" customFormat="false" ht="12.8" hidden="false" customHeight="false" outlineLevel="0" collapsed="false">
      <c r="K16" s="40"/>
    </row>
    <row r="17" customFormat="false" ht="12.8" hidden="false" customHeight="false" outlineLevel="0" collapsed="false">
      <c r="A17" s="139" t="s">
        <v>183</v>
      </c>
      <c r="B17" s="118" t="n">
        <f aca="false">B3/SUM(B$3:B$10)</f>
        <v>0.586553124467747</v>
      </c>
      <c r="C17" s="118" t="n">
        <f aca="false">C3/SUM(C$3:C$10)</f>
        <v>0.600742717577026</v>
      </c>
      <c r="D17" s="117" t="n">
        <f aca="false">D3/SUM(D$3:D$10)</f>
        <v>0.600761770204103</v>
      </c>
      <c r="E17" s="79" t="n">
        <f aca="false">E3/SUM(E$3:E$10)</f>
        <v>0.611443347586401</v>
      </c>
      <c r="F17" s="117" t="n">
        <f aca="false">F3/SUM(F$3:F$10)</f>
        <v>0.622350414455025</v>
      </c>
      <c r="G17" s="79" t="n">
        <f aca="false">G3/SUM(G$3:G$10)</f>
        <v>0.580127362976733</v>
      </c>
      <c r="H17" s="117" t="n">
        <f aca="false">H3/SUM(H$3:H$10)</f>
        <v>0.589436409498086</v>
      </c>
      <c r="I17" s="176" t="n">
        <f aca="false">I3/SUM(I$3:I$10)</f>
        <v>0.587697969656598</v>
      </c>
      <c r="J17" s="177" t="n">
        <f aca="false">J3/SUM(J$3:J$10)</f>
        <v>0.592672770728739</v>
      </c>
      <c r="K17" s="79" t="n">
        <f aca="false">K3/SUM(K$3:K$10)</f>
        <v>0.561646031364882</v>
      </c>
      <c r="L17" s="117" t="n">
        <f aca="false">L3/SUM(L$3:L$10)</f>
        <v>0.564000469051448</v>
      </c>
      <c r="M17" s="79" t="n">
        <f aca="false">M3/SUM(M$3:M$10)</f>
        <v>0.56388122280083</v>
      </c>
      <c r="N17" s="79" t="n">
        <f aca="false">N3/SUM(N$3:N$10)</f>
        <v>0.573247365632208</v>
      </c>
      <c r="O17" s="117" t="n">
        <f aca="false">O3/SUM(O$3:O$10)</f>
        <v>0.613816495271388</v>
      </c>
      <c r="P17" s="178" t="n">
        <f aca="false">P3/SUM(P$3:P$10)</f>
        <v>0.617428671258162</v>
      </c>
      <c r="Q17" s="177" t="n">
        <f aca="false">Q3/SUM(Q$3:Q$10)</f>
        <v>0.603100482053251</v>
      </c>
      <c r="R17" s="117" t="n">
        <f aca="false">R3/SUM(R$3:R$10)</f>
        <v>0.594243344811587</v>
      </c>
      <c r="S17" s="79" t="n">
        <f aca="false">S3/SUM(S$3:S$10)</f>
        <v>0.592044649618608</v>
      </c>
      <c r="T17" s="117" t="n">
        <f aca="false">T3/SUM(T$3:T$10)</f>
        <v>0.654161544114669</v>
      </c>
      <c r="U17" s="117" t="n">
        <f aca="false">U3/SUM(U$3:U$10)</f>
        <v>0.686650318314411</v>
      </c>
      <c r="V17" s="79" t="n">
        <f aca="false">V3/SUM(V$3:V$10)</f>
        <v>0.692758320594435</v>
      </c>
      <c r="W17" s="79" t="n">
        <f aca="false">W3/SUM(W$3:W$10)</f>
        <v>0.695294527763264</v>
      </c>
      <c r="X17" s="176" t="n">
        <f aca="false">X3/SUM(X$3:X$10)</f>
        <v>0.685937422114056</v>
      </c>
      <c r="Y17" s="177" t="n">
        <f aca="false">Y3/SUM(Y$3:Y$10)</f>
        <v>0.651649866288668</v>
      </c>
      <c r="Z17" s="117" t="n">
        <f aca="false">Z3/SUM(Z$3:Z$10)</f>
        <v>0.661991957606484</v>
      </c>
      <c r="AA17" s="79" t="n">
        <f aca="false">AA3/SUM(AA$3:AA$10)</f>
        <v>0.646952821786755</v>
      </c>
      <c r="AB17" s="117" t="n">
        <f aca="false">AB3/SUM(AB$3:AB$10)</f>
        <v>0.631007919863162</v>
      </c>
      <c r="AC17" s="178" t="n">
        <f aca="false">AC3/SUM(AC$3:AC$10)</f>
        <v>0.654437858994316</v>
      </c>
      <c r="AD17" s="177" t="n">
        <f aca="false">AD3/SUM(AD$3:AD$10)</f>
        <v>0.623746997041104</v>
      </c>
      <c r="AE17" s="117" t="n">
        <f aca="false">AE3/SUM(AE$3:AE$10)</f>
        <v>0.615648379339816</v>
      </c>
      <c r="AF17" s="79" t="n">
        <f aca="false">AF3/SUM(AF$3:AF$10)</f>
        <v>0.625620579335056</v>
      </c>
      <c r="AG17" s="117" t="n">
        <f aca="false">AG3/SUM(AG$3:AG$10)</f>
        <v>0.63088572751014</v>
      </c>
      <c r="AH17" s="117" t="n">
        <f aca="false">AH3/SUM(AH$3:AH$10)</f>
        <v>0.63182186831439</v>
      </c>
      <c r="AI17" s="176" t="n">
        <f aca="false">AI3/SUM(AI$3:AI$10)</f>
        <v>0.564819016599776</v>
      </c>
      <c r="AJ17" s="177" t="n">
        <f aca="false">AJ3/SUM(AJ$3:AJ$10)</f>
        <v>0.572619778543979</v>
      </c>
      <c r="AK17" s="117" t="n">
        <f aca="false">AK3/SUM(AK$3:AK$10)</f>
        <v>0.553180701680361</v>
      </c>
      <c r="AL17" s="117" t="n">
        <f aca="false">AL3/SUM(AL$3:AL$10)</f>
        <v>0.568399152330464</v>
      </c>
      <c r="AM17" s="117" t="n">
        <f aca="false">AM3/SUM(AM$3:AM$10)</f>
        <v>0.573098602648696</v>
      </c>
      <c r="AN17" s="178" t="n">
        <f aca="false">AN3/SUM(AN$3:AN$10)</f>
        <v>0.585886478625652</v>
      </c>
      <c r="AO17" s="177" t="n">
        <f aca="false">AO3/SUM(AO$3:AO$10)</f>
        <v>0.585017585836728</v>
      </c>
      <c r="AP17" s="117" t="n">
        <f aca="false">AP3/SUM(AP$3:AP$10)</f>
        <v>0.559446345749842</v>
      </c>
      <c r="AQ17" s="117" t="n">
        <f aca="false">AQ3/SUM(AQ$3:AQ$10)</f>
        <v>0.57775858436957</v>
      </c>
    </row>
    <row r="18" customFormat="false" ht="12.8" hidden="false" customHeight="false" outlineLevel="0" collapsed="false">
      <c r="A18" s="139" t="s">
        <v>31</v>
      </c>
      <c r="B18" s="118" t="n">
        <f aca="false">B4/SUM(B$3:B$10)</f>
        <v>0.143579174083138</v>
      </c>
      <c r="C18" s="118" t="n">
        <f aca="false">C4/SUM(C$3:C$10)</f>
        <v>0.143687973585324</v>
      </c>
      <c r="D18" s="117" t="n">
        <f aca="false">D4/SUM(D$3:D$10)</f>
        <v>0.143692530666577</v>
      </c>
      <c r="E18" s="79" t="n">
        <f aca="false">E4/SUM(E$3:E$10)</f>
        <v>0.131977484856432</v>
      </c>
      <c r="F18" s="117" t="n">
        <f aca="false">F4/SUM(F$3:F$10)</f>
        <v>0.12306385251662</v>
      </c>
      <c r="G18" s="79" t="n">
        <f aca="false">G4/SUM(G$3:G$10)</f>
        <v>0.143412000482714</v>
      </c>
      <c r="H18" s="117" t="n">
        <f aca="false">H4/SUM(H$3:H$10)</f>
        <v>0.145713269254736</v>
      </c>
      <c r="I18" s="176" t="n">
        <f aca="false">I4/SUM(I$3:I$10)</f>
        <v>0.141740125949465</v>
      </c>
      <c r="J18" s="177" t="n">
        <f aca="false">J4/SUM(J$3:J$10)</f>
        <v>0.146116298901441</v>
      </c>
      <c r="K18" s="79" t="n">
        <f aca="false">K4/SUM(K$3:K$10)</f>
        <v>0.177105650577874</v>
      </c>
      <c r="L18" s="117" t="n">
        <f aca="false">L4/SUM(L$3:L$10)</f>
        <v>0.177848082990707</v>
      </c>
      <c r="M18" s="79" t="n">
        <f aca="false">M4/SUM(M$3:M$10)</f>
        <v>0.178617178978109</v>
      </c>
      <c r="N18" s="79" t="n">
        <f aca="false">N4/SUM(N$3:N$10)</f>
        <v>0.165634117540031</v>
      </c>
      <c r="O18" s="117" t="n">
        <f aca="false">O4/SUM(O$3:O$10)</f>
        <v>0.104138670025419</v>
      </c>
      <c r="P18" s="178" t="n">
        <f aca="false">P4/SUM(P$3:P$10)</f>
        <v>0.104023065404255</v>
      </c>
      <c r="Q18" s="177" t="n">
        <f aca="false">Q4/SUM(Q$3:Q$10)</f>
        <v>0.109270292435735</v>
      </c>
      <c r="R18" s="117" t="n">
        <f aca="false">R4/SUM(R$3:R$10)</f>
        <v>0.103384441374753</v>
      </c>
      <c r="S18" s="79" t="n">
        <f aca="false">S4/SUM(S$3:S$10)</f>
        <v>0.114326381922019</v>
      </c>
      <c r="T18" s="117" t="n">
        <f aca="false">T4/SUM(T$3:T$10)</f>
        <v>0.0915538101060029</v>
      </c>
      <c r="U18" s="117" t="n">
        <f aca="false">U4/SUM(U$3:U$10)</f>
        <v>0.0914654019062322</v>
      </c>
      <c r="V18" s="79" t="n">
        <f aca="false">V4/SUM(V$3:V$10)</f>
        <v>0.0951618927098405</v>
      </c>
      <c r="W18" s="79" t="n">
        <f aca="false">W4/SUM(W$3:W$10)</f>
        <v>0.0955102830031291</v>
      </c>
      <c r="X18" s="176" t="n">
        <f aca="false">X4/SUM(X$3:X$10)</f>
        <v>0.0942249287065535</v>
      </c>
      <c r="Y18" s="177" t="n">
        <f aca="false">Y4/SUM(Y$3:Y$10)</f>
        <v>0.100119850336377</v>
      </c>
      <c r="Z18" s="117" t="n">
        <f aca="false">Z4/SUM(Z$3:Z$10)</f>
        <v>0.10191447765683</v>
      </c>
      <c r="AA18" s="79" t="n">
        <f aca="false">AA4/SUM(AA$3:AA$10)</f>
        <v>0.108466628784524</v>
      </c>
      <c r="AB18" s="117" t="n">
        <f aca="false">AB4/SUM(AB$3:AB$10)</f>
        <v>0.11105628388326</v>
      </c>
      <c r="AC18" s="178" t="n">
        <f aca="false">AC4/SUM(AC$3:AC$10)</f>
        <v>0.115183883675593</v>
      </c>
      <c r="AD18" s="177" t="n">
        <f aca="false">AD4/SUM(AD$3:AD$10)</f>
        <v>0.122418693115617</v>
      </c>
      <c r="AE18" s="117" t="n">
        <f aca="false">AE4/SUM(AE$3:AE$10)</f>
        <v>0.132803550173557</v>
      </c>
      <c r="AF18" s="79" t="n">
        <f aca="false">AF4/SUM(AF$3:AF$10)</f>
        <v>0.118369107374511</v>
      </c>
      <c r="AG18" s="117" t="n">
        <f aca="false">AG4/SUM(AG$3:AG$10)</f>
        <v>0.127567763418085</v>
      </c>
      <c r="AH18" s="117" t="n">
        <f aca="false">AH4/SUM(AH$3:AH$10)</f>
        <v>0.122915682258572</v>
      </c>
      <c r="AI18" s="176" t="n">
        <f aca="false">AI4/SUM(AI$3:AI$10)</f>
        <v>0.158230522035142</v>
      </c>
      <c r="AJ18" s="177" t="n">
        <f aca="false">AJ4/SUM(AJ$3:AJ$10)</f>
        <v>0.16439032114477</v>
      </c>
      <c r="AK18" s="117" t="n">
        <f aca="false">AK4/SUM(AK$3:AK$10)</f>
        <v>0.172411413164179</v>
      </c>
      <c r="AL18" s="117" t="n">
        <f aca="false">AL4/SUM(AL$3:AL$10)</f>
        <v>0.166918744892772</v>
      </c>
      <c r="AM18" s="117" t="n">
        <f aca="false">AM4/SUM(AM$3:AM$10)</f>
        <v>0.164580240025633</v>
      </c>
      <c r="AN18" s="178" t="n">
        <f aca="false">AN4/SUM(AN$3:AN$10)</f>
        <v>0.157980450690894</v>
      </c>
      <c r="AO18" s="177" t="n">
        <f aca="false">AO4/SUM(AO$3:AO$10)</f>
        <v>0.153080377618458</v>
      </c>
      <c r="AP18" s="117" t="n">
        <f aca="false">AP4/SUM(AP$3:AP$10)</f>
        <v>0.174556813981275</v>
      </c>
      <c r="AQ18" s="117" t="n">
        <f aca="false">AQ4/SUM(AQ$3:AQ$10)</f>
        <v>0.160348355301259</v>
      </c>
    </row>
    <row r="19" customFormat="false" ht="12.8" hidden="false" customHeight="false" outlineLevel="0" collapsed="false">
      <c r="A19" s="139" t="s">
        <v>184</v>
      </c>
      <c r="B19" s="118" t="n">
        <f aca="false">B5/SUM(B$3:B$10)</f>
        <v>0.143513019184776</v>
      </c>
      <c r="C19" s="118" t="n">
        <f aca="false">C5/SUM(C$3:C$10)</f>
        <v>0.126888168850554</v>
      </c>
      <c r="D19" s="117" t="n">
        <f aca="false">D5/SUM(D$3:D$10)</f>
        <v>0.126860478004491</v>
      </c>
      <c r="E19" s="79" t="n">
        <f aca="false">E5/SUM(E$3:E$10)</f>
        <v>0.12894252119754</v>
      </c>
      <c r="F19" s="117" t="n">
        <f aca="false">F5/SUM(F$3:F$10)</f>
        <v>0.122128556151205</v>
      </c>
      <c r="G19" s="79" t="n">
        <f aca="false">G5/SUM(G$3:G$10)</f>
        <v>0.139563803374909</v>
      </c>
      <c r="H19" s="117" t="n">
        <f aca="false">H5/SUM(H$3:H$10)</f>
        <v>0.126389917287293</v>
      </c>
      <c r="I19" s="176" t="n">
        <f aca="false">I5/SUM(I$3:I$10)</f>
        <v>0.123117817225231</v>
      </c>
      <c r="J19" s="177" t="n">
        <f aca="false">J5/SUM(J$3:J$10)</f>
        <v>0.125308923828555</v>
      </c>
      <c r="K19" s="79" t="n">
        <f aca="false">K5/SUM(K$3:K$10)</f>
        <v>0.118581866869457</v>
      </c>
      <c r="L19" s="117" t="n">
        <f aca="false">L5/SUM(L$3:L$10)</f>
        <v>0.118611155532461</v>
      </c>
      <c r="M19" s="79" t="n">
        <f aca="false">M5/SUM(M$3:M$10)</f>
        <v>0.117990808708519</v>
      </c>
      <c r="N19" s="79" t="n">
        <f aca="false">N5/SUM(N$3:N$10)</f>
        <v>0.119950651885536</v>
      </c>
      <c r="O19" s="117" t="n">
        <f aca="false">O5/SUM(O$3:O$10)</f>
        <v>0.131624259886769</v>
      </c>
      <c r="P19" s="178" t="n">
        <f aca="false">P5/SUM(P$3:P$10)</f>
        <v>0.135333665824113</v>
      </c>
      <c r="Q19" s="177" t="n">
        <f aca="false">Q5/SUM(Q$3:Q$10)</f>
        <v>0.144460626045075</v>
      </c>
      <c r="R19" s="117" t="n">
        <f aca="false">R5/SUM(R$3:R$10)</f>
        <v>0.170333488615763</v>
      </c>
      <c r="S19" s="79" t="n">
        <f aca="false">S5/SUM(S$3:S$10)</f>
        <v>0.158680314756467</v>
      </c>
      <c r="T19" s="117" t="n">
        <f aca="false">T5/SUM(T$3:T$10)</f>
        <v>0.134403716497267</v>
      </c>
      <c r="U19" s="117" t="n">
        <f aca="false">U5/SUM(U$3:U$10)</f>
        <v>0.118603853172098</v>
      </c>
      <c r="V19" s="79" t="n">
        <f aca="false">V5/SUM(V$3:V$10)</f>
        <v>0.112005570650279</v>
      </c>
      <c r="W19" s="79" t="n">
        <f aca="false">W5/SUM(W$3:W$10)</f>
        <v>0.11241562610943</v>
      </c>
      <c r="X19" s="176" t="n">
        <f aca="false">X5/SUM(X$3:X$10)</f>
        <v>0.123190328487939</v>
      </c>
      <c r="Y19" s="177" t="n">
        <f aca="false">Y5/SUM(Y$3:Y$10)</f>
        <v>0.140839182048835</v>
      </c>
      <c r="Z19" s="117" t="n">
        <f aca="false">Z5/SUM(Z$3:Z$10)</f>
        <v>0.134080035662758</v>
      </c>
      <c r="AA19" s="79" t="n">
        <f aca="false">AA5/SUM(AA$3:AA$10)</f>
        <v>0.136728493345182</v>
      </c>
      <c r="AB19" s="117" t="n">
        <f aca="false">AB5/SUM(AB$3:AB$10)</f>
        <v>0.142240563475082</v>
      </c>
      <c r="AC19" s="178" t="n">
        <f aca="false">AC5/SUM(AC$3:AC$10)</f>
        <v>0.129472313018697</v>
      </c>
      <c r="AD19" s="177" t="n">
        <f aca="false">AD5/SUM(AD$3:AD$10)</f>
        <v>0.146234376675047</v>
      </c>
      <c r="AE19" s="117" t="n">
        <f aca="false">AE5/SUM(AE$3:AE$10)</f>
        <v>0.138176111353467</v>
      </c>
      <c r="AF19" s="79" t="n">
        <f aca="false">AF5/SUM(AF$3:AF$10)</f>
        <v>0.140384442517571</v>
      </c>
      <c r="AG19" s="117" t="n">
        <f aca="false">AG5/SUM(AG$3:AG$10)</f>
        <v>0.130617487598385</v>
      </c>
      <c r="AH19" s="117" t="n">
        <f aca="false">AH5/SUM(AH$3:AH$10)</f>
        <v>0.117588174886909</v>
      </c>
      <c r="AI19" s="176" t="n">
        <f aca="false">AI5/SUM(AI$3:AI$10)</f>
        <v>0.152502993996892</v>
      </c>
      <c r="AJ19" s="177" t="n">
        <f aca="false">AJ5/SUM(AJ$3:AJ$10)</f>
        <v>0.139979111481886</v>
      </c>
      <c r="AK19" s="117" t="n">
        <f aca="false">AK5/SUM(AK$3:AK$10)</f>
        <v>0.133841731386063</v>
      </c>
      <c r="AL19" s="117" t="n">
        <f aca="false">AL5/SUM(AL$3:AL$10)</f>
        <v>0.125932286295762</v>
      </c>
      <c r="AM19" s="117" t="n">
        <f aca="false">AM5/SUM(AM$3:AM$10)</f>
        <v>0.118273018240185</v>
      </c>
      <c r="AN19" s="178" t="n">
        <f aca="false">AN5/SUM(AN$3:AN$10)</f>
        <v>0.11137298162105</v>
      </c>
      <c r="AO19" s="177" t="n">
        <f aca="false">AO5/SUM(AO$3:AO$10)</f>
        <v>0.110920534072506</v>
      </c>
      <c r="AP19" s="117" t="n">
        <f aca="false">AP5/SUM(AP$3:AP$10)</f>
        <v>0.110716429976224</v>
      </c>
      <c r="AQ19" s="117" t="n">
        <f aca="false">AQ5/SUM(AQ$3:AQ$10)</f>
        <v>0.107704271789896</v>
      </c>
    </row>
    <row r="20" customFormat="false" ht="12.8" hidden="false" customHeight="false" outlineLevel="0" collapsed="false">
      <c r="A20" s="139" t="s">
        <v>187</v>
      </c>
      <c r="B20" s="118" t="n">
        <f aca="false">B6/SUM(B$3:B$10)</f>
        <v>0.0578280980433359</v>
      </c>
      <c r="C20" s="118" t="n">
        <f aca="false">C6/SUM(C$3:C$10)</f>
        <v>0.0587191517192238</v>
      </c>
      <c r="D20" s="117" t="n">
        <f aca="false">D6/SUM(D$3:D$10)</f>
        <v>0.0587210140041376</v>
      </c>
      <c r="E20" s="79" t="n">
        <f aca="false">E6/SUM(E$3:E$10)</f>
        <v>0.0582480503294563</v>
      </c>
      <c r="F20" s="117" t="n">
        <f aca="false">F6/SUM(F$3:F$10)</f>
        <v>0.060315493286212</v>
      </c>
      <c r="G20" s="79" t="n">
        <f aca="false">G6/SUM(G$3:G$10)</f>
        <v>0.0635578650390634</v>
      </c>
      <c r="H20" s="117" t="n">
        <f aca="false">H6/SUM(H$3:H$10)</f>
        <v>0.065066975291111</v>
      </c>
      <c r="I20" s="176" t="n">
        <f aca="false">I6/SUM(I$3:I$10)</f>
        <v>0.0724676859832207</v>
      </c>
      <c r="J20" s="177" t="n">
        <f aca="false">J6/SUM(J$3:J$10)</f>
        <v>0.0642512373383883</v>
      </c>
      <c r="K20" s="79" t="n">
        <f aca="false">K6/SUM(K$3:K$10)</f>
        <v>0.0654249127955479</v>
      </c>
      <c r="L20" s="117" t="n">
        <f aca="false">L6/SUM(L$3:L$10)</f>
        <v>0.0637806933120637</v>
      </c>
      <c r="M20" s="79" t="n">
        <f aca="false">M6/SUM(M$3:M$10)</f>
        <v>0.0637672082017552</v>
      </c>
      <c r="N20" s="79" t="n">
        <f aca="false">N6/SUM(N$3:N$10)</f>
        <v>0.0643118949334828</v>
      </c>
      <c r="O20" s="117" t="n">
        <f aca="false">O6/SUM(O$3:O$10)</f>
        <v>0.0708795736551955</v>
      </c>
      <c r="P20" s="178" t="n">
        <f aca="false">P6/SUM(P$3:P$10)</f>
        <v>0.071890134509745</v>
      </c>
      <c r="Q20" s="177" t="n">
        <f aca="false">Q6/SUM(Q$3:Q$10)</f>
        <v>0.0712012551363833</v>
      </c>
      <c r="R20" s="117" t="n">
        <f aca="false">R6/SUM(R$3:R$10)</f>
        <v>0.0638128698115</v>
      </c>
      <c r="S20" s="79" t="n">
        <f aca="false">S6/SUM(S$3:S$10)</f>
        <v>0.0660980311321864</v>
      </c>
      <c r="T20" s="117" t="n">
        <f aca="false">T6/SUM(T$3:T$10)</f>
        <v>0.0585994388743304</v>
      </c>
      <c r="U20" s="117" t="n">
        <f aca="false">U6/SUM(U$3:U$10)</f>
        <v>0.0477822388309925</v>
      </c>
      <c r="V20" s="79" t="n">
        <f aca="false">V6/SUM(V$3:V$10)</f>
        <v>0.0432316815828605</v>
      </c>
      <c r="W20" s="79" t="n">
        <f aca="false">W6/SUM(W$3:W$10)</f>
        <v>0.0397289265874446</v>
      </c>
      <c r="X20" s="176" t="n">
        <f aca="false">X6/SUM(X$3:X$10)</f>
        <v>0.0405765421069653</v>
      </c>
      <c r="Y20" s="177" t="n">
        <f aca="false">Y6/SUM(Y$3:Y$10)</f>
        <v>0.0476626106335925</v>
      </c>
      <c r="Z20" s="117" t="n">
        <f aca="false">Z6/SUM(Z$3:Z$10)</f>
        <v>0.044176479862046</v>
      </c>
      <c r="AA20" s="79" t="n">
        <f aca="false">AA6/SUM(AA$3:AA$10)</f>
        <v>0.0490353711370467</v>
      </c>
      <c r="AB20" s="117" t="n">
        <f aca="false">AB6/SUM(AB$3:AB$10)</f>
        <v>0.0524839878102753</v>
      </c>
      <c r="AC20" s="178" t="n">
        <f aca="false">AC6/SUM(AC$3:AC$10)</f>
        <v>0.0362897642851963</v>
      </c>
      <c r="AD20" s="177" t="n">
        <f aca="false">AD6/SUM(AD$3:AD$10)</f>
        <v>0.0400830884926463</v>
      </c>
      <c r="AE20" s="117" t="n">
        <f aca="false">AE6/SUM(AE$3:AE$10)</f>
        <v>0.0459864513382267</v>
      </c>
      <c r="AF20" s="79" t="n">
        <f aca="false">AF6/SUM(AF$3:AF$10)</f>
        <v>0.0492970392001863</v>
      </c>
      <c r="AG20" s="117" t="n">
        <f aca="false">AG6/SUM(AG$3:AG$10)</f>
        <v>0.0514277333983214</v>
      </c>
      <c r="AH20" s="117" t="n">
        <f aca="false">AH6/SUM(AH$3:AH$10)</f>
        <v>0.0523838505068834</v>
      </c>
      <c r="AI20" s="176" t="n">
        <f aca="false">AI6/SUM(AI$3:AI$10)</f>
        <v>0.0556934103232124</v>
      </c>
      <c r="AJ20" s="177" t="n">
        <f aca="false">AJ6/SUM(AJ$3:AJ$10)</f>
        <v>0.0549646702205283</v>
      </c>
      <c r="AK20" s="117" t="n">
        <f aca="false">AK6/SUM(AK$3:AK$10)</f>
        <v>0.0672237980982103</v>
      </c>
      <c r="AL20" s="117" t="n">
        <f aca="false">AL6/SUM(AL$3:AL$10)</f>
        <v>0.0639530263550737</v>
      </c>
      <c r="AM20" s="117" t="n">
        <f aca="false">AM6/SUM(AM$3:AM$10)</f>
        <v>0.0678568931086223</v>
      </c>
      <c r="AN20" s="178" t="n">
        <f aca="false">AN6/SUM(AN$3:AN$10)</f>
        <v>0.0711312332952851</v>
      </c>
      <c r="AO20" s="177" t="n">
        <f aca="false">AO6/SUM(AO$3:AO$10)</f>
        <v>0.0752086818735729</v>
      </c>
      <c r="AP20" s="117" t="n">
        <f aca="false">AP6/SUM(AP$3:AP$10)</f>
        <v>0.0876479149219938</v>
      </c>
      <c r="AQ20" s="117" t="n">
        <f aca="false">AQ6/SUM(AQ$3:AQ$10)</f>
        <v>0.0850012395492027</v>
      </c>
    </row>
    <row r="21" customFormat="false" ht="12.8" hidden="false" customHeight="false" outlineLevel="0" collapsed="false">
      <c r="A21" s="139" t="s">
        <v>191</v>
      </c>
      <c r="B21" s="118" t="n">
        <f aca="false">B7/SUM(B$3:B$10)</f>
        <v>0.0332372970770533</v>
      </c>
      <c r="C21" s="118" t="n">
        <f aca="false">C7/SUM(C$3:C$10)</f>
        <v>0.0362640659147622</v>
      </c>
      <c r="D21" s="117" t="n">
        <f aca="false">D7/SUM(D$3:D$10)</f>
        <v>0.0362652160339463</v>
      </c>
      <c r="E21" s="79" t="n">
        <f aca="false">E7/SUM(E$3:E$10)</f>
        <v>0.0358621789845383</v>
      </c>
      <c r="F21" s="117" t="n">
        <f aca="false">F7/SUM(F$3:F$10)</f>
        <v>0.0368706027979561</v>
      </c>
      <c r="G21" s="79" t="n">
        <f aca="false">G7/SUM(G$3:G$10)</f>
        <v>0.0392901355400332</v>
      </c>
      <c r="H21" s="117" t="n">
        <f aca="false">H7/SUM(H$3:H$10)</f>
        <v>0.0387982295655384</v>
      </c>
      <c r="I21" s="176" t="n">
        <f aca="false">I7/SUM(I$3:I$10)</f>
        <v>0.0396350419643216</v>
      </c>
      <c r="J21" s="177" t="n">
        <f aca="false">J7/SUM(J$3:J$10)</f>
        <v>0.0428300507690958</v>
      </c>
      <c r="K21" s="79" t="n">
        <f aca="false">K7/SUM(K$3:K$10)</f>
        <v>0.0442597048338488</v>
      </c>
      <c r="L21" s="117" t="n">
        <f aca="false">L7/SUM(L$3:L$10)</f>
        <v>0.0444452428973937</v>
      </c>
      <c r="M21" s="79" t="n">
        <f aca="false">M7/SUM(M$3:M$10)</f>
        <v>0.0444358458687313</v>
      </c>
      <c r="N21" s="79" t="n">
        <f aca="false">N7/SUM(N$3:N$10)</f>
        <v>0.0450282088768431</v>
      </c>
      <c r="O21" s="117" t="n">
        <f aca="false">O7/SUM(O$3:O$10)</f>
        <v>0.0478723048647555</v>
      </c>
      <c r="P21" s="178" t="n">
        <f aca="false">P7/SUM(P$3:P$10)</f>
        <v>0.0394064381051235</v>
      </c>
      <c r="Q21" s="177" t="n">
        <f aca="false">Q7/SUM(Q$3:Q$10)</f>
        <v>0.038194306280003</v>
      </c>
      <c r="R21" s="117" t="n">
        <f aca="false">R7/SUM(R$3:R$10)</f>
        <v>0.0347234356039103</v>
      </c>
      <c r="S21" s="79" t="n">
        <f aca="false">S7/SUM(S$3:S$10)</f>
        <v>0.0351397961914286</v>
      </c>
      <c r="T21" s="117" t="n">
        <f aca="false">T7/SUM(T$3:T$10)</f>
        <v>0.0310354235065553</v>
      </c>
      <c r="U21" s="117" t="n">
        <f aca="false">U7/SUM(U$3:U$10)</f>
        <v>0.0289125616140875</v>
      </c>
      <c r="V21" s="79" t="n">
        <f aca="false">V7/SUM(V$3:V$10)</f>
        <v>0.0293999590001668</v>
      </c>
      <c r="W21" s="79" t="n">
        <f aca="false">W7/SUM(W$3:W$10)</f>
        <v>0.0295075930545878</v>
      </c>
      <c r="X21" s="176" t="n">
        <f aca="false">X7/SUM(X$3:X$10)</f>
        <v>0.0291104870014828</v>
      </c>
      <c r="Y21" s="177" t="n">
        <f aca="false">Y7/SUM(Y$3:Y$10)</f>
        <v>0.0320446397458876</v>
      </c>
      <c r="Z21" s="117" t="n">
        <f aca="false">Z7/SUM(Z$3:Z$10)</f>
        <v>0.0308130683211131</v>
      </c>
      <c r="AA21" s="79" t="n">
        <f aca="false">AA7/SUM(AA$3:AA$10)</f>
        <v>0.0318017590723272</v>
      </c>
      <c r="AB21" s="117" t="n">
        <f aca="false">AB7/SUM(AB$3:AB$10)</f>
        <v>0.0326076082179311</v>
      </c>
      <c r="AC21" s="178" t="n">
        <f aca="false">AC7/SUM(AC$3:AC$10)</f>
        <v>0.0314985787382326</v>
      </c>
      <c r="AD21" s="177" t="n">
        <f aca="false">AD7/SUM(AD$3:AD$10)</f>
        <v>0.0343652864155293</v>
      </c>
      <c r="AE21" s="117" t="n">
        <f aca="false">AE7/SUM(AE$3:AE$10)</f>
        <v>0.0362526716602487</v>
      </c>
      <c r="AF21" s="79" t="n">
        <f aca="false">AF7/SUM(AF$3:AF$10)</f>
        <v>0.0346904439372989</v>
      </c>
      <c r="AG21" s="117" t="n">
        <f aca="false">AG7/SUM(AG$3:AG$10)</f>
        <v>0.0269455201852088</v>
      </c>
      <c r="AH21" s="117" t="n">
        <f aca="false">AH7/SUM(AH$3:AH$10)</f>
        <v>0.0399994019559235</v>
      </c>
      <c r="AI21" s="176" t="n">
        <f aca="false">AI7/SUM(AI$3:AI$10)</f>
        <v>0.0385743845481761</v>
      </c>
      <c r="AJ21" s="177" t="n">
        <f aca="false">AJ7/SUM(AJ$3:AJ$10)</f>
        <v>0.038546717341359</v>
      </c>
      <c r="AK21" s="117" t="n">
        <f aca="false">AK7/SUM(AK$3:AK$10)</f>
        <v>0.042311208690091</v>
      </c>
      <c r="AL21" s="117" t="n">
        <f aca="false">AL7/SUM(AL$3:AL$10)</f>
        <v>0.0425894528788007</v>
      </c>
      <c r="AM21" s="117" t="n">
        <f aca="false">AM7/SUM(AM$3:AM$10)</f>
        <v>0.0436484427224487</v>
      </c>
      <c r="AN21" s="178" t="n">
        <f aca="false">AN7/SUM(AN$3:AN$10)</f>
        <v>0.0408612947041139</v>
      </c>
      <c r="AO21" s="177" t="n">
        <f aca="false">AO7/SUM(AO$3:AO$10)</f>
        <v>0.0428829879603882</v>
      </c>
      <c r="AP21" s="117" t="n">
        <f aca="false">AP7/SUM(AP$3:AP$10)</f>
        <v>0.0397169838593932</v>
      </c>
      <c r="AQ21" s="117" t="n">
        <f aca="false">AQ7/SUM(AQ$3:AQ$10)</f>
        <v>0.0401253568739353</v>
      </c>
    </row>
    <row r="22" customFormat="false" ht="12.8" hidden="false" customHeight="false" outlineLevel="0" collapsed="false">
      <c r="A22" s="139" t="s">
        <v>197</v>
      </c>
      <c r="B22" s="118" t="n">
        <f aca="false">B8/SUM(B$3:B$10)</f>
        <v>0.0182286677639393</v>
      </c>
      <c r="C22" s="118" t="n">
        <f aca="false">C8/SUM(C$3:C$10)</f>
        <v>0.016624375005605</v>
      </c>
      <c r="D22" s="117" t="n">
        <f aca="false">D8/SUM(D$3:D$10)</f>
        <v>0.0166249022496449</v>
      </c>
      <c r="E22" s="79" t="n">
        <f aca="false">E8/SUM(E$3:E$10)</f>
        <v>0.016897751328479</v>
      </c>
      <c r="F22" s="117" t="n">
        <f aca="false">F8/SUM(F$3:F$10)</f>
        <v>0.0183457891175452</v>
      </c>
      <c r="G22" s="79" t="n">
        <f aca="false">G8/SUM(G$3:G$10)</f>
        <v>0.0152678873137259</v>
      </c>
      <c r="H22" s="117" t="n">
        <f aca="false">H8/SUM(H$3:H$10)</f>
        <v>0.0155128843305136</v>
      </c>
      <c r="I22" s="176" t="n">
        <f aca="false">I8/SUM(I$3:I$10)</f>
        <v>0.0158474710911476</v>
      </c>
      <c r="J22" s="177" t="n">
        <f aca="false">J8/SUM(J$3:J$10)</f>
        <v>0.0133684207337868</v>
      </c>
      <c r="K22" s="79" t="n">
        <f aca="false">K8/SUM(K$3:K$10)</f>
        <v>0.0133200007911639</v>
      </c>
      <c r="L22" s="117" t="n">
        <f aca="false">L8/SUM(L$3:L$10)</f>
        <v>0.0115701004323002</v>
      </c>
      <c r="M22" s="79" t="n">
        <f aca="false">M8/SUM(M$3:M$10)</f>
        <v>0.0115676541735264</v>
      </c>
      <c r="N22" s="79" t="n">
        <f aca="false">N8/SUM(N$3:N$10)</f>
        <v>0.0117597944627084</v>
      </c>
      <c r="O22" s="117" t="n">
        <f aca="false">O8/SUM(O$3:O$10)</f>
        <v>0.0104020101320262</v>
      </c>
      <c r="P22" s="178" t="n">
        <f aca="false">P8/SUM(P$3:P$10)</f>
        <v>0.0102353812974442</v>
      </c>
      <c r="Q22" s="177" t="n">
        <f aca="false">Q8/SUM(Q$3:Q$10)</f>
        <v>0.011972789166927</v>
      </c>
      <c r="R22" s="117" t="n">
        <f aca="false">R8/SUM(R$3:R$10)</f>
        <v>0.0116462526773204</v>
      </c>
      <c r="S22" s="79" t="n">
        <f aca="false">S8/SUM(S$3:S$10)</f>
        <v>0.0117186998588005</v>
      </c>
      <c r="T22" s="117" t="n">
        <f aca="false">T8/SUM(T$3:T$10)</f>
        <v>0.0103118649604386</v>
      </c>
      <c r="U22" s="117" t="n">
        <f aca="false">U8/SUM(U$3:U$10)</f>
        <v>0.00872347925141556</v>
      </c>
      <c r="V22" s="79" t="n">
        <f aca="false">V8/SUM(V$3:V$10)</f>
        <v>0.00892471773830068</v>
      </c>
      <c r="W22" s="79" t="n">
        <f aca="false">W8/SUM(W$3:W$10)</f>
        <v>0.00895739137416294</v>
      </c>
      <c r="X22" s="176" t="n">
        <f aca="false">X8/SUM(X$3:X$10)</f>
        <v>0.00862476068752889</v>
      </c>
      <c r="Y22" s="177" t="n">
        <f aca="false">Y8/SUM(Y$3:Y$10)</f>
        <v>0.00890518615419018</v>
      </c>
      <c r="Z22" s="117" t="n">
        <f aca="false">Z8/SUM(Z$3:Z$10)</f>
        <v>0.00904806340231131</v>
      </c>
      <c r="AA22" s="79" t="n">
        <f aca="false">AA8/SUM(AA$3:AA$10)</f>
        <v>0.00862051709412475</v>
      </c>
      <c r="AB22" s="117" t="n">
        <f aca="false">AB8/SUM(AB$3:AB$10)</f>
        <v>0.00985706606879043</v>
      </c>
      <c r="AC22" s="178" t="n">
        <f aca="false">AC8/SUM(AC$3:AC$10)</f>
        <v>0.0115999482521646</v>
      </c>
      <c r="AD22" s="177" t="n">
        <f aca="false">AD8/SUM(AD$3:AD$10)</f>
        <v>0.0111638132244054</v>
      </c>
      <c r="AE22" s="117" t="n">
        <f aca="false">AE8/SUM(AE$3:AE$10)</f>
        <v>0.010430093621261</v>
      </c>
      <c r="AF22" s="79" t="n">
        <f aca="false">AF8/SUM(AF$3:AF$10)</f>
        <v>0.0105994630118223</v>
      </c>
      <c r="AG22" s="117" t="n">
        <f aca="false">AG8/SUM(AG$3:AG$10)</f>
        <v>0.0109068028860039</v>
      </c>
      <c r="AH22" s="117" t="n">
        <f aca="false">AH8/SUM(AH$3:AH$10)</f>
        <v>0.0123455932669746</v>
      </c>
      <c r="AI22" s="176" t="n">
        <f aca="false">AI8/SUM(AI$3:AI$10)</f>
        <v>0.0105575282223247</v>
      </c>
      <c r="AJ22" s="177" t="n">
        <f aca="false">AJ8/SUM(AJ$3:AJ$10)</f>
        <v>0.010319554046058</v>
      </c>
      <c r="AK22" s="117" t="n">
        <f aca="false">AK8/SUM(AK$3:AK$10)</f>
        <v>0.0108553931477797</v>
      </c>
      <c r="AL22" s="117" t="n">
        <f aca="false">AL8/SUM(AL$3:AL$10)</f>
        <v>0.0114756326456893</v>
      </c>
      <c r="AM22" s="117" t="n">
        <f aca="false">AM8/SUM(AM$3:AM$10)</f>
        <v>0.0115951608337923</v>
      </c>
      <c r="AN22" s="178" t="n">
        <f aca="false">AN8/SUM(AN$3:AN$10)</f>
        <v>0.0118072302264394</v>
      </c>
      <c r="AO22" s="177" t="n">
        <f aca="false">AO8/SUM(AO$3:AO$10)</f>
        <v>0.0115056031951202</v>
      </c>
      <c r="AP22" s="117" t="n">
        <f aca="false">AP8/SUM(AP$3:AP$10)</f>
        <v>0.0090218142783819</v>
      </c>
      <c r="AQ22" s="117" t="n">
        <f aca="false">AQ8/SUM(AQ$3:AQ$10)</f>
        <v>0.00955005149762871</v>
      </c>
    </row>
    <row r="23" customFormat="false" ht="12.8" hidden="false" customHeight="false" outlineLevel="0" collapsed="false">
      <c r="A23" s="139" t="s">
        <v>198</v>
      </c>
      <c r="B23" s="118" t="n">
        <f aca="false">B9/SUM(B$3:B$10)</f>
        <v>0.0118214246499991</v>
      </c>
      <c r="C23" s="118" t="n">
        <f aca="false">C9/SUM(C$3:C$10)</f>
        <v>0.0118303825307312</v>
      </c>
      <c r="D23" s="117" t="n">
        <f aca="false">D9/SUM(D$3:D$10)</f>
        <v>0.011830757732727</v>
      </c>
      <c r="E23" s="79" t="n">
        <f aca="false">E9/SUM(E$3:E$10)</f>
        <v>0.0120249249705736</v>
      </c>
      <c r="F23" s="117" t="n">
        <f aca="false">F9/SUM(F$3:F$10)</f>
        <v>0.0122394283440455</v>
      </c>
      <c r="G23" s="79" t="n">
        <f aca="false">G9/SUM(G$3:G$10)</f>
        <v>0.01358133368146</v>
      </c>
      <c r="H23" s="117" t="n">
        <f aca="false">H9/SUM(H$3:H$10)</f>
        <v>0.0137992673200562</v>
      </c>
      <c r="I23" s="176" t="n">
        <f aca="false">I9/SUM(I$3:I$10)</f>
        <v>0.0140968942508944</v>
      </c>
      <c r="J23" s="177" t="n">
        <f aca="false">J9/SUM(J$3:J$10)</f>
        <v>0.00998901959394515</v>
      </c>
      <c r="K23" s="79" t="n">
        <f aca="false">K9/SUM(K$3:K$10)</f>
        <v>0.0142183424594293</v>
      </c>
      <c r="L23" s="117" t="n">
        <f aca="false">L9/SUM(L$3:L$10)</f>
        <v>0.0142779461946246</v>
      </c>
      <c r="M23" s="79" t="n">
        <f aca="false">M9/SUM(M$3:M$10)</f>
        <v>0.0142749274177908</v>
      </c>
      <c r="N23" s="79" t="n">
        <f aca="false">N9/SUM(N$3:N$10)</f>
        <v>0.0145120358791055</v>
      </c>
      <c r="O23" s="117" t="n">
        <f aca="false">O9/SUM(O$3:O$10)</f>
        <v>0.015378883059535</v>
      </c>
      <c r="P23" s="178" t="n">
        <f aca="false">P9/SUM(P$3:P$10)</f>
        <v>0.0158891566675593</v>
      </c>
      <c r="Q23" s="177" t="n">
        <f aca="false">Q9/SUM(Q$3:Q$10)</f>
        <v>0.0159753384439399</v>
      </c>
      <c r="R23" s="117" t="n">
        <f aca="false">R9/SUM(R$3:R$10)</f>
        <v>0.0160163156151226</v>
      </c>
      <c r="S23" s="79" t="n">
        <f aca="false">S9/SUM(S$3:S$10)</f>
        <v>0.0161159473985091</v>
      </c>
      <c r="T23" s="117" t="n">
        <f aca="false">T9/SUM(T$3:T$10)</f>
        <v>0.0146992278082159</v>
      </c>
      <c r="U23" s="117" t="n">
        <f aca="false">U9/SUM(U$3:U$10)</f>
        <v>0.0131713206962439</v>
      </c>
      <c r="V23" s="79" t="n">
        <f aca="false">V9/SUM(V$3:V$10)</f>
        <v>0.0136548335376638</v>
      </c>
      <c r="W23" s="79" t="n">
        <f aca="false">W9/SUM(W$3:W$10)</f>
        <v>0.0137048242569058</v>
      </c>
      <c r="X23" s="176" t="n">
        <f aca="false">X9/SUM(X$3:X$10)</f>
        <v>0.0135203880455519</v>
      </c>
      <c r="Y23" s="177" t="n">
        <f aca="false">Y9/SUM(Y$3:Y$10)</f>
        <v>0.0135796845650594</v>
      </c>
      <c r="Z23" s="117" t="n">
        <f aca="false">Z9/SUM(Z$3:Z$10)</f>
        <v>0.0137975607472542</v>
      </c>
      <c r="AA23" s="79" t="n">
        <f aca="false">AA9/SUM(AA$3:AA$10)</f>
        <v>0.0141204173886172</v>
      </c>
      <c r="AB23" s="117" t="n">
        <f aca="false">AB9/SUM(AB$3:AB$10)</f>
        <v>0.0159260480131924</v>
      </c>
      <c r="AC23" s="178" t="n">
        <f aca="false">AC9/SUM(AC$3:AC$10)</f>
        <v>0.0165179672650651</v>
      </c>
      <c r="AD23" s="177" t="n">
        <f aca="false">AD9/SUM(AD$3:AD$10)</f>
        <v>0.0166728987428662</v>
      </c>
      <c r="AE23" s="117" t="n">
        <f aca="false">AE9/SUM(AE$3:AE$10)</f>
        <v>0.016222887946367</v>
      </c>
      <c r="AF23" s="79" t="n">
        <f aca="false">AF9/SUM(AF$3:AF$10)</f>
        <v>0.0164863238026875</v>
      </c>
      <c r="AG23" s="117" t="n">
        <f aca="false">AG9/SUM(AG$3:AG$10)</f>
        <v>0.0169643578953188</v>
      </c>
      <c r="AH23" s="117" t="n">
        <f aca="false">AH9/SUM(AH$3:AH$10)</f>
        <v>0.0179802806430225</v>
      </c>
      <c r="AI23" s="176" t="n">
        <f aca="false">AI9/SUM(AI$3:AI$10)</f>
        <v>0.0153761197399747</v>
      </c>
      <c r="AJ23" s="177" t="n">
        <f aca="false">AJ9/SUM(AJ$3:AJ$10)</f>
        <v>0.0150295310923062</v>
      </c>
      <c r="AK23" s="117" t="n">
        <f aca="false">AK9/SUM(AK$3:AK$10)</f>
        <v>0.0158099340442028</v>
      </c>
      <c r="AL23" s="117" t="n">
        <f aca="false">AL9/SUM(AL$3:AL$10)</f>
        <v>0.0162455829447817</v>
      </c>
      <c r="AM23" s="117" t="n">
        <f aca="false">AM9/SUM(AM$3:AM$10)</f>
        <v>0.0164147941032442</v>
      </c>
      <c r="AN23" s="178" t="n">
        <f aca="false">AN9/SUM(AN$3:AN$10)</f>
        <v>0.0164247368801444</v>
      </c>
      <c r="AO23" s="177" t="n">
        <f aca="false">AO9/SUM(AO$3:AO$10)</f>
        <v>0.0167569083106699</v>
      </c>
      <c r="AP23" s="117" t="n">
        <f aca="false">AP9/SUM(AP$3:AP$10)</f>
        <v>0.0146173787788016</v>
      </c>
      <c r="AQ23" s="117" t="n">
        <f aca="false">AQ9/SUM(AQ$3:AQ$10)</f>
        <v>0.0150958463391421</v>
      </c>
    </row>
    <row r="24" customFormat="false" ht="12.8" hidden="false" customHeight="false" outlineLevel="0" collapsed="false">
      <c r="A24" s="139" t="s">
        <v>199</v>
      </c>
      <c r="B24" s="118" t="n">
        <f aca="false">B10/SUM(B$3:B$10)</f>
        <v>0.00523919473001179</v>
      </c>
      <c r="C24" s="118" t="n">
        <f aca="false">C10/SUM(C$3:C$10)</f>
        <v>0.00524316481677487</v>
      </c>
      <c r="D24" s="117" t="n">
        <f aca="false">D10/SUM(D$3:D$10)</f>
        <v>0.0052433311043736</v>
      </c>
      <c r="E24" s="79" t="n">
        <f aca="false">E10/SUM(E$3:E$10)</f>
        <v>0.0046037407465803</v>
      </c>
      <c r="F24" s="117" t="n">
        <f aca="false">F10/SUM(F$3:F$10)</f>
        <v>0.00468586333139045</v>
      </c>
      <c r="G24" s="79" t="n">
        <f aca="false">G10/SUM(G$3:G$10)</f>
        <v>0.00519961159136103</v>
      </c>
      <c r="H24" s="117" t="n">
        <f aca="false">H10/SUM(H$3:H$10)</f>
        <v>0.00528304745266668</v>
      </c>
      <c r="I24" s="176" t="n">
        <f aca="false">I10/SUM(I$3:I$10)</f>
        <v>0.00539699387912111</v>
      </c>
      <c r="J24" s="177" t="n">
        <f aca="false">J10/SUM(J$3:J$10)</f>
        <v>0.00546327810604932</v>
      </c>
      <c r="K24" s="79" t="n">
        <f aca="false">K10/SUM(K$3:K$10)</f>
        <v>0.00544349030779732</v>
      </c>
      <c r="L24" s="117" t="n">
        <f aca="false">L10/SUM(L$3:L$10)</f>
        <v>0.00546630958900187</v>
      </c>
      <c r="M24" s="79" t="n">
        <f aca="false">M10/SUM(M$3:M$10)</f>
        <v>0.00546515385073751</v>
      </c>
      <c r="N24" s="79" t="n">
        <f aca="false">N10/SUM(N$3:N$10)</f>
        <v>0.00555593079008514</v>
      </c>
      <c r="O24" s="117" t="n">
        <f aca="false">O10/SUM(O$3:O$10)</f>
        <v>0.00588780310491181</v>
      </c>
      <c r="P24" s="178" t="n">
        <f aca="false">P10/SUM(P$3:P$10)</f>
        <v>0.00579348693359808</v>
      </c>
      <c r="Q24" s="177" t="n">
        <f aca="false">Q10/SUM(Q$3:Q$10)</f>
        <v>0.00582491043868532</v>
      </c>
      <c r="R24" s="117" t="n">
        <f aca="false">R10/SUM(R$3:R$10)</f>
        <v>0.00583985149004442</v>
      </c>
      <c r="S24" s="79" t="n">
        <f aca="false">S10/SUM(S$3:S$10)</f>
        <v>0.00587617912198219</v>
      </c>
      <c r="T24" s="117" t="n">
        <f aca="false">T10/SUM(T$3:T$10)</f>
        <v>0.00523497413252153</v>
      </c>
      <c r="U24" s="117" t="n">
        <f aca="false">U10/SUM(U$3:U$10)</f>
        <v>0.00469082621452014</v>
      </c>
      <c r="V24" s="79" t="n">
        <f aca="false">V10/SUM(V$3:V$10)</f>
        <v>0.00486302418645442</v>
      </c>
      <c r="W24" s="79" t="n">
        <f aca="false">W10/SUM(W$3:W$10)</f>
        <v>0.0048808278510763</v>
      </c>
      <c r="X24" s="176" t="n">
        <f aca="false">X10/SUM(X$3:X$10)</f>
        <v>0.00481514284992284</v>
      </c>
      <c r="Y24" s="177" t="n">
        <f aca="false">Y10/SUM(Y$3:Y$10)</f>
        <v>0.00519898022739096</v>
      </c>
      <c r="Z24" s="117" t="n">
        <f aca="false">Z10/SUM(Z$3:Z$10)</f>
        <v>0.00417835674120377</v>
      </c>
      <c r="AA24" s="79" t="n">
        <f aca="false">AA10/SUM(AA$3:AA$10)</f>
        <v>0.00427399139142379</v>
      </c>
      <c r="AB24" s="117" t="n">
        <f aca="false">AB10/SUM(AB$3:AB$10)</f>
        <v>0.00482052266830705</v>
      </c>
      <c r="AC24" s="178" t="n">
        <f aca="false">AC10/SUM(AC$3:AC$10)</f>
        <v>0.00499968577073498</v>
      </c>
      <c r="AD24" s="177" t="n">
        <f aca="false">AD10/SUM(AD$3:AD$10)</f>
        <v>0.00531484629278456</v>
      </c>
      <c r="AE24" s="117" t="n">
        <f aca="false">AE10/SUM(AE$3:AE$10)</f>
        <v>0.00447985456705764</v>
      </c>
      <c r="AF24" s="79" t="n">
        <f aca="false">AF10/SUM(AF$3:AF$10)</f>
        <v>0.00455260082086683</v>
      </c>
      <c r="AG24" s="117" t="n">
        <f aca="false">AG10/SUM(AG$3:AG$10)</f>
        <v>0.00468460710853665</v>
      </c>
      <c r="AH24" s="117" t="n">
        <f aca="false">AH10/SUM(AH$3:AH$10)</f>
        <v>0.00496514816732498</v>
      </c>
      <c r="AI24" s="176" t="n">
        <f aca="false">AI10/SUM(AI$3:AI$10)</f>
        <v>0.004246024534502</v>
      </c>
      <c r="AJ24" s="177" t="n">
        <f aca="false">AJ10/SUM(AJ$3:AJ$10)</f>
        <v>0.00415031612911318</v>
      </c>
      <c r="AK24" s="117" t="n">
        <f aca="false">AK10/SUM(AK$3:AK$10)</f>
        <v>0.0043658197891124</v>
      </c>
      <c r="AL24" s="117" t="n">
        <f aca="false">AL10/SUM(AL$3:AL$10)</f>
        <v>0.0044861216566556</v>
      </c>
      <c r="AM24" s="117" t="n">
        <f aca="false">AM10/SUM(AM$3:AM$10)</f>
        <v>0.00453284831737971</v>
      </c>
      <c r="AN24" s="178" t="n">
        <f aca="false">AN10/SUM(AN$3:AN$10)</f>
        <v>0.00453559395642086</v>
      </c>
      <c r="AO24" s="177" t="n">
        <f aca="false">AO10/SUM(AO$3:AO$10)</f>
        <v>0.00462732113255653</v>
      </c>
      <c r="AP24" s="117" t="n">
        <f aca="false">AP10/SUM(AP$3:AP$10)</f>
        <v>0.004276318454088</v>
      </c>
      <c r="AQ24" s="117" t="n">
        <f aca="false">AQ10/SUM(AQ$3:AQ$10)</f>
        <v>0.0044162942793662</v>
      </c>
    </row>
    <row r="25" customFormat="false" ht="12.8" hidden="false" customHeight="false" outlineLevel="0" collapsed="false">
      <c r="B25" s="39"/>
      <c r="K25" s="40"/>
    </row>
    <row r="26" customFormat="false" ht="12.8" hidden="false" customHeight="false" outlineLevel="0" collapsed="false">
      <c r="A26" s="1" t="s">
        <v>99</v>
      </c>
      <c r="B26" s="39"/>
      <c r="K26" s="40"/>
    </row>
    <row r="27" customFormat="false" ht="12.8" hidden="false" customHeight="false" outlineLevel="0" collapsed="false">
      <c r="A27" s="139" t="s">
        <v>183</v>
      </c>
      <c r="B27" s="65" t="n">
        <f aca="false">B17*Ratio!B8</f>
        <v>0.952318888993412</v>
      </c>
      <c r="C27" s="65" t="n">
        <f aca="false">C17*Ratio!C8</f>
        <v>0.949561007561744</v>
      </c>
      <c r="D27" s="53" t="n">
        <f aca="false">D17*Ratio!D8</f>
        <v>0.950987508307418</v>
      </c>
      <c r="E27" s="94" t="n">
        <f aca="false">E17*Ratio!E8</f>
        <v>0.928037131618468</v>
      </c>
      <c r="F27" s="53" t="n">
        <f aca="false">F17*Ratio!F8</f>
        <v>0.915040182104299</v>
      </c>
      <c r="G27" s="94" t="n">
        <f aca="false">G17*Ratio!G8</f>
        <v>0.766828199544503</v>
      </c>
      <c r="H27" s="53" t="n">
        <f aca="false">H17*Ratio!H8</f>
        <v>0.732853369331276</v>
      </c>
      <c r="I27" s="66" t="n">
        <f aca="false">I17*Ratio!I8</f>
        <v>0.703828693616513</v>
      </c>
      <c r="J27" s="67" t="n">
        <f aca="false">J17*Ratio!J8</f>
        <v>0.697600744176542</v>
      </c>
      <c r="K27" s="94" t="n">
        <f aca="false">K17*Ratio!K8</f>
        <v>0.713694903330703</v>
      </c>
      <c r="L27" s="53" t="n">
        <f aca="false">L17*Ratio!L8</f>
        <v>0.672870248992995</v>
      </c>
      <c r="M27" s="94" t="n">
        <f aca="false">M17*Ratio!M8</f>
        <v>0.673243484847193</v>
      </c>
      <c r="N27" s="94" t="n">
        <f aca="false">N17*Ratio!N8</f>
        <v>0.684428769851354</v>
      </c>
      <c r="O27" s="53" t="n">
        <f aca="false">O17*Ratio!O8</f>
        <v>0.739957555536606</v>
      </c>
      <c r="P27" s="68" t="n">
        <f aca="false">P17*Ratio!P8</f>
        <v>0.945175393582105</v>
      </c>
      <c r="Q27" s="67" t="n">
        <f aca="false">Q17*Ratio!Q8</f>
        <v>0.934637955158156</v>
      </c>
      <c r="R27" s="53" t="n">
        <f aca="false">R17*Ratio!R8</f>
        <v>0.901863288590366</v>
      </c>
      <c r="S27" s="94" t="n">
        <f aca="false">S17*Ratio!S8</f>
        <v>0.950700387434421</v>
      </c>
      <c r="T27" s="53" t="n">
        <f aca="false">T17*Ratio!T8</f>
        <v>1.0680103865363</v>
      </c>
      <c r="U27" s="53" t="n">
        <f aca="false">U17*Ratio!U8</f>
        <v>1.23998563982838</v>
      </c>
      <c r="V27" s="94" t="n">
        <f aca="false">V17*Ratio!V8</f>
        <v>1.17425554846143</v>
      </c>
      <c r="W27" s="94" t="n">
        <f aca="false">W17*Ratio!W8</f>
        <v>1.16841985449272</v>
      </c>
      <c r="X27" s="66" t="n">
        <f aca="false">X17*Ratio!X8</f>
        <v>1.28077282509629</v>
      </c>
      <c r="Y27" s="67" t="n">
        <f aca="false">Y17*Ratio!Y8</f>
        <v>1.25325412451957</v>
      </c>
      <c r="Z27" s="53" t="n">
        <f aca="false">Z17*Ratio!Z8</f>
        <v>1.22850220240535</v>
      </c>
      <c r="AA27" s="94" t="n">
        <f aca="false">AA17*Ratio!AA8</f>
        <v>1.22761371949294</v>
      </c>
      <c r="AB27" s="53" t="n">
        <f aca="false">AB17*Ratio!AB8</f>
        <v>1.1812620237129</v>
      </c>
      <c r="AC27" s="68" t="n">
        <f aca="false">AC17*Ratio!AC8</f>
        <v>1.17047014066955</v>
      </c>
      <c r="AD27" s="67" t="n">
        <f aca="false">AD17*Ratio!AD8</f>
        <v>1.14077697783178</v>
      </c>
      <c r="AE27" s="53" t="n">
        <f aca="false">AE17*Ratio!AE8</f>
        <v>1.06989349770399</v>
      </c>
      <c r="AF27" s="94" t="n">
        <f aca="false">AF17*Ratio!AF8</f>
        <v>1.04490031062756</v>
      </c>
      <c r="AG27" s="53" t="n">
        <f aca="false">AG17*Ratio!AG8</f>
        <v>1.01864590900748</v>
      </c>
      <c r="AH27" s="53" t="n">
        <f aca="false">AH17*Ratio!AH8</f>
        <v>0.859293690795642</v>
      </c>
      <c r="AI27" s="66" t="n">
        <f aca="false">AI17*Ratio!AI8</f>
        <v>1.17266325106792</v>
      </c>
      <c r="AJ27" s="67" t="n">
        <f aca="false">AJ17*Ratio!AJ8</f>
        <v>1.20063911457629</v>
      </c>
      <c r="AK27" s="53" t="n">
        <f aca="false">AK17*Ratio!AK8</f>
        <v>1.08761730563766</v>
      </c>
      <c r="AL27" s="53" t="n">
        <f aca="false">AL17*Ratio!AL8</f>
        <v>1.01509418659912</v>
      </c>
      <c r="AM27" s="53" t="n">
        <f aca="false">AM17*Ratio!AM8</f>
        <v>0.956696652823569</v>
      </c>
      <c r="AN27" s="68" t="n">
        <f aca="false">AN17*Ratio!AN8</f>
        <v>0.817179193676156</v>
      </c>
      <c r="AO27" s="67" t="n">
        <f aca="false">AO17*Ratio!AO8</f>
        <v>0.752516717959007</v>
      </c>
      <c r="AP27" s="53" t="n">
        <f aca="false">AP17*Ratio!AP8</f>
        <v>0.732469631733215</v>
      </c>
      <c r="AQ27" s="53" t="n">
        <f aca="false">AQ17*Ratio!AQ8</f>
        <v>0.728434784889795</v>
      </c>
      <c r="AR27" s="53"/>
      <c r="AS27" s="53"/>
      <c r="AT27" s="53"/>
      <c r="AU27" s="53"/>
      <c r="AV27" s="53"/>
    </row>
    <row r="28" customFormat="false" ht="12.8" hidden="false" customHeight="false" outlineLevel="0" collapsed="false">
      <c r="A28" s="139" t="s">
        <v>31</v>
      </c>
      <c r="B28" s="65" t="n">
        <f aca="false">B18*Ratio!B10</f>
        <v>0.0146019462889726</v>
      </c>
      <c r="C28" s="65" t="n">
        <f aca="false">C18*Ratio!C10</f>
        <v>0.0129104260838965</v>
      </c>
      <c r="D28" s="53" t="n">
        <f aca="false">D18*Ratio!D10</f>
        <v>0.0129076086374432</v>
      </c>
      <c r="E28" s="94" t="n">
        <f aca="false">E18*Ratio!E10</f>
        <v>0.0118552698291168</v>
      </c>
      <c r="F28" s="53" t="n">
        <f aca="false">F18*Ratio!F10</f>
        <v>0.010286897401331</v>
      </c>
      <c r="G28" s="94" t="n">
        <f aca="false">G18*Ratio!G10</f>
        <v>0.0101368694539977</v>
      </c>
      <c r="H28" s="53" t="n">
        <f aca="false">H18*Ratio!H10</f>
        <v>0.0091800170306421</v>
      </c>
      <c r="I28" s="66" t="n">
        <f aca="false">I18*Ratio!I10</f>
        <v>0.00851487472195775</v>
      </c>
      <c r="J28" s="67" t="n">
        <f aca="false">J18*Ratio!J10</f>
        <v>0.00882559148665689</v>
      </c>
      <c r="K28" s="94" t="n">
        <f aca="false">K18*Ratio!K10</f>
        <v>0.010159906554027</v>
      </c>
      <c r="L28" s="53" t="n">
        <f aca="false">L18*Ratio!L10</f>
        <v>0.0101624159602885</v>
      </c>
      <c r="M28" s="94" t="n">
        <f aca="false">M18*Ratio!M10</f>
        <v>0.0101551297810833</v>
      </c>
      <c r="N28" s="94" t="n">
        <f aca="false">N18*Ratio!N10</f>
        <v>0.009416988720891</v>
      </c>
      <c r="O28" s="53" t="n">
        <f aca="false">O18*Ratio!O10</f>
        <v>0.00613071542375818</v>
      </c>
      <c r="P28" s="68" t="n">
        <f aca="false">P18*Ratio!P10</f>
        <v>0.0146813788267426</v>
      </c>
      <c r="Q28" s="67" t="n">
        <f aca="false">Q18*Ratio!Q10</f>
        <v>0.0163732061185368</v>
      </c>
      <c r="R28" s="53" t="n">
        <f aca="false">R18*Ratio!R10</f>
        <v>0.0182190113815201</v>
      </c>
      <c r="S28" s="94" t="n">
        <f aca="false">S18*Ratio!S10</f>
        <v>0.0186528788894136</v>
      </c>
      <c r="T28" s="53" t="n">
        <f aca="false">T18*Ratio!T10</f>
        <v>0.0142018376546634</v>
      </c>
      <c r="U28" s="53" t="n">
        <f aca="false">U18*Ratio!U10</f>
        <v>0.0237697458160443</v>
      </c>
      <c r="V28" s="94" t="n">
        <f aca="false">V18*Ratio!V10</f>
        <v>0.0225275779104989</v>
      </c>
      <c r="W28" s="94" t="n">
        <f aca="false">W18*Ratio!W10</f>
        <v>0.02261005198969</v>
      </c>
      <c r="X28" s="66" t="n">
        <f aca="false">X18*Ratio!X10</f>
        <v>0.0247771580174089</v>
      </c>
      <c r="Y28" s="67" t="n">
        <f aca="false">Y18*Ratio!Y10</f>
        <v>0.0278768536895086</v>
      </c>
      <c r="Z28" s="53" t="n">
        <f aca="false">Z18*Ratio!Z10</f>
        <v>0.0265881081589102</v>
      </c>
      <c r="AA28" s="94" t="n">
        <f aca="false">AA18*Ratio!AA10</f>
        <v>0.0282107401695218</v>
      </c>
      <c r="AB28" s="53" t="n">
        <f aca="false">AB18*Ratio!AB10</f>
        <v>0.0266419142073531</v>
      </c>
      <c r="AC28" s="68" t="n">
        <f aca="false">AC18*Ratio!AC10</f>
        <v>0.0134629969758905</v>
      </c>
      <c r="AD28" s="67" t="n">
        <f aca="false">AD18*Ratio!AD10</f>
        <v>0.0152027565790787</v>
      </c>
      <c r="AE28" s="53" t="n">
        <f aca="false">AE18*Ratio!AE10</f>
        <v>0.0151813653500025</v>
      </c>
      <c r="AF28" s="94" t="n">
        <f aca="false">AF18*Ratio!AF10</f>
        <v>0.0135278842322375</v>
      </c>
      <c r="AG28" s="53" t="n">
        <f aca="false">AG18*Ratio!AG10</f>
        <v>0.0131826035154601</v>
      </c>
      <c r="AH28" s="53" t="n">
        <f aca="false">AH18*Ratio!AH10</f>
        <v>0.0108517409793705</v>
      </c>
      <c r="AI28" s="66" t="n">
        <f aca="false">AI18*Ratio!AI10</f>
        <v>0.0211858951164835</v>
      </c>
      <c r="AJ28" s="67" t="n">
        <f aca="false">AJ18*Ratio!AJ10</f>
        <v>0.0206689771216845</v>
      </c>
      <c r="AK28" s="53" t="n">
        <f aca="false">AK18*Ratio!AK10</f>
        <v>0.0197039110743893</v>
      </c>
      <c r="AL28" s="53" t="n">
        <f aca="false">AL18*Ratio!AL10</f>
        <v>0.0174675436825446</v>
      </c>
      <c r="AM28" s="53" t="n">
        <f aca="false">AM18*Ratio!AM10</f>
        <v>0.0160085822238248</v>
      </c>
      <c r="AN28" s="68" t="n">
        <f aca="false">AN18*Ratio!AN10</f>
        <v>0.017224244901673</v>
      </c>
      <c r="AO28" s="67" t="n">
        <f aca="false">AO18*Ratio!AO10</f>
        <v>0.0162926977699824</v>
      </c>
      <c r="AP28" s="53" t="n">
        <f aca="false">AP18*Ratio!AP10</f>
        <v>0.0200664249741428</v>
      </c>
      <c r="AQ28" s="53" t="n">
        <f aca="false">AQ18*Ratio!AQ10</f>
        <v>0.0173632332085072</v>
      </c>
      <c r="AR28" s="53"/>
      <c r="AS28" s="53"/>
      <c r="AT28" s="53"/>
      <c r="AU28" s="53"/>
      <c r="AV28" s="53"/>
    </row>
    <row r="29" customFormat="false" ht="12.8" hidden="false" customHeight="false" outlineLevel="0" collapsed="false">
      <c r="A29" s="139" t="s">
        <v>184</v>
      </c>
      <c r="B29" s="65" t="n">
        <f aca="false">B19*Ratio!B11</f>
        <v>0.108595614909805</v>
      </c>
      <c r="C29" s="65" t="n">
        <f aca="false">C19*Ratio!C11</f>
        <v>0.0958996316572149</v>
      </c>
      <c r="D29" s="53" t="n">
        <f aca="false">D19*Ratio!D11</f>
        <v>0.0984811254004063</v>
      </c>
      <c r="E29" s="94" t="n">
        <f aca="false">E19*Ratio!E11</f>
        <v>0.0967561838999077</v>
      </c>
      <c r="F29" s="53" t="n">
        <f aca="false">F19*Ratio!F11</f>
        <v>0.0890058935662088</v>
      </c>
      <c r="G29" s="94" t="n">
        <f aca="false">G19*Ratio!G11</f>
        <v>0.117291278301294</v>
      </c>
      <c r="H29" s="53" t="n">
        <f aca="false">H19*Ratio!H11</f>
        <v>0.103204911219326</v>
      </c>
      <c r="I29" s="66" t="n">
        <f aca="false">I19*Ratio!I11</f>
        <v>0.102679452860626</v>
      </c>
      <c r="J29" s="67" t="n">
        <f aca="false">J19*Ratio!J11</f>
        <v>0.0836224321068571</v>
      </c>
      <c r="K29" s="94" t="n">
        <f aca="false">K19*Ratio!K11</f>
        <v>0.0698709359765705</v>
      </c>
      <c r="L29" s="53" t="n">
        <f aca="false">L19*Ratio!L11</f>
        <v>0.0698594113967991</v>
      </c>
      <c r="M29" s="94" t="n">
        <f aca="false">M19*Ratio!M11</f>
        <v>0.0694940405024013</v>
      </c>
      <c r="N29" s="94" t="n">
        <f aca="false">N19*Ratio!N11</f>
        <v>0.0706624755163063</v>
      </c>
      <c r="O29" s="53" t="n">
        <f aca="false">O19*Ratio!O11</f>
        <v>0.0798495645569684</v>
      </c>
      <c r="P29" s="68" t="n">
        <f aca="false">P19*Ratio!P11</f>
        <v>0.0786070881663393</v>
      </c>
      <c r="Q29" s="67" t="n">
        <f aca="false">Q19*Ratio!Q11</f>
        <v>0.0685925351026617</v>
      </c>
      <c r="R29" s="53" t="n">
        <f aca="false">R19*Ratio!R11</f>
        <v>0.0640057641270833</v>
      </c>
      <c r="S29" s="94" t="n">
        <f aca="false">S19*Ratio!S11</f>
        <v>0.0536077644240908</v>
      </c>
      <c r="T29" s="53" t="n">
        <f aca="false">T19*Ratio!T11</f>
        <v>0.0493892868077018</v>
      </c>
      <c r="U29" s="53" t="n">
        <f aca="false">U19*Ratio!U11</f>
        <v>0.044457454361023</v>
      </c>
      <c r="V29" s="94" t="n">
        <f aca="false">V19*Ratio!V11</f>
        <v>0.0444606093787953</v>
      </c>
      <c r="W29" s="94" t="n">
        <f aca="false">W19*Ratio!W11</f>
        <v>0.0444727571902507</v>
      </c>
      <c r="X29" s="66" t="n">
        <f aca="false">X19*Ratio!X11</f>
        <v>0.0487353382856068</v>
      </c>
      <c r="Y29" s="67" t="n">
        <f aca="false">Y19*Ratio!Y11</f>
        <v>0.0518514824274392</v>
      </c>
      <c r="Z29" s="53" t="n">
        <f aca="false">Z19*Ratio!Z11</f>
        <v>0.0527988857748702</v>
      </c>
      <c r="AA29" s="94" t="n">
        <f aca="false">AA19*Ratio!AA11</f>
        <v>0.0539722700528142</v>
      </c>
      <c r="AB29" s="53" t="n">
        <f aca="false">AB19*Ratio!AB11</f>
        <v>0.0565940348668787</v>
      </c>
      <c r="AC29" s="68" t="n">
        <f aca="false">AC19*Ratio!AC11</f>
        <v>0.0377776478961722</v>
      </c>
      <c r="AD29" s="67" t="n">
        <f aca="false">AD19*Ratio!AD11</f>
        <v>0.0397235091842479</v>
      </c>
      <c r="AE29" s="53" t="n">
        <f aca="false">AE19*Ratio!AE11</f>
        <v>0.0375345397791797</v>
      </c>
      <c r="AF29" s="94" t="n">
        <f aca="false">AF19*Ratio!AF11</f>
        <v>0.0381344169440004</v>
      </c>
      <c r="AG29" s="53" t="n">
        <f aca="false">AG19*Ratio!AG11</f>
        <v>0.0304547776817704</v>
      </c>
      <c r="AH29" s="53" t="n">
        <f aca="false">AH19*Ratio!AH11</f>
        <v>0.0288789992321371</v>
      </c>
      <c r="AI29" s="66" t="n">
        <f aca="false">AI19*Ratio!AI11</f>
        <v>0.044716162146569</v>
      </c>
      <c r="AJ29" s="67" t="n">
        <f aca="false">AJ19*Ratio!AJ11</f>
        <v>0.0446636110201046</v>
      </c>
      <c r="AK29" s="53" t="n">
        <f aca="false">AK19*Ratio!AK11</f>
        <v>0.038276586952196</v>
      </c>
      <c r="AL29" s="53" t="n">
        <f aca="false">AL19*Ratio!AL11</f>
        <v>0.0360966504487</v>
      </c>
      <c r="AM29" s="53" t="n">
        <f aca="false">AM19*Ratio!AM11</f>
        <v>0.0339012331349401</v>
      </c>
      <c r="AN29" s="68" t="n">
        <f aca="false">AN19*Ratio!AN11</f>
        <v>0.026416203427476</v>
      </c>
      <c r="AO29" s="67" t="n">
        <f aca="false">AO19*Ratio!AO11</f>
        <v>0.0235100708710446</v>
      </c>
      <c r="AP29" s="53" t="n">
        <f aca="false">AP19*Ratio!AP11</f>
        <v>0.0264200523392369</v>
      </c>
      <c r="AQ29" s="53" t="n">
        <f aca="false">AQ19*Ratio!AQ11</f>
        <v>0.0260786957878871</v>
      </c>
      <c r="AR29" s="53"/>
      <c r="AS29" s="53"/>
      <c r="AT29" s="53"/>
      <c r="AU29" s="53"/>
      <c r="AV29" s="53"/>
    </row>
    <row r="30" customFormat="false" ht="12.8" hidden="false" customHeight="false" outlineLevel="0" collapsed="false">
      <c r="A30" s="139" t="s">
        <v>187</v>
      </c>
      <c r="B30" s="65" t="n">
        <f aca="false">B20*Ratio!B15</f>
        <v>0.0141007853090515</v>
      </c>
      <c r="C30" s="65" t="n">
        <f aca="false">C20*Ratio!C15</f>
        <v>0.0145276731276212</v>
      </c>
      <c r="D30" s="53" t="n">
        <f aca="false">D20*Ratio!D15</f>
        <v>0.0145281338745105</v>
      </c>
      <c r="E30" s="94" t="n">
        <f aca="false">E20*Ratio!E15</f>
        <v>0.0140642219889402</v>
      </c>
      <c r="F30" s="53" t="n">
        <f aca="false">F20*Ratio!F15</f>
        <v>0.0148160329542018</v>
      </c>
      <c r="G30" s="94" t="n">
        <f aca="false">G20*Ratio!G15</f>
        <v>0.0148262555917703</v>
      </c>
      <c r="H30" s="53" t="n">
        <f aca="false">H20*Ratio!H15</f>
        <v>0.0113942366052424</v>
      </c>
      <c r="I30" s="66" t="n">
        <f aca="false">I20*Ratio!I15</f>
        <v>0.0138351977174034</v>
      </c>
      <c r="J30" s="67" t="n">
        <f aca="false">J20*Ratio!J15</f>
        <v>0.0107438068128567</v>
      </c>
      <c r="K30" s="94" t="n">
        <f aca="false">K20*Ratio!K15</f>
        <v>0.0111804004455803</v>
      </c>
      <c r="L30" s="53" t="n">
        <f aca="false">L20*Ratio!L15</f>
        <v>0.0105811471701739</v>
      </c>
      <c r="M30" s="94" t="n">
        <f aca="false">M20*Ratio!M15</f>
        <v>0.0105789100051422</v>
      </c>
      <c r="N30" s="94" t="n">
        <f aca="false">N20*Ratio!N15</f>
        <v>0.0105845961680701</v>
      </c>
      <c r="O30" s="53" t="n">
        <f aca="false">O20*Ratio!O15</f>
        <v>0.0121321402683038</v>
      </c>
      <c r="P30" s="68" t="n">
        <f aca="false">P20*Ratio!P15</f>
        <v>0.0199263634325113</v>
      </c>
      <c r="Q30" s="67" t="n">
        <f aca="false">Q20*Ratio!Q15</f>
        <v>0.0194408627023616</v>
      </c>
      <c r="R30" s="53" t="n">
        <f aca="false">R20*Ratio!R15</f>
        <v>0.0155755802972373</v>
      </c>
      <c r="S30" s="94" t="n">
        <f aca="false">S20*Ratio!S15</f>
        <v>0.0166077770974736</v>
      </c>
      <c r="T30" s="53" t="n">
        <f aca="false">T20*Ratio!T15</f>
        <v>0.0146521670430398</v>
      </c>
      <c r="U30" s="53" t="n">
        <f aca="false">U20*Ratio!U15</f>
        <v>0.0194484724810872</v>
      </c>
      <c r="V30" s="94" t="n">
        <f aca="false">V20*Ratio!V15</f>
        <v>0.0153567628805514</v>
      </c>
      <c r="W30" s="94" t="n">
        <f aca="false">W20*Ratio!W15</f>
        <v>0.0129217704940187</v>
      </c>
      <c r="X30" s="66" t="n">
        <f aca="false">X20*Ratio!X15</f>
        <v>0.0136628953938681</v>
      </c>
      <c r="Y30" s="67" t="n">
        <f aca="false">Y20*Ratio!Y15</f>
        <v>0.0174598029428176</v>
      </c>
      <c r="Z30" s="53" t="n">
        <f aca="false">Z20*Ratio!Z15</f>
        <v>0.0147622741356396</v>
      </c>
      <c r="AA30" s="94" t="n">
        <f aca="false">AA20*Ratio!AA15</f>
        <v>0.0177812324430889</v>
      </c>
      <c r="AB30" s="53" t="n">
        <f aca="false">AB20*Ratio!AB15</f>
        <v>0.0180607629028261</v>
      </c>
      <c r="AC30" s="68" t="n">
        <f aca="false">AC20*Ratio!AC15</f>
        <v>0.0062719995445553</v>
      </c>
      <c r="AD30" s="67" t="n">
        <f aca="false">AD20*Ratio!AD15</f>
        <v>0.00719800392829114</v>
      </c>
      <c r="AE30" s="53" t="n">
        <f aca="false">AE20*Ratio!AE15</f>
        <v>0.0092298060518104</v>
      </c>
      <c r="AF30" s="94" t="n">
        <f aca="false">AF20*Ratio!AF15</f>
        <v>0.0104370747933898</v>
      </c>
      <c r="AG30" s="53" t="n">
        <f aca="false">AG20*Ratio!AG15</f>
        <v>0.00879366043359881</v>
      </c>
      <c r="AH30" s="53" t="n">
        <f aca="false">AH20*Ratio!AH15</f>
        <v>0.00860816772582437</v>
      </c>
      <c r="AI30" s="66" t="n">
        <f aca="false">AI20*Ratio!AI15</f>
        <v>0.0113781910562195</v>
      </c>
      <c r="AJ30" s="67" t="n">
        <f aca="false">AJ20*Ratio!AJ15</f>
        <v>0.0113379404553987</v>
      </c>
      <c r="AK30" s="53" t="n">
        <f aca="false">AK20*Ratio!AK15</f>
        <v>0.0161223514469467</v>
      </c>
      <c r="AL30" s="53" t="n">
        <f aca="false">AL20*Ratio!AL15</f>
        <v>0.0163640239725951</v>
      </c>
      <c r="AM30" s="53" t="n">
        <f aca="false">AM20*Ratio!AM15</f>
        <v>0.0182328982406592</v>
      </c>
      <c r="AN30" s="68" t="n">
        <f aca="false">AN20*Ratio!AN15</f>
        <v>0.0200228300765176</v>
      </c>
      <c r="AO30" s="67" t="n">
        <f aca="false">AO20*Ratio!AO15</f>
        <v>0.0219404366465156</v>
      </c>
      <c r="AP30" s="53" t="n">
        <f aca="false">AP20*Ratio!AP15</f>
        <v>0.0322442359888557</v>
      </c>
      <c r="AQ30" s="53" t="n">
        <f aca="false">AQ20*Ratio!AQ15</f>
        <v>0.0293650987294829</v>
      </c>
      <c r="AR30" s="53"/>
      <c r="AS30" s="53"/>
      <c r="AT30" s="53"/>
      <c r="AU30" s="53"/>
      <c r="AV30" s="53"/>
    </row>
    <row r="31" customFormat="false" ht="12.8" hidden="false" customHeight="false" outlineLevel="0" collapsed="false">
      <c r="A31" s="139" t="s">
        <v>191</v>
      </c>
      <c r="B31" s="65" t="n">
        <f aca="false">B21*Ratio!B20</f>
        <v>0.492174014995176</v>
      </c>
      <c r="C31" s="65" t="n">
        <f aca="false">C21*Ratio!C20</f>
        <v>0.585452014518829</v>
      </c>
      <c r="D31" s="53" t="n">
        <f aca="false">D21*Ratio!D20</f>
        <v>0.585470582199432</v>
      </c>
      <c r="E31" s="94" t="n">
        <f aca="false">E21*Ratio!E20</f>
        <v>0.563284853843564</v>
      </c>
      <c r="F31" s="53" t="n">
        <f aca="false">F21*Ratio!F20</f>
        <v>0.584973837812379</v>
      </c>
      <c r="G31" s="94" t="n">
        <f aca="false">G21*Ratio!G20</f>
        <v>0.598634491406691</v>
      </c>
      <c r="H31" s="53" t="n">
        <f aca="false">H21*Ratio!H20</f>
        <v>0.574519654101444</v>
      </c>
      <c r="I31" s="66" t="n">
        <f aca="false">I21*Ratio!I20</f>
        <v>0.586911074413153</v>
      </c>
      <c r="J31" s="67" t="n">
        <f aca="false">J21*Ratio!J20</f>
        <v>1.64062938897591</v>
      </c>
      <c r="K31" s="94" t="n">
        <f aca="false">K21*Ratio!K20</f>
        <v>1.75835349831735</v>
      </c>
      <c r="L31" s="53" t="n">
        <f aca="false">L21*Ratio!L20</f>
        <v>1.76572457104208</v>
      </c>
      <c r="M31" s="94" t="n">
        <f aca="false">M21*Ratio!M20</f>
        <v>1.76535124504986</v>
      </c>
      <c r="N31" s="94" t="n">
        <f aca="false">N21*Ratio!N20</f>
        <v>1.78311409963919</v>
      </c>
      <c r="O31" s="53" t="n">
        <f aca="false">O21*Ratio!O20</f>
        <v>1.9018751943208</v>
      </c>
      <c r="P31" s="68" t="n">
        <f aca="false">P21*Ratio!P20</f>
        <v>1.30966719130962</v>
      </c>
      <c r="Q31" s="67" t="n">
        <f aca="false">Q21*Ratio!Q20</f>
        <v>1.49506693507553</v>
      </c>
      <c r="R31" s="53" t="n">
        <f aca="false">R21*Ratio!R20</f>
        <v>1.23252634319821</v>
      </c>
      <c r="S31" s="94" t="n">
        <f aca="false">S21*Ratio!S20</f>
        <v>1.25445788881278</v>
      </c>
      <c r="T31" s="53" t="n">
        <f aca="false">T21*Ratio!T20</f>
        <v>1.09838210412635</v>
      </c>
      <c r="U31" s="53" t="n">
        <f aca="false">U21*Ratio!U20</f>
        <v>1.06384029302756</v>
      </c>
      <c r="V31" s="94" t="n">
        <f aca="false">V21*Ratio!V20</f>
        <v>1.06105929984211</v>
      </c>
      <c r="W31" s="94" t="n">
        <f aca="false">W21*Ratio!W20</f>
        <v>0.585895666671741</v>
      </c>
      <c r="X31" s="66" t="n">
        <f aca="false">X21*Ratio!X20</f>
        <v>0.578010824445099</v>
      </c>
      <c r="Y31" s="67" t="n">
        <f aca="false">Y21*Ratio!Y20</f>
        <v>0.648692425074211</v>
      </c>
      <c r="Z31" s="53" t="n">
        <f aca="false">Z21*Ratio!Z20</f>
        <v>0.590317014120002</v>
      </c>
      <c r="AA31" s="94" t="n">
        <f aca="false">AA21*Ratio!AA20</f>
        <v>0.614737301675392</v>
      </c>
      <c r="AB31" s="53" t="n">
        <f aca="false">AB21*Ratio!AB20</f>
        <v>0.573013273899564</v>
      </c>
      <c r="AC31" s="68" t="n">
        <f aca="false">AC21*Ratio!AC20</f>
        <v>0.515537344304178</v>
      </c>
      <c r="AD31" s="67" t="n">
        <f aca="false">AD21*Ratio!AD20</f>
        <v>0.201927748139858</v>
      </c>
      <c r="AE31" s="53" t="n">
        <f aca="false">AE21*Ratio!AE20</f>
        <v>0.218916833524307</v>
      </c>
      <c r="AF31" s="94" t="n">
        <f aca="false">AF21*Ratio!AF20</f>
        <v>0.19725280178744</v>
      </c>
      <c r="AG31" s="53" t="n">
        <f aca="false">AG21*Ratio!AG20</f>
        <v>0.115654626113054</v>
      </c>
      <c r="AH31" s="53" t="n">
        <f aca="false">AH21*Ratio!AH20</f>
        <v>0.20650921461608</v>
      </c>
      <c r="AI31" s="66" t="n">
        <f aca="false">AI21*Ratio!AI20</f>
        <v>0.224584698726983</v>
      </c>
      <c r="AJ31" s="67" t="n">
        <f aca="false">AJ21*Ratio!AJ20</f>
        <v>0.229434261694049</v>
      </c>
      <c r="AK31" s="53" t="n">
        <f aca="false">AK21*Ratio!AK20</f>
        <v>0.262790529791384</v>
      </c>
      <c r="AL31" s="53" t="n">
        <f aca="false">AL21*Ratio!AL20</f>
        <v>0.259118085968701</v>
      </c>
      <c r="AM31" s="53" t="n">
        <f aca="false">AM21*Ratio!AM20</f>
        <v>0.269358678480502</v>
      </c>
      <c r="AN31" s="68" t="n">
        <f aca="false">AN21*Ratio!AN20</f>
        <v>0.206005456291474</v>
      </c>
      <c r="AO31" s="67" t="n">
        <f aca="false">AO21*Ratio!AO20</f>
        <v>0.222397079909058</v>
      </c>
      <c r="AP31" s="53" t="n">
        <f aca="false">AP21*Ratio!AP20</f>
        <v>0.206429198411598</v>
      </c>
      <c r="AQ31" s="53" t="n">
        <f aca="false">AQ21*Ratio!AQ20</f>
        <v>0.204017985931316</v>
      </c>
      <c r="AR31" s="53"/>
      <c r="AS31" s="53"/>
      <c r="AT31" s="53"/>
      <c r="AU31" s="53"/>
      <c r="AV31" s="53"/>
    </row>
    <row r="32" customFormat="false" ht="12.8" hidden="false" customHeight="false" outlineLevel="0" collapsed="false">
      <c r="A32" s="139" t="s">
        <v>197</v>
      </c>
      <c r="B32" s="65" t="n">
        <f aca="false">B22*Ratio!B26</f>
        <v>0.0171791031065092</v>
      </c>
      <c r="C32" s="65" t="n">
        <f aca="false">C22*Ratio!C26</f>
        <v>0.0142775047016601</v>
      </c>
      <c r="D32" s="53" t="n">
        <f aca="false">D22*Ratio!D26</f>
        <v>0.0142779575144279</v>
      </c>
      <c r="E32" s="94" t="n">
        <f aca="false">E22*Ratio!E26</f>
        <v>0.0145122883692471</v>
      </c>
      <c r="F32" s="53" t="n">
        <f aca="false">F22*Ratio!F26</f>
        <v>0.016806299764411</v>
      </c>
      <c r="G32" s="94" t="n">
        <f aca="false">G22*Ratio!G26</f>
        <v>0.0104900103772993</v>
      </c>
      <c r="H32" s="53" t="n">
        <f aca="false">H22*Ratio!H26</f>
        <v>0.0129684251192092</v>
      </c>
      <c r="I32" s="66" t="n">
        <f aca="false">I22*Ratio!I26</f>
        <v>0.0132481321845565</v>
      </c>
      <c r="J32" s="67" t="n">
        <f aca="false">J22*Ratio!J26</f>
        <v>0.00931308450631944</v>
      </c>
      <c r="K32" s="94" t="n">
        <f aca="false">K22*Ratio!K26</f>
        <v>0.00927935284673015</v>
      </c>
      <c r="L32" s="53" t="n">
        <f aca="false">L22*Ratio!L26</f>
        <v>0.00697214923990573</v>
      </c>
      <c r="M32" s="94" t="n">
        <f aca="false">M22*Ratio!M26</f>
        <v>0.00697067512294799</v>
      </c>
      <c r="N32" s="94" t="n">
        <f aca="false">N22*Ratio!N26</f>
        <v>0.0070864589727956</v>
      </c>
      <c r="O32" s="53" t="n">
        <f aca="false">O22*Ratio!O26</f>
        <v>0.00523200208582051</v>
      </c>
      <c r="P32" s="68" t="n">
        <f aca="false">P22*Ratio!P26</f>
        <v>0.00512393215157161</v>
      </c>
      <c r="Q32" s="67" t="n">
        <f aca="false">Q22*Ratio!Q26</f>
        <v>0.00697327460353605</v>
      </c>
      <c r="R32" s="53" t="n">
        <f aca="false">R22*Ratio!R26</f>
        <v>0.0065812132574725</v>
      </c>
      <c r="S32" s="94" t="n">
        <f aca="false">S22*Ratio!S26</f>
        <v>0.0066221526363812</v>
      </c>
      <c r="T32" s="53" t="n">
        <f aca="false">T22*Ratio!T26</f>
        <v>0.00575566149745528</v>
      </c>
      <c r="U32" s="53" t="n">
        <f aca="false">U22*Ratio!U26</f>
        <v>0.00509992131155219</v>
      </c>
      <c r="V32" s="94" t="n">
        <f aca="false">V22*Ratio!V26</f>
        <v>0.00514891714723156</v>
      </c>
      <c r="W32" s="94" t="n">
        <f aca="false">W22*Ratio!W26</f>
        <v>0.00516776747380622</v>
      </c>
      <c r="X32" s="66" t="n">
        <f aca="false">X22*Ratio!X26</f>
        <v>0.0048564428802164</v>
      </c>
      <c r="Y32" s="67" t="n">
        <f aca="false">Y22*Ratio!Y26</f>
        <v>0.00479513891242766</v>
      </c>
      <c r="Z32" s="53" t="n">
        <f aca="false">Z22*Ratio!Z26</f>
        <v>0.00487207343578334</v>
      </c>
      <c r="AA32" s="94" t="n">
        <f aca="false">AA22*Ratio!AA26</f>
        <v>0.00432355575301968</v>
      </c>
      <c r="AB32" s="53" t="n">
        <f aca="false">AB22*Ratio!AB26</f>
        <v>0.00501197940255363</v>
      </c>
      <c r="AC32" s="68" t="n">
        <f aca="false">AC22*Ratio!AC26</f>
        <v>0.00803073348208369</v>
      </c>
      <c r="AD32" s="67" t="n">
        <f aca="false">AD22*Ratio!AD26</f>
        <v>0.00699713469397421</v>
      </c>
      <c r="AE32" s="53" t="n">
        <f aca="false">AE22*Ratio!AE26</f>
        <v>0.00594996731033829</v>
      </c>
      <c r="AF32" s="94" t="n">
        <f aca="false">AF22*Ratio!AF26</f>
        <v>0.00604658603436945</v>
      </c>
      <c r="AG32" s="53" t="n">
        <f aca="false">AG22*Ratio!AG26</f>
        <v>0.00622191161350101</v>
      </c>
      <c r="AH32" s="53" t="n">
        <f aca="false">AH22*Ratio!AH26</f>
        <v>0.00731663877994771</v>
      </c>
      <c r="AI32" s="66" t="n">
        <f aca="false">AI22*Ratio!AI26</f>
        <v>0.00625693871014613</v>
      </c>
      <c r="AJ32" s="67" t="n">
        <f aca="false">AJ22*Ratio!AJ26</f>
        <v>0.00611590287257674</v>
      </c>
      <c r="AK32" s="53" t="n">
        <f aca="false">AK22*Ratio!AK26</f>
        <v>0.00643346891146101</v>
      </c>
      <c r="AL32" s="53" t="n">
        <f aca="false">AL22*Ratio!AL26</f>
        <v>0.006996842948933</v>
      </c>
      <c r="AM32" s="53" t="n">
        <f aca="false">AM22*Ratio!AM26</f>
        <v>0.00706972084472738</v>
      </c>
      <c r="AN32" s="68" t="n">
        <f aca="false">AN22*Ratio!AN26</f>
        <v>0.00740605792870244</v>
      </c>
      <c r="AO32" s="67" t="n">
        <f aca="false">AO22*Ratio!AO26</f>
        <v>0.00689309641896358</v>
      </c>
      <c r="AP32" s="53" t="n">
        <f aca="false">AP22*Ratio!AP26</f>
        <v>0.00458609382283235</v>
      </c>
      <c r="AQ32" s="53" t="n">
        <f aca="false">AQ22*Ratio!AQ26</f>
        <v>0.00497598006346708</v>
      </c>
      <c r="AR32" s="53"/>
      <c r="AS32" s="53"/>
      <c r="AT32" s="53"/>
      <c r="AU32" s="53"/>
      <c r="AV32" s="53"/>
    </row>
    <row r="33" customFormat="false" ht="12.8" hidden="false" customHeight="false" outlineLevel="0" collapsed="false">
      <c r="A33" s="139" t="s">
        <v>198</v>
      </c>
      <c r="B33" s="65" t="n">
        <f aca="false">B23*Ratio!B27</f>
        <v>0.128847983482759</v>
      </c>
      <c r="C33" s="65" t="n">
        <f aca="false">C23*Ratio!C27</f>
        <v>0.12894562018077</v>
      </c>
      <c r="D33" s="53" t="n">
        <f aca="false">D23*Ratio!D27</f>
        <v>0.128949709706523</v>
      </c>
      <c r="E33" s="94" t="n">
        <f aca="false">E23*Ratio!E27</f>
        <v>0.131066041518946</v>
      </c>
      <c r="F33" s="53" t="n">
        <f aca="false">F23*Ratio!F27</f>
        <v>0.133404027670396</v>
      </c>
      <c r="G33" s="94" t="n">
        <f aca="false">G23*Ratio!G27</f>
        <v>0.14803016638631</v>
      </c>
      <c r="H33" s="53" t="n">
        <f aca="false">H23*Ratio!H27</f>
        <v>0.157167142728296</v>
      </c>
      <c r="I33" s="66" t="n">
        <f aca="false">I23*Ratio!I27</f>
        <v>0.160556973016666</v>
      </c>
      <c r="J33" s="67" t="n">
        <f aca="false">J23*Ratio!J27</f>
        <v>0.0796391534620732</v>
      </c>
      <c r="K33" s="94" t="n">
        <f aca="false">K23*Ratio!K27</f>
        <v>0.161940210798946</v>
      </c>
      <c r="L33" s="53" t="n">
        <f aca="false">L23*Ratio!L27</f>
        <v>0.162619069215072</v>
      </c>
      <c r="M33" s="94" t="n">
        <f aca="false">M23*Ratio!M27</f>
        <v>0.162584686771533</v>
      </c>
      <c r="N33" s="94" t="n">
        <f aca="false">N23*Ratio!N27</f>
        <v>0.165285240251454</v>
      </c>
      <c r="O33" s="53" t="n">
        <f aca="false">O23*Ratio!O27</f>
        <v>0.1751582205605</v>
      </c>
      <c r="P33" s="68" t="n">
        <f aca="false">P23*Ratio!P27</f>
        <v>0.146261792364201</v>
      </c>
      <c r="Q33" s="67" t="n">
        <f aca="false">Q23*Ratio!Q27</f>
        <v>0.147055107034468</v>
      </c>
      <c r="R33" s="53" t="n">
        <f aca="false">R23*Ratio!R27</f>
        <v>0.14743230732449</v>
      </c>
      <c r="S33" s="94" t="n">
        <f aca="false">S23*Ratio!S27</f>
        <v>0.14834943109131</v>
      </c>
      <c r="T33" s="53" t="n">
        <f aca="false">T23*Ratio!T27</f>
        <v>0.138529966686144</v>
      </c>
      <c r="U33" s="53" t="n">
        <f aca="false">U23*Ratio!U27</f>
        <v>0.179336505649894</v>
      </c>
      <c r="V33" s="94" t="n">
        <f aca="false">V23*Ratio!V27</f>
        <v>0.185919862430647</v>
      </c>
      <c r="W33" s="94" t="n">
        <f aca="false">W23*Ratio!W27</f>
        <v>0.186600520134649</v>
      </c>
      <c r="X33" s="66" t="n">
        <f aca="false">X23*Ratio!X27</f>
        <v>0.184089295450177</v>
      </c>
      <c r="Y33" s="67" t="n">
        <f aca="false">Y23*Ratio!Y27</f>
        <v>0.171996891130573</v>
      </c>
      <c r="Z33" s="53" t="n">
        <f aca="false">Z23*Ratio!Z27</f>
        <v>0.174756456406877</v>
      </c>
      <c r="AA33" s="94" t="n">
        <f aca="false">AA23*Ratio!AA27</f>
        <v>0.178935100783304</v>
      </c>
      <c r="AB33" s="53" t="n">
        <f aca="false">AB23*Ratio!AB27</f>
        <v>0.201816201879242</v>
      </c>
      <c r="AC33" s="68" t="n">
        <f aca="false">AC23*Ratio!AC27</f>
        <v>0.232158861507898</v>
      </c>
      <c r="AD33" s="67" t="n">
        <f aca="false">AD23*Ratio!AD27</f>
        <v>0.222508337676974</v>
      </c>
      <c r="AE33" s="53" t="n">
        <f aca="false">AE23*Ratio!AE27</f>
        <v>0.205221783180184</v>
      </c>
      <c r="AF33" s="94" t="n">
        <f aca="false">AF23*Ratio!AF27</f>
        <v>0.208554283310028</v>
      </c>
      <c r="AG33" s="53" t="n">
        <f aca="false">AG23*Ratio!AG27</f>
        <v>0.214601480901174</v>
      </c>
      <c r="AH33" s="53" t="n">
        <f aca="false">AH23*Ratio!AH27</f>
        <v>0.264401101136615</v>
      </c>
      <c r="AI33" s="66" t="n">
        <f aca="false">AI23*Ratio!AI27</f>
        <v>0.226106759464593</v>
      </c>
      <c r="AJ33" s="67" t="n">
        <f aca="false">AJ23*Ratio!AJ27</f>
        <v>0.221010152692742</v>
      </c>
      <c r="AK33" s="53" t="n">
        <f aca="false">AK23*Ratio!AK27</f>
        <v>0.232486024727687</v>
      </c>
      <c r="AL33" s="53" t="n">
        <f aca="false">AL23*Ratio!AL27</f>
        <v>0.238892267839733</v>
      </c>
      <c r="AM33" s="53" t="n">
        <f aca="false">AM23*Ratio!AM27</f>
        <v>0.241380528034906</v>
      </c>
      <c r="AN33" s="68" t="n">
        <f aca="false">AN23*Ratio!AN27</f>
        <v>0.0299344002126368</v>
      </c>
      <c r="AO33" s="67" t="n">
        <f aca="false">AO23*Ratio!AO27</f>
        <v>0.0305397890607574</v>
      </c>
      <c r="AP33" s="53" t="n">
        <f aca="false">AP23*Ratio!AP27</f>
        <v>0.0251464596210971</v>
      </c>
      <c r="AQ33" s="53" t="n">
        <f aca="false">AQ23*Ratio!AQ27</f>
        <v>0.0259695733522373</v>
      </c>
      <c r="AR33" s="53"/>
      <c r="AS33" s="53"/>
      <c r="AT33" s="53"/>
      <c r="AU33" s="53"/>
      <c r="AV33" s="53"/>
    </row>
    <row r="34" customFormat="false" ht="12.8" hidden="false" customHeight="false" outlineLevel="0" collapsed="false">
      <c r="A34" s="139" t="s">
        <v>199</v>
      </c>
      <c r="B34" s="65" t="n">
        <f aca="false">B24*Ratio!B29</f>
        <v>0.00128068662555358</v>
      </c>
      <c r="C34" s="65" t="n">
        <f aca="false">C24*Ratio!C29</f>
        <v>0.00128165708710001</v>
      </c>
      <c r="D34" s="53" t="n">
        <f aca="false">D24*Ratio!D29</f>
        <v>0.00128169773500769</v>
      </c>
      <c r="E34" s="94" t="n">
        <f aca="false">E24*Ratio!E29</f>
        <v>0.000972126884718765</v>
      </c>
      <c r="F34" s="53" t="n">
        <f aca="false">F24*Ratio!F29</f>
        <v>0.000989467907363414</v>
      </c>
      <c r="G34" s="94" t="n">
        <f aca="false">G24*Ratio!G29</f>
        <v>0.0010979511002682</v>
      </c>
      <c r="H34" s="53" t="n">
        <f aca="false">H24*Ratio!H29</f>
        <v>0.00123756843016785</v>
      </c>
      <c r="I34" s="66" t="n">
        <f aca="false">I24*Ratio!I29</f>
        <v>0.00126426069469393</v>
      </c>
      <c r="J34" s="67" t="n">
        <f aca="false">J24*Ratio!J29</f>
        <v>0.00127978795758517</v>
      </c>
      <c r="K34" s="94" t="n">
        <f aca="false">K24*Ratio!K29</f>
        <v>0.00127515261129335</v>
      </c>
      <c r="L34" s="53" t="n">
        <f aca="false">L24*Ratio!L29</f>
        <v>0.00128049809082404</v>
      </c>
      <c r="M34" s="94" t="n">
        <f aca="false">M24*Ratio!M29</f>
        <v>0.00128022735594946</v>
      </c>
      <c r="N34" s="94" t="n">
        <f aca="false">N24*Ratio!N29</f>
        <v>0.0013014921042468</v>
      </c>
      <c r="O34" s="53" t="n">
        <f aca="false">O24*Ratio!O29</f>
        <v>0.00137923410890529</v>
      </c>
      <c r="P34" s="68" t="n">
        <f aca="false">P24*Ratio!P29</f>
        <v>0.00171400013980689</v>
      </c>
      <c r="Q34" s="67" t="n">
        <f aca="false">Q24*Ratio!Q29</f>
        <v>0.00172329676768058</v>
      </c>
      <c r="R34" s="53" t="n">
        <f aca="false">R24*Ratio!R29</f>
        <v>0.00172771707006702</v>
      </c>
      <c r="S34" s="94" t="n">
        <f aca="false">S24*Ratio!S29</f>
        <v>0.00173846458135579</v>
      </c>
      <c r="T34" s="53" t="n">
        <f aca="false">T24*Ratio!T29</f>
        <v>0.0015487644138786</v>
      </c>
      <c r="U34" s="53" t="n">
        <f aca="false">U24*Ratio!U29</f>
        <v>0.00165533201149478</v>
      </c>
      <c r="V34" s="94" t="n">
        <f aca="false">V24*Ratio!V29</f>
        <v>0.00171609845267628</v>
      </c>
      <c r="W34" s="94" t="n">
        <f aca="false">W24*Ratio!W29</f>
        <v>0.00172238113607207</v>
      </c>
      <c r="X34" s="66" t="n">
        <f aca="false">X24*Ratio!X29</f>
        <v>0.00169920174717299</v>
      </c>
      <c r="Y34" s="67" t="n">
        <f aca="false">Y24*Ratio!Y29</f>
        <v>0.0018346530022556</v>
      </c>
      <c r="Z34" s="53" t="n">
        <f aca="false">Z24*Ratio!Z29</f>
        <v>0.00116631538589146</v>
      </c>
      <c r="AA34" s="94" t="n">
        <f aca="false">AA24*Ratio!AA29</f>
        <v>0.00119301012999409</v>
      </c>
      <c r="AB34" s="53" t="n">
        <f aca="false">AB24*Ratio!AB29</f>
        <v>0.00134556480078465</v>
      </c>
      <c r="AC34" s="68" t="n">
        <f aca="false">AC24*Ratio!AC29</f>
        <v>0.00146483938052553</v>
      </c>
      <c r="AD34" s="67" t="n">
        <f aca="false">AD24*Ratio!AD29</f>
        <v>0.00155717709234484</v>
      </c>
      <c r="AE34" s="53" t="n">
        <f aca="false">AE24*Ratio!AE29</f>
        <v>0.00107777343484968</v>
      </c>
      <c r="AF34" s="94" t="n">
        <f aca="false">AF24*Ratio!AF29</f>
        <v>0.00109527489135162</v>
      </c>
      <c r="AG34" s="53" t="n">
        <f aca="false">AG24*Ratio!AG29</f>
        <v>0.000894766887021346</v>
      </c>
      <c r="AH34" s="53" t="n">
        <f aca="false">AH24*Ratio!AH29</f>
        <v>0.000948350644215473</v>
      </c>
      <c r="AI34" s="66" t="n">
        <f aca="false">AI24*Ratio!AI29</f>
        <v>0.000810996966646236</v>
      </c>
      <c r="AJ34" s="67" t="n">
        <f aca="false">AJ24*Ratio!AJ29</f>
        <v>0.000792716519648775</v>
      </c>
      <c r="AK34" s="53" t="n">
        <f aca="false">AK24*Ratio!AK29</f>
        <v>0.000833878037473359</v>
      </c>
      <c r="AL34" s="53" t="n">
        <f aca="false">AL24*Ratio!AL29</f>
        <v>0.000856855872120012</v>
      </c>
      <c r="AM34" s="53" t="n">
        <f aca="false">AM24*Ratio!AM29</f>
        <v>0.000865780733434598</v>
      </c>
      <c r="AN34" s="68" t="n">
        <f aca="false">AN24*Ratio!AN29</f>
        <v>0.00126425561321899</v>
      </c>
      <c r="AO34" s="67" t="n">
        <f aca="false">AO24*Ratio!AO29</f>
        <v>0.001289823730301</v>
      </c>
      <c r="AP34" s="53" t="n">
        <f aca="false">AP24*Ratio!AP29</f>
        <v>0.00119198492224797</v>
      </c>
      <c r="AQ34" s="53" t="n">
        <f aca="false">AQ24*Ratio!AQ29</f>
        <v>0.00123100191197925</v>
      </c>
      <c r="AR34" s="53"/>
      <c r="AS34" s="53"/>
      <c r="AT34" s="53"/>
      <c r="AU34" s="53"/>
      <c r="AV34" s="53"/>
    </row>
    <row r="35" customFormat="false" ht="12.8" hidden="false" customHeight="false" outlineLevel="0" collapsed="false">
      <c r="B35" s="39"/>
      <c r="K35" s="40"/>
      <c r="AR35" s="1"/>
      <c r="AS35" s="1"/>
      <c r="AT35" s="1"/>
      <c r="AU35" s="1"/>
      <c r="AV35" s="1"/>
    </row>
    <row r="36" customFormat="false" ht="12.8" hidden="false" customHeight="false" outlineLevel="0" collapsed="false">
      <c r="A36" s="1" t="s">
        <v>101</v>
      </c>
      <c r="B36" s="39"/>
      <c r="K36" s="40"/>
      <c r="AR36" s="1"/>
      <c r="AS36" s="1"/>
      <c r="AT36" s="1"/>
      <c r="AU36" s="1"/>
      <c r="AV36" s="1"/>
    </row>
    <row r="37" customFormat="false" ht="12.8" hidden="false" customHeight="false" outlineLevel="0" collapsed="false">
      <c r="A37" s="139" t="s">
        <v>183</v>
      </c>
      <c r="B37" s="65" t="n">
        <f aca="false">B17*Ratio!B38</f>
        <v>3.76950375836868</v>
      </c>
      <c r="C37" s="65" t="n">
        <f aca="false">C17*Ratio!C38</f>
        <v>3.75858741034497</v>
      </c>
      <c r="D37" s="53" t="n">
        <f aca="false">D17*Ratio!D38</f>
        <v>3.76423383822147</v>
      </c>
      <c r="E37" s="94" t="n">
        <f aca="false">E17*Ratio!E38</f>
        <v>3.67339081054991</v>
      </c>
      <c r="F37" s="53" t="n">
        <f aca="false">F17*Ratio!F38</f>
        <v>3.62194580551303</v>
      </c>
      <c r="G37" s="94" t="n">
        <f aca="false">G17*Ratio!G38</f>
        <v>4.44616584745947</v>
      </c>
      <c r="H37" s="53" t="n">
        <f aca="false">H17*Ratio!H38</f>
        <v>4.3279967401674</v>
      </c>
      <c r="I37" s="66" t="n">
        <f aca="false">I17*Ratio!I38</f>
        <v>4.15658632283857</v>
      </c>
      <c r="J37" s="67" t="n">
        <f aca="false">J17*Ratio!J38</f>
        <v>4.11980605272981</v>
      </c>
      <c r="K37" s="94" t="n">
        <f aca="false">K17*Ratio!K38</f>
        <v>4.21485299017994</v>
      </c>
      <c r="L37" s="53" t="n">
        <f aca="false">L17*Ratio!L38</f>
        <v>3.97375568710921</v>
      </c>
      <c r="M37" s="94" t="n">
        <f aca="false">M17*Ratio!M38</f>
        <v>3.97595989824869</v>
      </c>
      <c r="N37" s="94" t="n">
        <f aca="false">N17*Ratio!N38</f>
        <v>4.04201660080575</v>
      </c>
      <c r="O37" s="53" t="n">
        <f aca="false">O17*Ratio!O38</f>
        <v>4.36995178332462</v>
      </c>
      <c r="P37" s="68" t="n">
        <f aca="false">P17*Ratio!P38</f>
        <v>3.94011610109288</v>
      </c>
      <c r="Q37" s="67" t="n">
        <f aca="false">Q17*Ratio!Q38</f>
        <v>3.89618908915373</v>
      </c>
      <c r="R37" s="53" t="n">
        <f aca="false">R17*Ratio!R38</f>
        <v>3.75956260445199</v>
      </c>
      <c r="S37" s="94" t="n">
        <f aca="false">S17*Ratio!S38</f>
        <v>3.9631479292422</v>
      </c>
      <c r="T37" s="53" t="n">
        <f aca="false">T17*Ratio!T38</f>
        <v>4.4521735846063</v>
      </c>
      <c r="U37" s="53" t="n">
        <f aca="false">U17*Ratio!U38</f>
        <v>3.72632074690107</v>
      </c>
      <c r="V37" s="94" t="n">
        <f aca="false">V17*Ratio!V38</f>
        <v>3.52879313425044</v>
      </c>
      <c r="W37" s="94" t="n">
        <f aca="false">W17*Ratio!W38</f>
        <v>3.51125610252225</v>
      </c>
      <c r="X37" s="66" t="n">
        <f aca="false">X17*Ratio!X38</f>
        <v>3.84889162981273</v>
      </c>
      <c r="Y37" s="67" t="n">
        <f aca="false">Y17*Ratio!Y38</f>
        <v>3.76619429720412</v>
      </c>
      <c r="Z37" s="53" t="n">
        <f aca="false">Z17*Ratio!Z38</f>
        <v>3.69181149958343</v>
      </c>
      <c r="AA37" s="94" t="n">
        <f aca="false">AA17*Ratio!AA38</f>
        <v>3.68914149099347</v>
      </c>
      <c r="AB37" s="53" t="n">
        <f aca="false">AB17*Ratio!AB38</f>
        <v>3.54984851848522</v>
      </c>
      <c r="AC37" s="68" t="n">
        <f aca="false">AC17*Ratio!AC38</f>
        <v>4.15855330999045</v>
      </c>
      <c r="AD37" s="67" t="n">
        <f aca="false">AD17*Ratio!AD38</f>
        <v>4.05305672676924</v>
      </c>
      <c r="AE37" s="53" t="n">
        <f aca="false">AE17*Ratio!AE38</f>
        <v>3.80121541901877</v>
      </c>
      <c r="AF37" s="94" t="n">
        <f aca="false">AF17*Ratio!AF38</f>
        <v>3.71241733931345</v>
      </c>
      <c r="AG37" s="53" t="n">
        <f aca="false">AG17*Ratio!AG38</f>
        <v>3.61913830128813</v>
      </c>
      <c r="AH37" s="53" t="n">
        <f aca="false">AH17*Ratio!AH38</f>
        <v>3.42404048725059</v>
      </c>
      <c r="AI37" s="66" t="n">
        <f aca="false">AI17*Ratio!AI38</f>
        <v>4.67272888487014</v>
      </c>
      <c r="AJ37" s="67" t="n">
        <f aca="false">AJ17*Ratio!AJ38</f>
        <v>4.78420472874578</v>
      </c>
      <c r="AK37" s="53" t="n">
        <f aca="false">AK17*Ratio!AK38</f>
        <v>4.33384502764072</v>
      </c>
      <c r="AL37" s="53" t="n">
        <f aca="false">AL17*Ratio!AL38</f>
        <v>4.04486106498678</v>
      </c>
      <c r="AM37" s="53" t="n">
        <f aca="false">AM17*Ratio!AM38</f>
        <v>3.81216353427651</v>
      </c>
      <c r="AN37" s="68" t="n">
        <f aca="false">AN17*Ratio!AN38</f>
        <v>3.10120776478286</v>
      </c>
      <c r="AO37" s="67" t="n">
        <f aca="false">AO17*Ratio!AO38</f>
        <v>2.85581266253853</v>
      </c>
      <c r="AP37" s="53" t="n">
        <f aca="false">AP17*Ratio!AP38</f>
        <v>2.77973365814658</v>
      </c>
      <c r="AQ37" s="53" t="n">
        <f aca="false">AQ17*Ratio!AQ38</f>
        <v>2.76442135154681</v>
      </c>
      <c r="AR37" s="53"/>
      <c r="AS37" s="53"/>
      <c r="AT37" s="53"/>
      <c r="AU37" s="53"/>
      <c r="AV37" s="53"/>
    </row>
    <row r="38" customFormat="false" ht="12.8" hidden="false" customHeight="false" outlineLevel="0" collapsed="false">
      <c r="A38" s="139" t="s">
        <v>31</v>
      </c>
      <c r="B38" s="65" t="n">
        <f aca="false">B18*Ratio!B40</f>
        <v>3.75063195750658</v>
      </c>
      <c r="C38" s="65" t="n">
        <f aca="false">C18*Ratio!C40</f>
        <v>3.31615085393495</v>
      </c>
      <c r="D38" s="53" t="n">
        <f aca="false">D18*Ratio!D40</f>
        <v>3.31542716926325</v>
      </c>
      <c r="E38" s="94" t="n">
        <f aca="false">E18*Ratio!E40</f>
        <v>3.04512515016774</v>
      </c>
      <c r="F38" s="53" t="n">
        <f aca="false">F18*Ratio!F40</f>
        <v>2.64227558254757</v>
      </c>
      <c r="G38" s="94" t="n">
        <f aca="false">G18*Ratio!G40</f>
        <v>1.11328780438922</v>
      </c>
      <c r="H38" s="53" t="n">
        <f aca="false">H18*Ratio!H40</f>
        <v>1.00820090962785</v>
      </c>
      <c r="I38" s="66" t="n">
        <f aca="false">I18*Ratio!I40</f>
        <v>0.935151254228612</v>
      </c>
      <c r="J38" s="67" t="n">
        <f aca="false">J18*Ratio!J40</f>
        <v>0.969275910398709</v>
      </c>
      <c r="K38" s="94" t="n">
        <f aca="false">K18*Ratio!K40</f>
        <v>1.11581786780057</v>
      </c>
      <c r="L38" s="53" t="n">
        <f aca="false">L18*Ratio!L40</f>
        <v>1.11609346485742</v>
      </c>
      <c r="M38" s="94" t="n">
        <f aca="false">M18*Ratio!M40</f>
        <v>1.11529325582971</v>
      </c>
      <c r="N38" s="94" t="n">
        <f aca="false">N18*Ratio!N40</f>
        <v>1.03422646849855</v>
      </c>
      <c r="O38" s="53" t="n">
        <f aca="false">O18*Ratio!O40</f>
        <v>0.673309520698149</v>
      </c>
      <c r="P38" s="68" t="n">
        <f aca="false">P18*Ratio!P40</f>
        <v>1.0145941273867</v>
      </c>
      <c r="Q38" s="67" t="n">
        <f aca="false">Q18*Ratio!Q40</f>
        <v>1.13151216724276</v>
      </c>
      <c r="R38" s="53" t="n">
        <f aca="false">R18*Ratio!R40</f>
        <v>1.2590712475051</v>
      </c>
      <c r="S38" s="94" t="n">
        <f aca="false">S18*Ratio!S40</f>
        <v>1.28905476817898</v>
      </c>
      <c r="T38" s="53" t="n">
        <f aca="false">T18*Ratio!T40</f>
        <v>0.981454211662609</v>
      </c>
      <c r="U38" s="53" t="n">
        <f aca="false">U18*Ratio!U40</f>
        <v>-0.701499757437589</v>
      </c>
      <c r="V38" s="94" t="n">
        <f aca="false">V18*Ratio!V40</f>
        <v>-0.664840531412184</v>
      </c>
      <c r="W38" s="94" t="n">
        <f aca="false">W18*Ratio!W40</f>
        <v>-0.667274530790854</v>
      </c>
      <c r="X38" s="66" t="n">
        <f aca="false">X18*Ratio!X40</f>
        <v>-0.731230803800732</v>
      </c>
      <c r="Y38" s="67" t="n">
        <f aca="false">Y18*Ratio!Y40</f>
        <v>-0.822709937777864</v>
      </c>
      <c r="Z38" s="53" t="n">
        <f aca="false">Z18*Ratio!Z40</f>
        <v>-0.784676099128091</v>
      </c>
      <c r="AA38" s="94" t="n">
        <f aca="false">AA18*Ratio!AA40</f>
        <v>-0.832563694168598</v>
      </c>
      <c r="AB38" s="53" t="n">
        <f aca="false">AB18*Ratio!AB40</f>
        <v>-0.786264039118005</v>
      </c>
      <c r="AC38" s="68" t="n">
        <f aca="false">AC18*Ratio!AC40</f>
        <v>1.41774746563067</v>
      </c>
      <c r="AD38" s="67" t="n">
        <f aca="false">AD18*Ratio!AD40</f>
        <v>1.60095628404188</v>
      </c>
      <c r="AE38" s="53" t="n">
        <f aca="false">AE18*Ratio!AE40</f>
        <v>1.59870363844864</v>
      </c>
      <c r="AF38" s="94" t="n">
        <f aca="false">AF18*Ratio!AF40</f>
        <v>1.42458054621461</v>
      </c>
      <c r="AG38" s="53" t="n">
        <f aca="false">AG18*Ratio!AG40</f>
        <v>1.38822007892646</v>
      </c>
      <c r="AH38" s="53" t="n">
        <f aca="false">AH18*Ratio!AH40</f>
        <v>-2.98187140587928</v>
      </c>
      <c r="AI38" s="66" t="n">
        <f aca="false">AI18*Ratio!AI40</f>
        <v>-5.82151886742366</v>
      </c>
      <c r="AJ38" s="67" t="n">
        <f aca="false">AJ18*Ratio!AJ40</f>
        <v>-5.67947871084362</v>
      </c>
      <c r="AK38" s="53" t="n">
        <f aca="false">AK18*Ratio!AK40</f>
        <v>-5.41429519267035</v>
      </c>
      <c r="AL38" s="53" t="n">
        <f aca="false">AL18*Ratio!AL40</f>
        <v>-4.79977997419438</v>
      </c>
      <c r="AM38" s="53" t="n">
        <f aca="false">AM18*Ratio!AM40</f>
        <v>-4.39888250858892</v>
      </c>
      <c r="AN38" s="68" t="n">
        <f aca="false">AN18*Ratio!AN40</f>
        <v>1.95767773298311</v>
      </c>
      <c r="AO38" s="67" t="n">
        <f aca="false">AO18*Ratio!AO40</f>
        <v>1.85179970539202</v>
      </c>
      <c r="AP38" s="53" t="n">
        <f aca="false">AP18*Ratio!AP40</f>
        <v>2.28071497918843</v>
      </c>
      <c r="AQ38" s="53" t="n">
        <f aca="false">AQ18*Ratio!AQ40</f>
        <v>1.97347490232131</v>
      </c>
      <c r="AR38" s="53"/>
      <c r="AS38" s="53"/>
      <c r="AT38" s="53"/>
      <c r="AU38" s="53"/>
      <c r="AV38" s="53"/>
    </row>
    <row r="39" customFormat="false" ht="12.8" hidden="false" customHeight="false" outlineLevel="0" collapsed="false">
      <c r="A39" s="139" t="s">
        <v>184</v>
      </c>
      <c r="B39" s="65" t="n">
        <f aca="false">B19*Ratio!B41</f>
        <v>4.32006065149968</v>
      </c>
      <c r="C39" s="65" t="n">
        <f aca="false">C19*Ratio!C41</f>
        <v>3.81499957949261</v>
      </c>
      <c r="D39" s="53" t="n">
        <f aca="false">D19*Ratio!D41</f>
        <v>3.91769442174123</v>
      </c>
      <c r="E39" s="94" t="n">
        <f aca="false">E19*Ratio!E41</f>
        <v>3.84907423013743</v>
      </c>
      <c r="F39" s="53" t="n">
        <f aca="false">F19*Ratio!F41</f>
        <v>3.54075861043106</v>
      </c>
      <c r="G39" s="94" t="n">
        <f aca="false">G19*Ratio!G41</f>
        <v>11.8220690651608</v>
      </c>
      <c r="H39" s="53" t="n">
        <f aca="false">H19*Ratio!H41</f>
        <v>10.402270364592</v>
      </c>
      <c r="I39" s="66" t="n">
        <f aca="false">I19*Ratio!I41</f>
        <v>10.3493081571936</v>
      </c>
      <c r="J39" s="67" t="n">
        <f aca="false">J19*Ratio!J41</f>
        <v>8.42850535932033</v>
      </c>
      <c r="K39" s="94" t="n">
        <f aca="false">K19*Ratio!K41</f>
        <v>7.04245910459427</v>
      </c>
      <c r="L39" s="53" t="n">
        <f aca="false">L19*Ratio!L41</f>
        <v>7.04129751457686</v>
      </c>
      <c r="M39" s="94" t="n">
        <f aca="false">M19*Ratio!M41</f>
        <v>7.00447090640507</v>
      </c>
      <c r="N39" s="94" t="n">
        <f aca="false">N19*Ratio!N41</f>
        <v>7.12224027197592</v>
      </c>
      <c r="O39" s="53" t="n">
        <f aca="false">O19*Ratio!O41</f>
        <v>8.04822899611186</v>
      </c>
      <c r="P39" s="68" t="n">
        <f aca="false">P19*Ratio!P41</f>
        <v>2.6660129209469</v>
      </c>
      <c r="Q39" s="67" t="n">
        <f aca="false">Q19*Ratio!Q41</f>
        <v>2.32636253460037</v>
      </c>
      <c r="R39" s="53" t="n">
        <f aca="false">R19*Ratio!R41</f>
        <v>2.17079907370178</v>
      </c>
      <c r="S39" s="94" t="n">
        <f aca="false">S19*Ratio!S41</f>
        <v>1.81814383348325</v>
      </c>
      <c r="T39" s="53" t="n">
        <f aca="false">T19*Ratio!T41</f>
        <v>1.67507129264291</v>
      </c>
      <c r="U39" s="53" t="n">
        <f aca="false">U19*Ratio!U41</f>
        <v>3.12820803185993</v>
      </c>
      <c r="V39" s="94" t="n">
        <f aca="false">V19*Ratio!V41</f>
        <v>3.12843003179397</v>
      </c>
      <c r="W39" s="94" t="n">
        <f aca="false">W19*Ratio!W41</f>
        <v>3.12928480141384</v>
      </c>
      <c r="X39" s="66" t="n">
        <f aca="false">X19*Ratio!X41</f>
        <v>3.4292174136292</v>
      </c>
      <c r="Y39" s="67" t="n">
        <f aca="false">Y19*Ratio!Y41</f>
        <v>3.64848204029347</v>
      </c>
      <c r="Z39" s="53" t="n">
        <f aca="false">Z19*Ratio!Z41</f>
        <v>3.71514520856167</v>
      </c>
      <c r="AA39" s="94" t="n">
        <f aca="false">AA19*Ratio!AA41</f>
        <v>3.79770931789899</v>
      </c>
      <c r="AB39" s="53" t="n">
        <f aca="false">AB19*Ratio!AB41</f>
        <v>3.98218739625237</v>
      </c>
      <c r="AC39" s="68" t="n">
        <f aca="false">AC19*Ratio!AC41</f>
        <v>0.599386276145926</v>
      </c>
      <c r="AD39" s="67" t="n">
        <f aca="false">AD19*Ratio!AD41</f>
        <v>0.630259626296303</v>
      </c>
      <c r="AE39" s="53" t="n">
        <f aca="false">AE19*Ratio!AE41</f>
        <v>0.59552908341266</v>
      </c>
      <c r="AF39" s="94" t="n">
        <f aca="false">AF19*Ratio!AF41</f>
        <v>0.605046831604794</v>
      </c>
      <c r="AG39" s="53" t="n">
        <f aca="false">AG19*Ratio!AG41</f>
        <v>0.483200432057021</v>
      </c>
      <c r="AH39" s="53" t="n">
        <f aca="false">AH19*Ratio!AH41</f>
        <v>1.6085819073258</v>
      </c>
      <c r="AI39" s="66" t="n">
        <f aca="false">AI19*Ratio!AI41</f>
        <v>2.490723754512</v>
      </c>
      <c r="AJ39" s="67" t="n">
        <f aca="false">AJ19*Ratio!AJ41</f>
        <v>2.48779661737124</v>
      </c>
      <c r="AK39" s="53" t="n">
        <f aca="false">AK19*Ratio!AK41</f>
        <v>2.13203458854515</v>
      </c>
      <c r="AL39" s="53" t="n">
        <f aca="false">AL19*Ratio!AL41</f>
        <v>2.01061049103901</v>
      </c>
      <c r="AM39" s="53" t="n">
        <f aca="false">AM19*Ratio!AM41</f>
        <v>1.88832410079547</v>
      </c>
      <c r="AN39" s="68" t="n">
        <f aca="false">AN19*Ratio!AN41</f>
        <v>1.03259888530404</v>
      </c>
      <c r="AO39" s="67" t="n">
        <f aca="false">AO19*Ratio!AO41</f>
        <v>0.918999319546775</v>
      </c>
      <c r="AP39" s="53" t="n">
        <f aca="false">AP19*Ratio!AP41</f>
        <v>1.03274933773392</v>
      </c>
      <c r="AQ39" s="53" t="n">
        <f aca="false">AQ19*Ratio!AQ41</f>
        <v>1.01940584591146</v>
      </c>
      <c r="AR39" s="53"/>
      <c r="AS39" s="53"/>
      <c r="AT39" s="53"/>
      <c r="AU39" s="53"/>
      <c r="AV39" s="53"/>
    </row>
    <row r="40" customFormat="false" ht="12.8" hidden="false" customHeight="false" outlineLevel="0" collapsed="false">
      <c r="A40" s="139" t="s">
        <v>187</v>
      </c>
      <c r="B40" s="65" t="n">
        <f aca="false">B20*Ratio!B45</f>
        <v>0.328160825512866</v>
      </c>
      <c r="C40" s="65" t="n">
        <f aca="false">C20*Ratio!C45</f>
        <v>0.33809558133482</v>
      </c>
      <c r="D40" s="53" t="n">
        <f aca="false">D20*Ratio!D45</f>
        <v>0.338106304076585</v>
      </c>
      <c r="E40" s="94" t="n">
        <f aca="false">E20*Ratio!E45</f>
        <v>0.327309904869212</v>
      </c>
      <c r="F40" s="53" t="n">
        <f aca="false">F20*Ratio!F45</f>
        <v>0.344806441521784</v>
      </c>
      <c r="G40" s="94" t="n">
        <f aca="false">G20*Ratio!G45</f>
        <v>0.113885169653159</v>
      </c>
      <c r="H40" s="53" t="n">
        <f aca="false">H20*Ratio!H45</f>
        <v>0.117472497191029</v>
      </c>
      <c r="I40" s="66" t="n">
        <f aca="false">I20*Ratio!I45</f>
        <v>0.142638360190557</v>
      </c>
      <c r="J40" s="67" t="n">
        <f aca="false">J20*Ratio!J45</f>
        <v>0.110766684892569</v>
      </c>
      <c r="K40" s="94" t="n">
        <f aca="false">K20*Ratio!K45</f>
        <v>0.115267885461824</v>
      </c>
      <c r="L40" s="53" t="n">
        <f aca="false">L20*Ratio!L45</f>
        <v>0.109089693701307</v>
      </c>
      <c r="M40" s="94" t="n">
        <f aca="false">M20*Ratio!M45</f>
        <v>0.109066628938654</v>
      </c>
      <c r="N40" s="94" t="n">
        <f aca="false">N20*Ratio!N45</f>
        <v>0.109125252239339</v>
      </c>
      <c r="O40" s="53" t="n">
        <f aca="false">O20*Ratio!O45</f>
        <v>0.125080149110978</v>
      </c>
      <c r="P40" s="68" t="n">
        <f aca="false">P20*Ratio!P45</f>
        <v>0.165845348369609</v>
      </c>
      <c r="Q40" s="67" t="n">
        <f aca="false">Q20*Ratio!Q45</f>
        <v>0.161804569027303</v>
      </c>
      <c r="R40" s="53" t="n">
        <f aca="false">R20*Ratio!R45</f>
        <v>0.129634167779935</v>
      </c>
      <c r="S40" s="94" t="n">
        <f aca="false">S20*Ratio!S45</f>
        <v>0.138225049829285</v>
      </c>
      <c r="T40" s="53" t="n">
        <f aca="false">T20*Ratio!T45</f>
        <v>0.121948681496893</v>
      </c>
      <c r="U40" s="53" t="n">
        <f aca="false">U20*Ratio!U45</f>
        <v>0.933388135565115</v>
      </c>
      <c r="V40" s="94" t="n">
        <f aca="false">V20*Ratio!V45</f>
        <v>0.737015222523643</v>
      </c>
      <c r="W40" s="94" t="n">
        <f aca="false">W20*Ratio!W45</f>
        <v>0.620152933930483</v>
      </c>
      <c r="X40" s="66" t="n">
        <f aca="false">X20*Ratio!X45</f>
        <v>0.655721649631112</v>
      </c>
      <c r="Y40" s="67" t="n">
        <f aca="false">Y20*Ratio!Y45</f>
        <v>0.837946164254225</v>
      </c>
      <c r="Z40" s="53" t="n">
        <f aca="false">Z20*Ratio!Z45</f>
        <v>0.708483997679779</v>
      </c>
      <c r="AA40" s="94" t="n">
        <f aca="false">AA20*Ratio!AA45</f>
        <v>0.853372490525639</v>
      </c>
      <c r="AB40" s="53" t="n">
        <f aca="false">AB20*Ratio!AB45</f>
        <v>0.866787961324257</v>
      </c>
      <c r="AC40" s="68" t="n">
        <f aca="false">AC20*Ratio!AC45</f>
        <v>2.04203131201763</v>
      </c>
      <c r="AD40" s="67" t="n">
        <f aca="false">AD20*Ratio!AD45</f>
        <v>2.34351888918043</v>
      </c>
      <c r="AE40" s="53" t="n">
        <f aca="false">AE20*Ratio!AE45</f>
        <v>3.00503098378063</v>
      </c>
      <c r="AF40" s="94" t="n">
        <f aca="false">AF20*Ratio!AF45</f>
        <v>3.39809232806363</v>
      </c>
      <c r="AG40" s="53" t="n">
        <f aca="false">AG20*Ratio!AG45</f>
        <v>13.4508503335469</v>
      </c>
      <c r="AH40" s="53" t="n">
        <f aca="false">AH20*Ratio!AH45</f>
        <v>13.167119267391</v>
      </c>
      <c r="AI40" s="66" t="n">
        <f aca="false">AI20*Ratio!AI45</f>
        <v>17.4041681640277</v>
      </c>
      <c r="AJ40" s="67" t="n">
        <f aca="false">AJ20*Ratio!AJ45</f>
        <v>17.3426005368076</v>
      </c>
      <c r="AK40" s="53" t="n">
        <f aca="false">AK20*Ratio!AK45</f>
        <v>24.6608722243979</v>
      </c>
      <c r="AL40" s="53" t="n">
        <f aca="false">AL20*Ratio!AL45</f>
        <v>6.34562222880137</v>
      </c>
      <c r="AM40" s="53" t="n">
        <f aca="false">AM20*Ratio!AM45</f>
        <v>7.07033212400338</v>
      </c>
      <c r="AN40" s="68" t="n">
        <f aca="false">AN20*Ratio!AN45</f>
        <v>7.76442981444208</v>
      </c>
      <c r="AO40" s="67" t="n">
        <f aca="false">AO20*Ratio!AO45</f>
        <v>8.50803706514359</v>
      </c>
      <c r="AP40" s="53" t="n">
        <f aca="false">AP20*Ratio!AP45</f>
        <v>12.5036324185457</v>
      </c>
      <c r="AQ40" s="53" t="n">
        <f aca="false">AQ20*Ratio!AQ45</f>
        <v>11.3871639127893</v>
      </c>
      <c r="AR40" s="53"/>
      <c r="AS40" s="53"/>
      <c r="AT40" s="53"/>
      <c r="AU40" s="53"/>
      <c r="AV40" s="53"/>
    </row>
    <row r="41" customFormat="false" ht="12.8" hidden="false" customHeight="false" outlineLevel="0" collapsed="false">
      <c r="A41" s="139" t="s">
        <v>191</v>
      </c>
      <c r="B41" s="65" t="n">
        <f aca="false">B21*Ratio!B50</f>
        <v>0.850075726126093</v>
      </c>
      <c r="C41" s="65" t="n">
        <f aca="false">C21*Ratio!C50</f>
        <v>1.01118411616866</v>
      </c>
      <c r="D41" s="53" t="n">
        <f aca="false">D21*Ratio!D50</f>
        <v>1.01121618599374</v>
      </c>
      <c r="E41" s="94" t="n">
        <f aca="false">E21*Ratio!E50</f>
        <v>0.97289732200021</v>
      </c>
      <c r="F41" s="53" t="n">
        <f aca="false">F21*Ratio!F50</f>
        <v>1.01035821638816</v>
      </c>
      <c r="G41" s="94" t="n">
        <f aca="false">G21*Ratio!G50</f>
        <v>1.03395269653083</v>
      </c>
      <c r="H41" s="53" t="n">
        <f aca="false">H21*Ratio!H50</f>
        <v>0.992301903908485</v>
      </c>
      <c r="I41" s="66" t="n">
        <f aca="false">I21*Ratio!I50</f>
        <v>1.01370418297702</v>
      </c>
      <c r="J41" s="67" t="n">
        <f aca="false">J21*Ratio!J50</f>
        <v>0.793083961710033</v>
      </c>
      <c r="K41" s="94" t="n">
        <f aca="false">K21*Ratio!K50</f>
        <v>0.849992062742878</v>
      </c>
      <c r="L41" s="53" t="n">
        <f aca="false">L21*Ratio!L50</f>
        <v>0.853555255989237</v>
      </c>
      <c r="M41" s="94" t="n">
        <f aca="false">M21*Ratio!M50</f>
        <v>0.853374789359231</v>
      </c>
      <c r="N41" s="94" t="n">
        <f aca="false">N21*Ratio!N50</f>
        <v>0.861961393490334</v>
      </c>
      <c r="O41" s="53" t="n">
        <f aca="false">O21*Ratio!O50</f>
        <v>0.91937077558479</v>
      </c>
      <c r="P41" s="68" t="n">
        <f aca="false">P21*Ratio!P50</f>
        <v>0.633096085919702</v>
      </c>
      <c r="Q41" s="67" t="n">
        <f aca="false">Q21*Ratio!Q50</f>
        <v>0.632555526134156</v>
      </c>
      <c r="R41" s="53" t="n">
        <f aca="false">R21*Ratio!R50</f>
        <v>0.521475882587532</v>
      </c>
      <c r="S41" s="94" t="n">
        <f aca="false">S21*Ratio!S50</f>
        <v>0.530755012537966</v>
      </c>
      <c r="T41" s="53" t="n">
        <f aca="false">T21*Ratio!T50</f>
        <v>0.46472010949589</v>
      </c>
      <c r="U41" s="53" t="n">
        <f aca="false">U21*Ratio!U50</f>
        <v>0.450105637741742</v>
      </c>
      <c r="V41" s="94" t="n">
        <f aca="false">V21*Ratio!V50</f>
        <v>0.448929013092819</v>
      </c>
      <c r="W41" s="94" t="n">
        <f aca="false">W21*Ratio!W50</f>
        <v>1.15217053184906</v>
      </c>
      <c r="X41" s="66" t="n">
        <f aca="false">X21*Ratio!X50</f>
        <v>1.13666489939845</v>
      </c>
      <c r="Y41" s="67" t="n">
        <f aca="false">Y21*Ratio!Y50</f>
        <v>1.27566107571667</v>
      </c>
      <c r="Z41" s="53" t="n">
        <f aca="false">Z21*Ratio!Z50</f>
        <v>1.16086516219151</v>
      </c>
      <c r="AA41" s="94" t="n">
        <f aca="false">AA21*Ratio!AA50</f>
        <v>1.20888793706614</v>
      </c>
      <c r="AB41" s="53" t="n">
        <f aca="false">AB21*Ratio!AB50</f>
        <v>1.12683715907277</v>
      </c>
      <c r="AC41" s="68" t="n">
        <f aca="false">AC21*Ratio!AC50</f>
        <v>1.01381008593086</v>
      </c>
      <c r="AD41" s="67" t="n">
        <f aca="false">AD21*Ratio!AD50</f>
        <v>0.649500274079518</v>
      </c>
      <c r="AE41" s="53" t="n">
        <f aca="false">AE21*Ratio!AE50</f>
        <v>0.704145639638281</v>
      </c>
      <c r="AF41" s="94" t="n">
        <f aca="false">AF21*Ratio!AF50</f>
        <v>0.634463316726339</v>
      </c>
      <c r="AG41" s="53" t="n">
        <f aca="false">AG21*Ratio!AG50</f>
        <v>0.372002917137298</v>
      </c>
      <c r="AH41" s="53" t="n">
        <f aca="false">AH21*Ratio!AH50</f>
        <v>-6.88697062648389</v>
      </c>
      <c r="AI41" s="66" t="n">
        <f aca="false">AI21*Ratio!AI50</f>
        <v>-7.48977824629248</v>
      </c>
      <c r="AJ41" s="67" t="n">
        <f aca="false">AJ21*Ratio!AJ50</f>
        <v>-7.6515085485822</v>
      </c>
      <c r="AK41" s="53" t="n">
        <f aca="false">AK21*Ratio!AK50</f>
        <v>-8.76392205043269</v>
      </c>
      <c r="AL41" s="53" t="n">
        <f aca="false">AL21*Ratio!AL50</f>
        <v>-8.6414480350177</v>
      </c>
      <c r="AM41" s="53" t="n">
        <f aca="false">AM21*Ratio!AM50</f>
        <v>-8.98296625713516</v>
      </c>
      <c r="AN41" s="68" t="n">
        <f aca="false">AN21*Ratio!AN50</f>
        <v>-11.4726853144194</v>
      </c>
      <c r="AO41" s="67" t="n">
        <f aca="false">AO21*Ratio!AO50</f>
        <v>-12.3855540458712</v>
      </c>
      <c r="AP41" s="53" t="n">
        <f aca="false">AP21*Ratio!AP50</f>
        <v>-11.496284009746</v>
      </c>
      <c r="AQ41" s="53" t="n">
        <f aca="false">AQ21*Ratio!AQ50</f>
        <v>-11.3620007606008</v>
      </c>
      <c r="AR41" s="53"/>
      <c r="AS41" s="53"/>
      <c r="AT41" s="53"/>
      <c r="AU41" s="53"/>
      <c r="AV41" s="53"/>
    </row>
    <row r="42" customFormat="false" ht="12.8" hidden="false" customHeight="false" outlineLevel="0" collapsed="false">
      <c r="A42" s="139" t="s">
        <v>197</v>
      </c>
      <c r="B42" s="65" t="n">
        <f aca="false">B22*Ratio!B56</f>
        <v>0.0701525885884871</v>
      </c>
      <c r="C42" s="65" t="n">
        <f aca="false">C22*Ratio!C56</f>
        <v>0.0583036208116268</v>
      </c>
      <c r="D42" s="53" t="n">
        <f aca="false">D22*Ratio!D56</f>
        <v>0.0583054699179282</v>
      </c>
      <c r="E42" s="94" t="n">
        <f aca="false">E22*Ratio!E56</f>
        <v>0.0592623834395361</v>
      </c>
      <c r="F42" s="53" t="n">
        <f aca="false">F22*Ratio!F56</f>
        <v>0.0686302087924941</v>
      </c>
      <c r="G42" s="94" t="n">
        <f aca="false">G22*Ratio!G56</f>
        <v>0.105439507607207</v>
      </c>
      <c r="H42" s="53" t="n">
        <f aca="false">H22*Ratio!H56</f>
        <v>0.10713144862593</v>
      </c>
      <c r="I42" s="66" t="n">
        <f aca="false">I22*Ratio!I56</f>
        <v>0.10944209335157</v>
      </c>
      <c r="J42" s="67" t="n">
        <f aca="false">J22*Ratio!J56</f>
        <v>0.076934880308623</v>
      </c>
      <c r="K42" s="94" t="n">
        <f aca="false">K22*Ratio!K56</f>
        <v>0.0766562249188483</v>
      </c>
      <c r="L42" s="53" t="n">
        <f aca="false">L22*Ratio!L56</f>
        <v>0.0575965424668944</v>
      </c>
      <c r="M42" s="94" t="n">
        <f aca="false">M22*Ratio!M56</f>
        <v>0.0575843648675579</v>
      </c>
      <c r="N42" s="94" t="n">
        <f aca="false">N22*Ratio!N56</f>
        <v>0.0585408489007108</v>
      </c>
      <c r="O42" s="53" t="n">
        <f aca="false">O22*Ratio!O56</f>
        <v>0.0432212822694707</v>
      </c>
      <c r="P42" s="68" t="n">
        <f aca="false">P22*Ratio!P56</f>
        <v>0.0471831511997437</v>
      </c>
      <c r="Q42" s="67" t="n">
        <f aca="false">Q22*Ratio!Q56</f>
        <v>0.0642126125489498</v>
      </c>
      <c r="R42" s="53" t="n">
        <f aca="false">R22*Ratio!R56</f>
        <v>0.0606023598711859</v>
      </c>
      <c r="S42" s="94" t="n">
        <f aca="false">S22*Ratio!S56</f>
        <v>0.0609793455235974</v>
      </c>
      <c r="T42" s="53" t="n">
        <f aca="false">T22*Ratio!T56</f>
        <v>0.0530003596175019</v>
      </c>
      <c r="U42" s="53" t="n">
        <f aca="false">U22*Ratio!U56</f>
        <v>0.038626866155376</v>
      </c>
      <c r="V42" s="94" t="n">
        <f aca="false">V22*Ratio!V56</f>
        <v>0.0389979612118176</v>
      </c>
      <c r="W42" s="94" t="n">
        <f aca="false">W22*Ratio!W56</f>
        <v>0.0391407338149821</v>
      </c>
      <c r="X42" s="66" t="n">
        <f aca="false">X22*Ratio!X56</f>
        <v>0.0367827575496952</v>
      </c>
      <c r="Y42" s="67" t="n">
        <f aca="false">Y22*Ratio!Y56</f>
        <v>0.0363184405506848</v>
      </c>
      <c r="Z42" s="53" t="n">
        <f aca="false">Z22*Ratio!Z56</f>
        <v>0.0369011435680149</v>
      </c>
      <c r="AA42" s="94" t="n">
        <f aca="false">AA22*Ratio!AA56</f>
        <v>0.0327466639551676</v>
      </c>
      <c r="AB42" s="53" t="n">
        <f aca="false">AB22*Ratio!AB56</f>
        <v>0.0379607930650637</v>
      </c>
      <c r="AC42" s="68" t="n">
        <f aca="false">AC22*Ratio!AC56</f>
        <v>0.077957156707698</v>
      </c>
      <c r="AD42" s="67" t="n">
        <f aca="false">AD22*Ratio!AD56</f>
        <v>0.0679236494474581</v>
      </c>
      <c r="AE42" s="53" t="n">
        <f aca="false">AE22*Ratio!AE56</f>
        <v>0.0577584270543332</v>
      </c>
      <c r="AF42" s="94" t="n">
        <f aca="false">AF22*Ratio!AF56</f>
        <v>0.058696339018041</v>
      </c>
      <c r="AG42" s="53" t="n">
        <f aca="false">AG22*Ratio!AG56</f>
        <v>0.0603982861288148</v>
      </c>
      <c r="AH42" s="53" t="n">
        <f aca="false">AH22*Ratio!AH56</f>
        <v>0.602571393799408</v>
      </c>
      <c r="AI42" s="66" t="n">
        <f aca="false">AI22*Ratio!AI56</f>
        <v>0.515298403116898</v>
      </c>
      <c r="AJ42" s="67" t="n">
        <f aca="false">AJ22*Ratio!AJ56</f>
        <v>0.503683211527453</v>
      </c>
      <c r="AK42" s="53" t="n">
        <f aca="false">AK22*Ratio!AK56</f>
        <v>0.529836779638304</v>
      </c>
      <c r="AL42" s="53" t="n">
        <f aca="false">AL22*Ratio!AL56</f>
        <v>0.576234188229838</v>
      </c>
      <c r="AM42" s="53" t="n">
        <f aca="false">AM22*Ratio!AM56</f>
        <v>0.582236143029949</v>
      </c>
      <c r="AN42" s="68" t="n">
        <f aca="false">AN22*Ratio!AN56</f>
        <v>-1.63517556624483</v>
      </c>
      <c r="AO42" s="67" t="n">
        <f aca="false">AO22*Ratio!AO56</f>
        <v>-1.52191934610397</v>
      </c>
      <c r="AP42" s="53" t="n">
        <f aca="false">AP22*Ratio!AP56</f>
        <v>-1.01255872365498</v>
      </c>
      <c r="AQ42" s="53" t="n">
        <f aca="false">AQ22*Ratio!AQ56</f>
        <v>-1.09864128747482</v>
      </c>
      <c r="AR42" s="53"/>
      <c r="AS42" s="53"/>
      <c r="AT42" s="53"/>
      <c r="AU42" s="53"/>
      <c r="AV42" s="53"/>
    </row>
    <row r="43" customFormat="false" ht="12.8" hidden="false" customHeight="false" outlineLevel="0" collapsed="false">
      <c r="A43" s="139" t="s">
        <v>198</v>
      </c>
      <c r="B43" s="65" t="n">
        <f aca="false">B23*Ratio!B57</f>
        <v>0.160792326192391</v>
      </c>
      <c r="C43" s="65" t="n">
        <f aca="false">C23*Ratio!C57</f>
        <v>0.16091416924628</v>
      </c>
      <c r="D43" s="53" t="n">
        <f aca="false">D23*Ratio!D57</f>
        <v>0.160919272658387</v>
      </c>
      <c r="E43" s="94" t="n">
        <f aca="false">E23*Ratio!E57</f>
        <v>0.163560291213093</v>
      </c>
      <c r="F43" s="53" t="n">
        <f aca="false">F23*Ratio!F57</f>
        <v>0.166477917253764</v>
      </c>
      <c r="G43" s="94" t="n">
        <f aca="false">G23*Ratio!G57</f>
        <v>0.656339462236992</v>
      </c>
      <c r="H43" s="53" t="n">
        <f aca="false">H23*Ratio!H57</f>
        <v>0.666871450516967</v>
      </c>
      <c r="I43" s="66" t="n">
        <f aca="false">I23*Ratio!I57</f>
        <v>0.6812547433743</v>
      </c>
      <c r="J43" s="67" t="n">
        <f aca="false">J23*Ratio!J57</f>
        <v>0.337914635751881</v>
      </c>
      <c r="K43" s="94" t="n">
        <f aca="false">K23*Ratio!K57</f>
        <v>0.687123920418983</v>
      </c>
      <c r="L43" s="53" t="n">
        <f aca="false">L23*Ratio!L57</f>
        <v>0.690004365331313</v>
      </c>
      <c r="M43" s="94" t="n">
        <f aca="false">M23*Ratio!M57</f>
        <v>0.689858478159244</v>
      </c>
      <c r="N43" s="94" t="n">
        <f aca="false">N23*Ratio!N57</f>
        <v>0.70131712011895</v>
      </c>
      <c r="O43" s="53" t="n">
        <f aca="false">O23*Ratio!O57</f>
        <v>0.743208883151132</v>
      </c>
      <c r="P43" s="68" t="n">
        <f aca="false">P23*Ratio!P57</f>
        <v>0.172901979566882</v>
      </c>
      <c r="Q43" s="67" t="n">
        <f aca="false">Q23*Ratio!Q57</f>
        <v>0.173839788920176</v>
      </c>
      <c r="R43" s="53" t="n">
        <f aca="false">R23*Ratio!R57</f>
        <v>0.174285692636954</v>
      </c>
      <c r="S43" s="94" t="n">
        <f aca="false">S23*Ratio!S57</f>
        <v>0.175369861730112</v>
      </c>
      <c r="T43" s="53" t="n">
        <f aca="false">T23*Ratio!T57</f>
        <v>0.163761875758546</v>
      </c>
      <c r="U43" s="53" t="n">
        <f aca="false">U23*Ratio!U57</f>
        <v>0.207088469311412</v>
      </c>
      <c r="V43" s="94" t="n">
        <f aca="false">V23*Ratio!V57</f>
        <v>0.214690587316982</v>
      </c>
      <c r="W43" s="94" t="n">
        <f aca="false">W23*Ratio!W57</f>
        <v>0.215476575432096</v>
      </c>
      <c r="X43" s="66" t="n">
        <f aca="false">X23*Ratio!X57</f>
        <v>0.212576743776964</v>
      </c>
      <c r="Y43" s="67" t="n">
        <f aca="false">Y23*Ratio!Y57</f>
        <v>0.198613064202821</v>
      </c>
      <c r="Z43" s="53" t="n">
        <f aca="false">Z23*Ratio!Z57</f>
        <v>0.201799666657038</v>
      </c>
      <c r="AA43" s="94" t="n">
        <f aca="false">AA23*Ratio!AA57</f>
        <v>0.206624947848813</v>
      </c>
      <c r="AB43" s="53" t="n">
        <f aca="false">AB23*Ratio!AB57</f>
        <v>0.233046853332841</v>
      </c>
      <c r="AC43" s="68" t="n">
        <f aca="false">AC23*Ratio!AC57</f>
        <v>0.246623137481102</v>
      </c>
      <c r="AD43" s="67" t="n">
        <f aca="false">AD23*Ratio!AD57</f>
        <v>0.236371353637659</v>
      </c>
      <c r="AE43" s="53" t="n">
        <f aca="false">AE23*Ratio!AE57</f>
        <v>0.218007788798712</v>
      </c>
      <c r="AF43" s="94" t="n">
        <f aca="false">AF23*Ratio!AF57</f>
        <v>0.221547914867302</v>
      </c>
      <c r="AG43" s="53" t="n">
        <f aca="false">AG23*Ratio!AG57</f>
        <v>0.22797187315694</v>
      </c>
      <c r="AH43" s="53" t="n">
        <f aca="false">AH23*Ratio!AH57</f>
        <v>0.297870448758221</v>
      </c>
      <c r="AI43" s="66" t="n">
        <f aca="false">AI23*Ratio!AI57</f>
        <v>0.254728598403928</v>
      </c>
      <c r="AJ43" s="67" t="n">
        <f aca="false">AJ23*Ratio!AJ57</f>
        <v>0.248986835076358</v>
      </c>
      <c r="AK43" s="53" t="n">
        <f aca="false">AK23*Ratio!AK57</f>
        <v>0.26191538619905</v>
      </c>
      <c r="AL43" s="53" t="n">
        <f aca="false">AL23*Ratio!AL57</f>
        <v>0.269132566847831</v>
      </c>
      <c r="AM43" s="53" t="n">
        <f aca="false">AM23*Ratio!AM57</f>
        <v>0.271935804723079</v>
      </c>
      <c r="AN43" s="68" t="n">
        <f aca="false">AN23*Ratio!AN57</f>
        <v>0.0684862429499119</v>
      </c>
      <c r="AO43" s="67" t="n">
        <f aca="false">AO23*Ratio!AO57</f>
        <v>0.069871298519325</v>
      </c>
      <c r="AP43" s="53" t="n">
        <f aca="false">AP23*Ratio!AP57</f>
        <v>0.0575320210429199</v>
      </c>
      <c r="AQ43" s="53" t="n">
        <f aca="false">AQ23*Ratio!AQ57</f>
        <v>0.0594152044895846</v>
      </c>
      <c r="AR43" s="53"/>
      <c r="AS43" s="53"/>
      <c r="AT43" s="53"/>
      <c r="AU43" s="53"/>
      <c r="AV43" s="53"/>
    </row>
    <row r="44" customFormat="false" ht="12.8" hidden="false" customHeight="false" outlineLevel="0" collapsed="false">
      <c r="A44" s="139" t="s">
        <v>199</v>
      </c>
      <c r="B44" s="65" t="n">
        <f aca="false">B24*Ratio!B59</f>
        <v>0.0219219679317066</v>
      </c>
      <c r="C44" s="65" t="n">
        <f aca="false">C24*Ratio!C59</f>
        <v>0.021938579666752</v>
      </c>
      <c r="D44" s="53" t="n">
        <f aca="false">D24*Ratio!D59</f>
        <v>0.0219392754514278</v>
      </c>
      <c r="E44" s="94" t="n">
        <f aca="false">E24*Ratio!E59</f>
        <v>0.0166402412324271</v>
      </c>
      <c r="F44" s="53" t="n">
        <f aca="false">F24*Ratio!F59</f>
        <v>0.0169370736774093</v>
      </c>
      <c r="G44" s="94" t="n">
        <f aca="false">G24*Ratio!G59</f>
        <v>0.0165368734829233</v>
      </c>
      <c r="H44" s="53" t="n">
        <f aca="false">H24*Ratio!H59</f>
        <v>0.0168022333580037</v>
      </c>
      <c r="I44" s="66" t="n">
        <f aca="false">I24*Ratio!I59</f>
        <v>0.017164629203347</v>
      </c>
      <c r="J44" s="67" t="n">
        <f aca="false">J24*Ratio!J59</f>
        <v>0.017375439925526</v>
      </c>
      <c r="K44" s="94" t="n">
        <f aca="false">K24*Ratio!K59</f>
        <v>0.0173125067024479</v>
      </c>
      <c r="L44" s="53" t="n">
        <f aca="false">L24*Ratio!L59</f>
        <v>0.0173850812706864</v>
      </c>
      <c r="M44" s="94" t="n">
        <f aca="false">M24*Ratio!M59</f>
        <v>0.0173814055543138</v>
      </c>
      <c r="N44" s="94" t="n">
        <f aca="false">N24*Ratio!N59</f>
        <v>0.0176701130346289</v>
      </c>
      <c r="O44" s="53" t="n">
        <f aca="false">O24*Ratio!O59</f>
        <v>0.0187256015814834</v>
      </c>
      <c r="P44" s="68" t="n">
        <f aca="false">P24*Ratio!P59</f>
        <v>0.0193043279188788</v>
      </c>
      <c r="Q44" s="67" t="n">
        <f aca="false">Q24*Ratio!Q59</f>
        <v>0.0194090333671722</v>
      </c>
      <c r="R44" s="53" t="n">
        <f aca="false">R24*Ratio!R59</f>
        <v>0.0194588180578421</v>
      </c>
      <c r="S44" s="94" t="n">
        <f aca="false">S24*Ratio!S59</f>
        <v>0.0195798644203317</v>
      </c>
      <c r="T44" s="53" t="n">
        <f aca="false">T24*Ratio!T59</f>
        <v>0.0174433218645893</v>
      </c>
      <c r="U44" s="53" t="n">
        <f aca="false">U24*Ratio!U59</f>
        <v>0.0166220896302287</v>
      </c>
      <c r="V44" s="94" t="n">
        <f aca="false">V24*Ratio!V59</f>
        <v>0.0172322785378406</v>
      </c>
      <c r="W44" s="94" t="n">
        <f aca="false">W24*Ratio!W59</f>
        <v>0.0172953663811239</v>
      </c>
      <c r="X44" s="66" t="n">
        <f aca="false">X24*Ratio!X59</f>
        <v>0.0170626095219688</v>
      </c>
      <c r="Y44" s="67" t="n">
        <f aca="false">Y24*Ratio!Y59</f>
        <v>0.0184227492926466</v>
      </c>
      <c r="Z44" s="53" t="n">
        <f aca="false">Z24*Ratio!Z59</f>
        <v>0.0117116075486852</v>
      </c>
      <c r="AA44" s="94" t="n">
        <f aca="false">AA24*Ratio!AA59</f>
        <v>0.0119796640026466</v>
      </c>
      <c r="AB44" s="53" t="n">
        <f aca="false">AB24*Ratio!AB59</f>
        <v>0.0135115484788616</v>
      </c>
      <c r="AC44" s="68" t="n">
        <f aca="false">AC24*Ratio!AC59</f>
        <v>0.0266445252630187</v>
      </c>
      <c r="AD44" s="67" t="n">
        <f aca="false">AD24*Ratio!AD59</f>
        <v>0.0283240913151112</v>
      </c>
      <c r="AE44" s="53" t="n">
        <f aca="false">AE24*Ratio!AE59</f>
        <v>0.0196040343360786</v>
      </c>
      <c r="AF44" s="94" t="n">
        <f aca="false">AF24*Ratio!AF59</f>
        <v>0.0199223750402575</v>
      </c>
      <c r="AG44" s="53" t="n">
        <f aca="false">AG24*Ratio!AG59</f>
        <v>0.00956997329802617</v>
      </c>
      <c r="AH44" s="53" t="n">
        <f aca="false">AH24*Ratio!AH59</f>
        <v>0.0101430780172484</v>
      </c>
      <c r="AI44" s="66" t="n">
        <f aca="false">AI24*Ratio!AI59</f>
        <v>0.00867401267096683</v>
      </c>
      <c r="AJ44" s="67" t="n">
        <f aca="false">AJ24*Ratio!AJ59</f>
        <v>0.0084784942715052</v>
      </c>
      <c r="AK44" s="53" t="n">
        <f aca="false">AK24*Ratio!AK59</f>
        <v>0.00891873701204606</v>
      </c>
      <c r="AL44" s="53" t="n">
        <f aca="false">AL24*Ratio!AL59</f>
        <v>0.00916449628991447</v>
      </c>
      <c r="AM44" s="53" t="n">
        <f aca="false">AM24*Ratio!AM59</f>
        <v>0.00925995208483499</v>
      </c>
      <c r="AN44" s="68" t="n">
        <f aca="false">AN24*Ratio!AN59</f>
        <v>0.00955207422866267</v>
      </c>
      <c r="AO44" s="67" t="n">
        <f aca="false">AO24*Ratio!AO59</f>
        <v>0.00974525395410814</v>
      </c>
      <c r="AP44" s="53" t="n">
        <f aca="false">AP24*Ratio!AP59</f>
        <v>0.00900603354077189</v>
      </c>
      <c r="AQ44" s="53" t="n">
        <f aca="false">AQ24*Ratio!AQ59</f>
        <v>0.00930082612717237</v>
      </c>
      <c r="AR44" s="53"/>
      <c r="AS44" s="53"/>
      <c r="AT44" s="53"/>
      <c r="AU44" s="53"/>
      <c r="AV44" s="53"/>
    </row>
    <row r="45" customFormat="false" ht="12.8" hidden="false" customHeight="false" outlineLevel="0" collapsed="false">
      <c r="B45" s="39"/>
      <c r="K45" s="40"/>
      <c r="AR45" s="1"/>
      <c r="AS45" s="1"/>
      <c r="AT45" s="1"/>
      <c r="AU45" s="1"/>
      <c r="AV45" s="1"/>
    </row>
    <row r="46" customFormat="false" ht="12.8" hidden="false" customHeight="false" outlineLevel="0" collapsed="false">
      <c r="A46" s="1" t="s">
        <v>102</v>
      </c>
      <c r="B46" s="39"/>
      <c r="K46" s="40"/>
      <c r="AR46" s="1"/>
      <c r="AS46" s="1"/>
      <c r="AT46" s="1"/>
      <c r="AU46" s="1"/>
      <c r="AV46" s="1"/>
    </row>
    <row r="47" customFormat="false" ht="12.8" hidden="false" customHeight="false" outlineLevel="0" collapsed="false">
      <c r="A47" s="139" t="s">
        <v>183</v>
      </c>
      <c r="B47" s="65" t="n">
        <f aca="false">B17*Ratio!B68</f>
        <v>1.09466958345806</v>
      </c>
      <c r="C47" s="65" t="n">
        <f aca="false">C17*Ratio!C68</f>
        <v>1.09149945950807</v>
      </c>
      <c r="D47" s="53" t="n">
        <f aca="false">D17*Ratio!D68</f>
        <v>1.09313919068963</v>
      </c>
      <c r="E47" s="94" t="n">
        <f aca="false">E17*Ratio!E68</f>
        <v>1.06675823827898</v>
      </c>
      <c r="F47" s="53" t="n">
        <f aca="false">F17*Ratio!F68</f>
        <v>1.05181853113325</v>
      </c>
      <c r="G47" s="94" t="n">
        <f aca="false">G17*Ratio!G68</f>
        <v>1.04171939949716</v>
      </c>
      <c r="H47" s="53" t="n">
        <f aca="false">H17*Ratio!H68</f>
        <v>1.01403283635247</v>
      </c>
      <c r="I47" s="66" t="n">
        <f aca="false">I17*Ratio!I68</f>
        <v>0.973872040931546</v>
      </c>
      <c r="J47" s="67" t="n">
        <f aca="false">J17*Ratio!J68</f>
        <v>0.965254566414049</v>
      </c>
      <c r="K47" s="94" t="n">
        <f aca="false">K17*Ratio!K68</f>
        <v>0.987523694917469</v>
      </c>
      <c r="L47" s="53" t="n">
        <f aca="false">L17*Ratio!L68</f>
        <v>0.931035532668927</v>
      </c>
      <c r="M47" s="94" t="n">
        <f aca="false">M17*Ratio!M68</f>
        <v>0.931551970782879</v>
      </c>
      <c r="N47" s="94" t="n">
        <f aca="false">N17*Ratio!N68</f>
        <v>0.947028799781469</v>
      </c>
      <c r="O47" s="53" t="n">
        <f aca="false">O17*Ratio!O68</f>
        <v>1.02386274010845</v>
      </c>
      <c r="P47" s="68" t="n">
        <f aca="false">P17*Ratio!P68</f>
        <v>1.26265423618295</v>
      </c>
      <c r="Q47" s="67" t="n">
        <f aca="false">Q17*Ratio!Q68</f>
        <v>1.24857733431388</v>
      </c>
      <c r="R47" s="53" t="n">
        <f aca="false">R17*Ratio!R68</f>
        <v>1.20479385046284</v>
      </c>
      <c r="S47" s="94" t="n">
        <f aca="false">S17*Ratio!S68</f>
        <v>1.2700350428987</v>
      </c>
      <c r="T47" s="53" t="n">
        <f aca="false">T17*Ratio!T68</f>
        <v>1.42674877911991</v>
      </c>
      <c r="U47" s="53" t="n">
        <f aca="false">U17*Ratio!U68</f>
        <v>1.55515780800355</v>
      </c>
      <c r="V47" s="94" t="n">
        <f aca="false">V17*Ratio!V68</f>
        <v>1.47272083331065</v>
      </c>
      <c r="W47" s="94" t="n">
        <f aca="false">W17*Ratio!W68</f>
        <v>1.46540185738943</v>
      </c>
      <c r="X47" s="66" t="n">
        <f aca="false">X17*Ratio!X68</f>
        <v>1.60631203721275</v>
      </c>
      <c r="Y47" s="67" t="n">
        <f aca="false">Y17*Ratio!Y68</f>
        <v>1.57179879714497</v>
      </c>
      <c r="Z47" s="53" t="n">
        <f aca="false">Z17*Ratio!Z68</f>
        <v>1.54075557881838</v>
      </c>
      <c r="AA47" s="94" t="n">
        <f aca="false">AA17*Ratio!AA68</f>
        <v>1.53964126660852</v>
      </c>
      <c r="AB47" s="53" t="n">
        <f aca="false">AB17*Ratio!AB68</f>
        <v>1.4815081727313</v>
      </c>
      <c r="AC47" s="68" t="n">
        <f aca="false">AC17*Ratio!AC68</f>
        <v>1.15746447055697</v>
      </c>
      <c r="AD47" s="67" t="n">
        <f aca="false">AD17*Ratio!AD68</f>
        <v>1.12810124307342</v>
      </c>
      <c r="AE47" s="53" t="n">
        <f aca="false">AE17*Ratio!AE68</f>
        <v>1.05800538419878</v>
      </c>
      <c r="AF47" s="94" t="n">
        <f aca="false">AF17*Ratio!AF68</f>
        <v>1.03328990873146</v>
      </c>
      <c r="AG47" s="53" t="n">
        <f aca="false">AG17*Ratio!AG68</f>
        <v>1.00732723269635</v>
      </c>
      <c r="AH47" s="53" t="n">
        <f aca="false">AH17*Ratio!AH68</f>
        <v>0.865020999062655</v>
      </c>
      <c r="AI47" s="66" t="n">
        <f aca="false">AI17*Ratio!AI68</f>
        <v>1.18047920969092</v>
      </c>
      <c r="AJ47" s="67" t="n">
        <f aca="false">AJ17*Ratio!AJ68</f>
        <v>1.20864153610024</v>
      </c>
      <c r="AK47" s="53" t="n">
        <f aca="false">AK17*Ratio!AK68</f>
        <v>1.09486642157165</v>
      </c>
      <c r="AL47" s="53" t="n">
        <f aca="false">AL17*Ratio!AL68</f>
        <v>1.02185992616986</v>
      </c>
      <c r="AM47" s="53" t="n">
        <f aca="false">AM17*Ratio!AM68</f>
        <v>0.963073164960725</v>
      </c>
      <c r="AN47" s="68" t="n">
        <f aca="false">AN17*Ratio!AN68</f>
        <v>0.858682771596892</v>
      </c>
      <c r="AO47" s="67" t="n">
        <f aca="false">AO17*Ratio!AO68</f>
        <v>0.790736164173696</v>
      </c>
      <c r="AP47" s="53" t="n">
        <f aca="false">AP17*Ratio!AP68</f>
        <v>0.769670909825545</v>
      </c>
      <c r="AQ47" s="53" t="n">
        <f aca="false">AQ17*Ratio!AQ68</f>
        <v>0.765431137818024</v>
      </c>
      <c r="AR47" s="53"/>
      <c r="AS47" s="53"/>
      <c r="AT47" s="53"/>
      <c r="AU47" s="53"/>
      <c r="AV47" s="53"/>
    </row>
    <row r="48" customFormat="false" ht="12.8" hidden="false" customHeight="false" outlineLevel="0" collapsed="false">
      <c r="A48" s="139" t="s">
        <v>31</v>
      </c>
      <c r="B48" s="65" t="n">
        <f aca="false">B18*Ratio!B70</f>
        <v>0.148178399655411</v>
      </c>
      <c r="C48" s="65" t="n">
        <f aca="false">C18*Ratio!C70</f>
        <v>0.131013101823693</v>
      </c>
      <c r="D48" s="53" t="n">
        <f aca="false">D18*Ratio!D70</f>
        <v>0.130984510792175</v>
      </c>
      <c r="E48" s="94" t="n">
        <f aca="false">E18*Ratio!E70</f>
        <v>0.120305531604939</v>
      </c>
      <c r="F48" s="53" t="n">
        <f aca="false">F18*Ratio!F70</f>
        <v>0.104389919273966</v>
      </c>
      <c r="G48" s="94" t="n">
        <f aca="false">G18*Ratio!G70</f>
        <v>0.125462638448857</v>
      </c>
      <c r="H48" s="53" t="n">
        <f aca="false">H18*Ratio!H70</f>
        <v>0.113619807663162</v>
      </c>
      <c r="I48" s="66" t="n">
        <f aca="false">I18*Ratio!I70</f>
        <v>0.105387432828879</v>
      </c>
      <c r="J48" s="67" t="n">
        <f aca="false">J18*Ratio!J70</f>
        <v>0.109233131472465</v>
      </c>
      <c r="K48" s="94" t="n">
        <f aca="false">K18*Ratio!K70</f>
        <v>0.125747765466129</v>
      </c>
      <c r="L48" s="53" t="n">
        <f aca="false">L18*Ratio!L70</f>
        <v>0.125778824042145</v>
      </c>
      <c r="M48" s="94" t="n">
        <f aca="false">M18*Ratio!M70</f>
        <v>0.125688644004664</v>
      </c>
      <c r="N48" s="94" t="n">
        <f aca="false">N18*Ratio!N70</f>
        <v>0.116552773667236</v>
      </c>
      <c r="O48" s="53" t="n">
        <f aca="false">O18*Ratio!O70</f>
        <v>0.0758790212436307</v>
      </c>
      <c r="P48" s="68" t="n">
        <f aca="false">P18*Ratio!P70</f>
        <v>0.0879403574185957</v>
      </c>
      <c r="Q48" s="67" t="n">
        <f aca="false">Q18*Ratio!Q70</f>
        <v>0.0980742759344717</v>
      </c>
      <c r="R48" s="53" t="n">
        <f aca="false">R18*Ratio!R70</f>
        <v>0.109130510942603</v>
      </c>
      <c r="S48" s="94" t="n">
        <f aca="false">S18*Ratio!S70</f>
        <v>0.111729344755608</v>
      </c>
      <c r="T48" s="53" t="n">
        <f aca="false">T18*Ratio!T70</f>
        <v>0.085067941784666</v>
      </c>
      <c r="U48" s="53" t="n">
        <f aca="false">U18*Ratio!U70</f>
        <v>0.0902323745162627</v>
      </c>
      <c r="V48" s="94" t="n">
        <f aca="false">V18*Ratio!V70</f>
        <v>0.0855169787130147</v>
      </c>
      <c r="W48" s="94" t="n">
        <f aca="false">W18*Ratio!W70</f>
        <v>0.0858300587122306</v>
      </c>
      <c r="X48" s="66" t="n">
        <f aca="false">X18*Ratio!X70</f>
        <v>0.0940566137718809</v>
      </c>
      <c r="Y48" s="67" t="n">
        <f aca="false">Y18*Ratio!Y70</f>
        <v>0.105823374045041</v>
      </c>
      <c r="Z48" s="53" t="n">
        <f aca="false">Z18*Ratio!Z70</f>
        <v>0.100931164836198</v>
      </c>
      <c r="AA48" s="94" t="n">
        <f aca="false">AA18*Ratio!AA70</f>
        <v>0.107090841107736</v>
      </c>
      <c r="AB48" s="53" t="n">
        <f aca="false">AB18*Ratio!AB70</f>
        <v>0.101135418072724</v>
      </c>
      <c r="AC48" s="68" t="n">
        <f aca="false">AC18*Ratio!AC70</f>
        <v>0.079389790710401</v>
      </c>
      <c r="AD48" s="67" t="n">
        <f aca="false">AD18*Ratio!AD70</f>
        <v>0.089648958935044</v>
      </c>
      <c r="AE48" s="53" t="n">
        <f aca="false">AE18*Ratio!AE70</f>
        <v>0.0895228172444203</v>
      </c>
      <c r="AF48" s="94" t="n">
        <f aca="false">AF18*Ratio!AF70</f>
        <v>0.0797724236197288</v>
      </c>
      <c r="AG48" s="53" t="n">
        <f aca="false">AG18*Ratio!AG70</f>
        <v>0.0777363417658603</v>
      </c>
      <c r="AH48" s="53" t="n">
        <f aca="false">AH18*Ratio!AH70</f>
        <v>0.0665686046439974</v>
      </c>
      <c r="AI48" s="66" t="n">
        <f aca="false">AI18*Ratio!AI70</f>
        <v>0.129962139597641</v>
      </c>
      <c r="AJ48" s="67" t="n">
        <f aca="false">AJ18*Ratio!AJ70</f>
        <v>0.126791172865707</v>
      </c>
      <c r="AK48" s="53" t="n">
        <f aca="false">AK18*Ratio!AK70</f>
        <v>0.120871099738283</v>
      </c>
      <c r="AL48" s="53" t="n">
        <f aca="false">AL18*Ratio!AL70</f>
        <v>0.107152392571438</v>
      </c>
      <c r="AM48" s="53" t="n">
        <f aca="false">AM18*Ratio!AM70</f>
        <v>0.0982025817787751</v>
      </c>
      <c r="AN48" s="68" t="n">
        <f aca="false">AN18*Ratio!AN70</f>
        <v>0.086855825217457</v>
      </c>
      <c r="AO48" s="67" t="n">
        <f aca="false">AO18*Ratio!AO70</f>
        <v>0.082158359795093</v>
      </c>
      <c r="AP48" s="53" t="n">
        <f aca="false">AP18*Ratio!AP70</f>
        <v>0.101187942359324</v>
      </c>
      <c r="AQ48" s="53" t="n">
        <f aca="false">AQ18*Ratio!AQ70</f>
        <v>0.0875566944953022</v>
      </c>
      <c r="AR48" s="53"/>
      <c r="AS48" s="53"/>
      <c r="AT48" s="53"/>
      <c r="AU48" s="53"/>
      <c r="AV48" s="53"/>
    </row>
    <row r="49" customFormat="false" ht="12.8" hidden="false" customHeight="false" outlineLevel="0" collapsed="false">
      <c r="A49" s="139" t="s">
        <v>184</v>
      </c>
      <c r="B49" s="65" t="n">
        <f aca="false">B19*Ratio!B71</f>
        <v>0.0862729413623235</v>
      </c>
      <c r="C49" s="65" t="n">
        <f aca="false">C19*Ratio!C71</f>
        <v>0.0761867162454302</v>
      </c>
      <c r="D49" s="53" t="n">
        <f aca="false">D19*Ratio!D71</f>
        <v>0.0782375638650007</v>
      </c>
      <c r="E49" s="94" t="n">
        <f aca="false">E19*Ratio!E71</f>
        <v>0.0768671975104333</v>
      </c>
      <c r="F49" s="53" t="n">
        <f aca="false">F19*Ratio!F71</f>
        <v>0.0707100396541466</v>
      </c>
      <c r="G49" s="94" t="n">
        <f aca="false">G19*Ratio!G71</f>
        <v>0.0898044272229913</v>
      </c>
      <c r="H49" s="53" t="n">
        <f aca="false">H19*Ratio!H71</f>
        <v>0.0790191570326589</v>
      </c>
      <c r="I49" s="66" t="n">
        <f aca="false">I19*Ratio!I71</f>
        <v>0.0786168382275779</v>
      </c>
      <c r="J49" s="67" t="n">
        <f aca="false">J19*Ratio!J71</f>
        <v>0.0640257717974495</v>
      </c>
      <c r="K49" s="94" t="n">
        <f aca="false">K19*Ratio!K71</f>
        <v>0.0534968965790612</v>
      </c>
      <c r="L49" s="53" t="n">
        <f aca="false">L19*Ratio!L71</f>
        <v>0.0534880727491879</v>
      </c>
      <c r="M49" s="94" t="n">
        <f aca="false">M19*Ratio!M71</f>
        <v>0.0532083254024922</v>
      </c>
      <c r="N49" s="94" t="n">
        <f aca="false">N19*Ratio!N71</f>
        <v>0.0541029412570614</v>
      </c>
      <c r="O49" s="53" t="n">
        <f aca="false">O19*Ratio!O71</f>
        <v>0.0611370641781531</v>
      </c>
      <c r="P49" s="68" t="n">
        <f aca="false">P19*Ratio!P71</f>
        <v>0.0593863101481694</v>
      </c>
      <c r="Q49" s="67" t="n">
        <f aca="false">Q19*Ratio!Q71</f>
        <v>0.0518204866568277</v>
      </c>
      <c r="R49" s="53" t="n">
        <f aca="false">R19*Ratio!R71</f>
        <v>0.0483552596640924</v>
      </c>
      <c r="S49" s="94" t="n">
        <f aca="false">S19*Ratio!S71</f>
        <v>0.0404997487974921</v>
      </c>
      <c r="T49" s="53" t="n">
        <f aca="false">T19*Ratio!T71</f>
        <v>0.0373127611361521</v>
      </c>
      <c r="U49" s="53" t="n">
        <f aca="false">U19*Ratio!U71</f>
        <v>0.0321072651498123</v>
      </c>
      <c r="V49" s="94" t="n">
        <f aca="false">V19*Ratio!V71</f>
        <v>0.0321095437101488</v>
      </c>
      <c r="W49" s="94" t="n">
        <f aca="false">W19*Ratio!W71</f>
        <v>0.032118316884614</v>
      </c>
      <c r="X49" s="66" t="n">
        <f aca="false">X19*Ratio!X71</f>
        <v>0.0351967617352747</v>
      </c>
      <c r="Y49" s="67" t="n">
        <f aca="false">Y19*Ratio!Y71</f>
        <v>0.0374472474557203</v>
      </c>
      <c r="Z49" s="53" t="n">
        <f aca="false">Z19*Ratio!Z71</f>
        <v>0.038131464105481</v>
      </c>
      <c r="AA49" s="94" t="n">
        <f aca="false">AA19*Ratio!AA71</f>
        <v>0.0389788846489208</v>
      </c>
      <c r="AB49" s="53" t="n">
        <f aca="false">AB19*Ratio!AB71</f>
        <v>0.0408723286001206</v>
      </c>
      <c r="AC49" s="68" t="n">
        <f aca="false">AC19*Ratio!AC71</f>
        <v>0.0329708288437711</v>
      </c>
      <c r="AD49" s="67" t="n">
        <f aca="false">AD19*Ratio!AD71</f>
        <v>0.0346690991982195</v>
      </c>
      <c r="AE49" s="53" t="n">
        <f aca="false">AE19*Ratio!AE71</f>
        <v>0.0327586537465305</v>
      </c>
      <c r="AF49" s="94" t="n">
        <f aca="false">AF19*Ratio!AF71</f>
        <v>0.0332822026816825</v>
      </c>
      <c r="AG49" s="53" t="n">
        <f aca="false">AG19*Ratio!AG71</f>
        <v>0.0265797189168702</v>
      </c>
      <c r="AH49" s="53" t="n">
        <f aca="false">AH19*Ratio!AH71</f>
        <v>0.0236180082963578</v>
      </c>
      <c r="AI49" s="66" t="n">
        <f aca="false">AI19*Ratio!AI71</f>
        <v>0.0365700584036753</v>
      </c>
      <c r="AJ49" s="67" t="n">
        <f aca="false">AJ19*Ratio!AJ71</f>
        <v>0.036527080704523</v>
      </c>
      <c r="AK49" s="53" t="n">
        <f aca="false">AK19*Ratio!AK71</f>
        <v>0.0313036037338586</v>
      </c>
      <c r="AL49" s="53" t="n">
        <f aca="false">AL19*Ratio!AL71</f>
        <v>0.029520794086916</v>
      </c>
      <c r="AM49" s="53" t="n">
        <f aca="false">AM19*Ratio!AM71</f>
        <v>0.0277253238244753</v>
      </c>
      <c r="AN49" s="68" t="n">
        <f aca="false">AN19*Ratio!AN71</f>
        <v>0.0285369402638351</v>
      </c>
      <c r="AO49" s="67" t="n">
        <f aca="false">AO19*Ratio!AO71</f>
        <v>0.0253974985424177</v>
      </c>
      <c r="AP49" s="53" t="n">
        <f aca="false">AP19*Ratio!AP71</f>
        <v>0.0285410981726467</v>
      </c>
      <c r="AQ49" s="53" t="n">
        <f aca="false">AQ19*Ratio!AQ71</f>
        <v>0.0281723369484503</v>
      </c>
      <c r="AR49" s="53"/>
      <c r="AS49" s="53"/>
      <c r="AT49" s="53"/>
      <c r="AU49" s="53"/>
      <c r="AV49" s="53"/>
    </row>
    <row r="50" customFormat="false" ht="12.8" hidden="false" customHeight="false" outlineLevel="0" collapsed="false">
      <c r="A50" s="139" t="s">
        <v>187</v>
      </c>
      <c r="B50" s="65" t="n">
        <f aca="false">B20*Ratio!B75</f>
        <v>0.0327092921001365</v>
      </c>
      <c r="C50" s="65" t="n">
        <f aca="false">C20*Ratio!C75</f>
        <v>0.0336995347033356</v>
      </c>
      <c r="D50" s="53" t="n">
        <f aca="false">D20*Ratio!D75</f>
        <v>0.0337006034881058</v>
      </c>
      <c r="E50" s="94" t="n">
        <f aca="false">E20*Ratio!E75</f>
        <v>0.0326244769432882</v>
      </c>
      <c r="F50" s="53" t="n">
        <f aca="false">F20*Ratio!F75</f>
        <v>0.0343684368666438</v>
      </c>
      <c r="G50" s="94" t="n">
        <f aca="false">G20*Ratio!G75</f>
        <v>0.0381996886404203</v>
      </c>
      <c r="H50" s="53" t="n">
        <f aca="false">H20*Ratio!H75</f>
        <v>0.0394029602816285</v>
      </c>
      <c r="I50" s="66" t="n">
        <f aca="false">I20*Ratio!I75</f>
        <v>0.0478441658738686</v>
      </c>
      <c r="J50" s="67" t="n">
        <f aca="false">J20*Ratio!J75</f>
        <v>0.0371536775816738</v>
      </c>
      <c r="K50" s="94" t="n">
        <f aca="false">K20*Ratio!K75</f>
        <v>0.0386634831233196</v>
      </c>
      <c r="L50" s="53" t="n">
        <f aca="false">L20*Ratio!L75</f>
        <v>0.0365911764100636</v>
      </c>
      <c r="M50" s="94" t="n">
        <f aca="false">M20*Ratio!M75</f>
        <v>0.0365834399615462</v>
      </c>
      <c r="N50" s="94" t="n">
        <f aca="false">N20*Ratio!N75</f>
        <v>0.0366031035563764</v>
      </c>
      <c r="O50" s="53" t="n">
        <f aca="false">O20*Ratio!O75</f>
        <v>0.0419547406013298</v>
      </c>
      <c r="P50" s="68" t="n">
        <f aca="false">P20*Ratio!P75</f>
        <v>0.0660002980591111</v>
      </c>
      <c r="Q50" s="67" t="n">
        <f aca="false">Q20*Ratio!Q75</f>
        <v>0.0643922177384683</v>
      </c>
      <c r="R50" s="53" t="n">
        <f aca="false">R20*Ratio!R75</f>
        <v>0.0515895911234877</v>
      </c>
      <c r="S50" s="94" t="n">
        <f aca="false">S20*Ratio!S75</f>
        <v>0.0550084435750147</v>
      </c>
      <c r="T50" s="53" t="n">
        <f aca="false">T20*Ratio!T75</f>
        <v>0.0485310526091632</v>
      </c>
      <c r="U50" s="53" t="n">
        <f aca="false">U20*Ratio!U75</f>
        <v>0.0598146764243922</v>
      </c>
      <c r="V50" s="94" t="n">
        <f aca="false">V20*Ratio!V75</f>
        <v>0.0472304343448854</v>
      </c>
      <c r="W50" s="94" t="n">
        <f aca="false">W20*Ratio!W75</f>
        <v>0.0397415026646239</v>
      </c>
      <c r="X50" s="66" t="n">
        <f aca="false">X20*Ratio!X75</f>
        <v>0.042020866564162</v>
      </c>
      <c r="Y50" s="67" t="n">
        <f aca="false">Y20*Ratio!Y75</f>
        <v>0.0536984313021949</v>
      </c>
      <c r="Z50" s="53" t="n">
        <f aca="false">Z20*Ratio!Z75</f>
        <v>0.0454020567204001</v>
      </c>
      <c r="AA50" s="94" t="n">
        <f aca="false">AA20*Ratio!AA75</f>
        <v>0.0546870025933685</v>
      </c>
      <c r="AB50" s="53" t="n">
        <f aca="false">AB20*Ratio!AB75</f>
        <v>0.0555467114479431</v>
      </c>
      <c r="AC50" s="68" t="n">
        <f aca="false">AC20*Ratio!AC75</f>
        <v>0.0273581836151088</v>
      </c>
      <c r="AD50" s="67" t="n">
        <f aca="false">AD20*Ratio!AD75</f>
        <v>0.0313973736339654</v>
      </c>
      <c r="AE50" s="53" t="n">
        <f aca="false">AE20*Ratio!AE75</f>
        <v>0.0402600043101845</v>
      </c>
      <c r="AF50" s="94" t="n">
        <f aca="false">AF20*Ratio!AF75</f>
        <v>0.0455260569733392</v>
      </c>
      <c r="AG50" s="53" t="n">
        <f aca="false">AG20*Ratio!AG75</f>
        <v>0.0488042179598164</v>
      </c>
      <c r="AH50" s="53" t="n">
        <f aca="false">AH20*Ratio!AH75</f>
        <v>0.047774746034156</v>
      </c>
      <c r="AI50" s="66" t="n">
        <f aca="false">AI20*Ratio!AI75</f>
        <v>0.0631481873207731</v>
      </c>
      <c r="AJ50" s="67" t="n">
        <f aca="false">AJ20*Ratio!AJ75</f>
        <v>0.0629247992208682</v>
      </c>
      <c r="AK50" s="53" t="n">
        <f aca="false">AK20*Ratio!AK75</f>
        <v>0.0894779551681566</v>
      </c>
      <c r="AL50" s="53" t="n">
        <f aca="false">AL20*Ratio!AL75</f>
        <v>0.0796653470194434</v>
      </c>
      <c r="AM50" s="53" t="n">
        <f aca="false">AM20*Ratio!AM75</f>
        <v>0.0887636297737569</v>
      </c>
      <c r="AN50" s="68" t="n">
        <f aca="false">AN20*Ratio!AN75</f>
        <v>0.0974775953047051</v>
      </c>
      <c r="AO50" s="67" t="n">
        <f aca="false">AO20*Ratio!AO75</f>
        <v>0.106813122623749</v>
      </c>
      <c r="AP50" s="53" t="n">
        <f aca="false">AP20*Ratio!AP75</f>
        <v>0.156975341378802</v>
      </c>
      <c r="AQ50" s="53" t="n">
        <f aca="false">AQ20*Ratio!AQ75</f>
        <v>0.142958772515992</v>
      </c>
      <c r="AR50" s="53"/>
      <c r="AS50" s="53"/>
      <c r="AT50" s="53"/>
      <c r="AU50" s="53"/>
      <c r="AV50" s="53"/>
    </row>
    <row r="51" customFormat="false" ht="12.8" hidden="false" customHeight="false" outlineLevel="0" collapsed="false">
      <c r="A51" s="139" t="s">
        <v>191</v>
      </c>
      <c r="B51" s="65" t="n">
        <f aca="false">B21*Ratio!B80</f>
        <v>0.0232988483696199</v>
      </c>
      <c r="C51" s="65" t="n">
        <f aca="false">C21*Ratio!C80</f>
        <v>0.0277145019817765</v>
      </c>
      <c r="D51" s="53" t="n">
        <f aca="false">D21*Ratio!D80</f>
        <v>0.0277153809505188</v>
      </c>
      <c r="E51" s="94" t="n">
        <f aca="false">E21*Ratio!E80</f>
        <v>0.0266651387492152</v>
      </c>
      <c r="F51" s="53" t="n">
        <f aca="false">F21*Ratio!F80</f>
        <v>0.027691865746953</v>
      </c>
      <c r="G51" s="94" t="n">
        <f aca="false">G21*Ratio!G80</f>
        <v>0.0283385425056334</v>
      </c>
      <c r="H51" s="53" t="n">
        <f aca="false">H21*Ratio!H80</f>
        <v>0.0271969789108172</v>
      </c>
      <c r="I51" s="66" t="n">
        <f aca="false">I21*Ratio!I80</f>
        <v>0.0277835718924267</v>
      </c>
      <c r="J51" s="67" t="n">
        <f aca="false">J21*Ratio!J80</f>
        <v>0.0324298099378111</v>
      </c>
      <c r="K51" s="94" t="n">
        <f aca="false">K21*Ratio!K80</f>
        <v>0.0347568257261996</v>
      </c>
      <c r="L51" s="53" t="n">
        <f aca="false">L21*Ratio!L80</f>
        <v>0.0349025274240399</v>
      </c>
      <c r="M51" s="94" t="n">
        <f aca="false">M21*Ratio!M80</f>
        <v>0.0348951480054742</v>
      </c>
      <c r="N51" s="94" t="n">
        <f aca="false">N21*Ratio!N80</f>
        <v>0.0352462608175181</v>
      </c>
      <c r="O51" s="53" t="n">
        <f aca="false">O21*Ratio!O80</f>
        <v>0.0375937743720175</v>
      </c>
      <c r="P51" s="68" t="n">
        <f aca="false">P21*Ratio!P80</f>
        <v>0.0258877832991089</v>
      </c>
      <c r="Q51" s="67" t="n">
        <f aca="false">Q21*Ratio!Q80</f>
        <v>0.0242247788907511</v>
      </c>
      <c r="R51" s="53" t="n">
        <f aca="false">R21*Ratio!R80</f>
        <v>0.0199707969191989</v>
      </c>
      <c r="S51" s="94" t="n">
        <f aca="false">S21*Ratio!S80</f>
        <v>0.0203261568236828</v>
      </c>
      <c r="T51" s="53" t="n">
        <f aca="false">T21*Ratio!T80</f>
        <v>0.0177972390304214</v>
      </c>
      <c r="U51" s="53" t="n">
        <f aca="false">U21*Ratio!U80</f>
        <v>0.0172375532285868</v>
      </c>
      <c r="V51" s="94" t="n">
        <f aca="false">V21*Ratio!V80</f>
        <v>0.0171924924066036</v>
      </c>
      <c r="W51" s="94" t="n">
        <f aca="false">W21*Ratio!W80</f>
        <v>0.0175915172219316</v>
      </c>
      <c r="X51" s="66" t="n">
        <f aca="false">X21*Ratio!X80</f>
        <v>0.017354774836363</v>
      </c>
      <c r="Y51" s="67" t="n">
        <f aca="false">Y21*Ratio!Y80</f>
        <v>0.0194769898747571</v>
      </c>
      <c r="Z51" s="53" t="n">
        <f aca="false">Z21*Ratio!Z80</f>
        <v>0.0177242681777836</v>
      </c>
      <c r="AA51" s="94" t="n">
        <f aca="false">AA21*Ratio!AA80</f>
        <v>0.0184574873045532</v>
      </c>
      <c r="AB51" s="53" t="n">
        <f aca="false">AB21*Ratio!AB80</f>
        <v>0.0172047233826824</v>
      </c>
      <c r="AC51" s="68" t="n">
        <f aca="false">AC21*Ratio!AC80</f>
        <v>0.0154790086132468</v>
      </c>
      <c r="AD51" s="67" t="n">
        <f aca="false">AD21*Ratio!AD80</f>
        <v>0.0165215621514734</v>
      </c>
      <c r="AE51" s="53" t="n">
        <f aca="false">AE21*Ratio!AE80</f>
        <v>0.0179115951343671</v>
      </c>
      <c r="AF51" s="94" t="n">
        <f aca="false">AF21*Ratio!AF80</f>
        <v>0.0161390618887418</v>
      </c>
      <c r="AG51" s="53" t="n">
        <f aca="false">AG21*Ratio!AG80</f>
        <v>0.00946276631633999</v>
      </c>
      <c r="AH51" s="53" t="n">
        <f aca="false">AH21*Ratio!AH80</f>
        <v>0.0204009229895617</v>
      </c>
      <c r="AI51" s="66" t="n">
        <f aca="false">AI21*Ratio!AI80</f>
        <v>0.0221865893581599</v>
      </c>
      <c r="AJ51" s="67" t="n">
        <f aca="false">AJ21*Ratio!AJ80</f>
        <v>0.022665674811117</v>
      </c>
      <c r="AK51" s="53" t="n">
        <f aca="false">AK21*Ratio!AK80</f>
        <v>0.025960920778412</v>
      </c>
      <c r="AL51" s="53" t="n">
        <f aca="false">AL21*Ratio!AL80</f>
        <v>0.0255981222284813</v>
      </c>
      <c r="AM51" s="53" t="n">
        <f aca="false">AM21*Ratio!AM80</f>
        <v>0.0266097842968743</v>
      </c>
      <c r="AN51" s="68" t="n">
        <f aca="false">AN21*Ratio!AN80</f>
        <v>0.0224773410752001</v>
      </c>
      <c r="AO51" s="67" t="n">
        <f aca="false">AO21*Ratio!AO80</f>
        <v>0.0242658379502899</v>
      </c>
      <c r="AP51" s="53" t="n">
        <f aca="false">AP21*Ratio!AP80</f>
        <v>0.0225235757542878</v>
      </c>
      <c r="AQ51" s="53" t="n">
        <f aca="false">AQ21*Ratio!AQ80</f>
        <v>0.0222604873570204</v>
      </c>
      <c r="AR51" s="53"/>
      <c r="AS51" s="53"/>
      <c r="AT51" s="53"/>
      <c r="AU51" s="53"/>
      <c r="AV51" s="53"/>
    </row>
    <row r="52" customFormat="false" ht="12.8" hidden="false" customHeight="false" outlineLevel="0" collapsed="false">
      <c r="A52" s="139" t="s">
        <v>197</v>
      </c>
      <c r="B52" s="65" t="n">
        <f aca="false">B22*Ratio!B86</f>
        <v>0.0261802684576907</v>
      </c>
      <c r="C52" s="65" t="n">
        <f aca="false">C22*Ratio!C86</f>
        <v>0.0217583481324921</v>
      </c>
      <c r="D52" s="53" t="n">
        <f aca="false">D22*Ratio!D86</f>
        <v>0.0217590382011032</v>
      </c>
      <c r="E52" s="94" t="n">
        <f aca="false">E22*Ratio!E86</f>
        <v>0.022116149084544</v>
      </c>
      <c r="F52" s="53" t="n">
        <f aca="false">F22*Ratio!F86</f>
        <v>0.0256121310224856</v>
      </c>
      <c r="G52" s="94" t="n">
        <f aca="false">G22*Ratio!G86</f>
        <v>0.0177147462033338</v>
      </c>
      <c r="H52" s="53" t="n">
        <f aca="false">H22*Ratio!H86</f>
        <v>0.0179990068796009</v>
      </c>
      <c r="I52" s="66" t="n">
        <f aca="false">I22*Ratio!I86</f>
        <v>0.0183872151120717</v>
      </c>
      <c r="J52" s="67" t="n">
        <f aca="false">J22*Ratio!J86</f>
        <v>0.0129257230973447</v>
      </c>
      <c r="K52" s="94" t="n">
        <f aca="false">K22*Ratio!K86</f>
        <v>0.0128789065897559</v>
      </c>
      <c r="L52" s="53" t="n">
        <f aca="false">L22*Ratio!L86</f>
        <v>0.00967671563671866</v>
      </c>
      <c r="M52" s="94" t="n">
        <f aca="false">M22*Ratio!M86</f>
        <v>0.00967466969505498</v>
      </c>
      <c r="N52" s="94" t="n">
        <f aca="false">N22*Ratio!N86</f>
        <v>0.00983536725785056</v>
      </c>
      <c r="O52" s="53" t="n">
        <f aca="false">O22*Ratio!O86</f>
        <v>0.00726154800379582</v>
      </c>
      <c r="P52" s="68" t="n">
        <f aca="false">P22*Ratio!P86</f>
        <v>0.00621059205488664</v>
      </c>
      <c r="Q52" s="67" t="n">
        <f aca="false">Q22*Ratio!Q86</f>
        <v>0.0084521345264067</v>
      </c>
      <c r="R52" s="53" t="n">
        <f aca="false">R22*Ratio!R86</f>
        <v>0.00797692661793671</v>
      </c>
      <c r="S52" s="94" t="n">
        <f aca="false">S22*Ratio!S86</f>
        <v>0.00802654823154539</v>
      </c>
      <c r="T52" s="53" t="n">
        <f aca="false">T22*Ratio!T86</f>
        <v>0.00697629564742551</v>
      </c>
      <c r="U52" s="53" t="n">
        <f aca="false">U22*Ratio!U86</f>
        <v>0.00623801510537369</v>
      </c>
      <c r="V52" s="94" t="n">
        <f aca="false">V22*Ratio!V86</f>
        <v>0.00629794480710773</v>
      </c>
      <c r="W52" s="94" t="n">
        <f aca="false">W22*Ratio!W86</f>
        <v>0.006321001755388</v>
      </c>
      <c r="X52" s="66" t="n">
        <f aca="false">X22*Ratio!X86</f>
        <v>0.00594020224911159</v>
      </c>
      <c r="Y52" s="67" t="n">
        <f aca="false">Y22*Ratio!Y86</f>
        <v>0.00586521774371947</v>
      </c>
      <c r="Z52" s="53" t="n">
        <f aca="false">Z22*Ratio!Z86</f>
        <v>0.0059593209052193</v>
      </c>
      <c r="AA52" s="94" t="n">
        <f aca="false">AA22*Ratio!AA86</f>
        <v>0.0052883965160736</v>
      </c>
      <c r="AB52" s="53" t="n">
        <f aca="false">AB22*Ratio!AB86</f>
        <v>0.00613044816007872</v>
      </c>
      <c r="AC52" s="68" t="n">
        <f aca="false">AC22*Ratio!AC86</f>
        <v>0.0094322827027661</v>
      </c>
      <c r="AD52" s="67" t="n">
        <f aca="false">AD22*Ratio!AD86</f>
        <v>0.00821829695757418</v>
      </c>
      <c r="AE52" s="53" t="n">
        <f aca="false">AE22*Ratio!AE86</f>
        <v>0.00698837458228859</v>
      </c>
      <c r="AF52" s="94" t="n">
        <f aca="false">AF22*Ratio!AF86</f>
        <v>0.00710185551419544</v>
      </c>
      <c r="AG52" s="53" t="n">
        <f aca="false">AG22*Ratio!AG86</f>
        <v>0.0073077794725841</v>
      </c>
      <c r="AH52" s="53" t="n">
        <f aca="false">AH22*Ratio!AH86</f>
        <v>0.00953174937986004</v>
      </c>
      <c r="AI52" s="66" t="n">
        <f aca="false">AI22*Ratio!AI86</f>
        <v>0.0081512253732832</v>
      </c>
      <c r="AJ52" s="67" t="n">
        <f aca="false">AJ22*Ratio!AJ86</f>
        <v>0.00796749097040761</v>
      </c>
      <c r="AK52" s="53" t="n">
        <f aca="false">AK22*Ratio!AK86</f>
        <v>0.00838120004984114</v>
      </c>
      <c r="AL52" s="53" t="n">
        <f aca="false">AL22*Ratio!AL86</f>
        <v>0.00911513543927432</v>
      </c>
      <c r="AM52" s="53" t="n">
        <f aca="false">AM22*Ratio!AM86</f>
        <v>0.00921007710018389</v>
      </c>
      <c r="AN52" s="68" t="n">
        <f aca="false">AN22*Ratio!AN86</f>
        <v>0.00933074207199278</v>
      </c>
      <c r="AO52" s="67" t="n">
        <f aca="false">AO22*Ratio!AO86</f>
        <v>0.00868447227687225</v>
      </c>
      <c r="AP52" s="53" t="n">
        <f aca="false">AP22*Ratio!AP86</f>
        <v>0.00577792652862833</v>
      </c>
      <c r="AQ52" s="53" t="n">
        <f aca="false">AQ22*Ratio!AQ86</f>
        <v>0.00626913629012408</v>
      </c>
      <c r="AR52" s="53"/>
      <c r="AS52" s="53"/>
      <c r="AT52" s="53"/>
      <c r="AU52" s="53"/>
      <c r="AV52" s="53"/>
    </row>
    <row r="53" customFormat="false" ht="12.8" hidden="false" customHeight="false" outlineLevel="0" collapsed="false">
      <c r="A53" s="139" t="s">
        <v>198</v>
      </c>
      <c r="B53" s="65" t="n">
        <f aca="false">B23*Ratio!B87</f>
        <v>0.0142896739179311</v>
      </c>
      <c r="C53" s="65" t="n">
        <f aca="false">C23*Ratio!C87</f>
        <v>0.0143005021555122</v>
      </c>
      <c r="D53" s="53" t="n">
        <f aca="false">D23*Ratio!D87</f>
        <v>0.014300955697647</v>
      </c>
      <c r="E53" s="94" t="n">
        <f aca="false">E23*Ratio!E87</f>
        <v>0.0145356640002858</v>
      </c>
      <c r="F53" s="53" t="n">
        <f aca="false">F23*Ratio!F87</f>
        <v>0.0147949545132283</v>
      </c>
      <c r="G53" s="94" t="n">
        <f aca="false">G23*Ratio!G87</f>
        <v>0.0172547433275111</v>
      </c>
      <c r="H53" s="53" t="n">
        <f aca="false">H23*Ratio!H87</f>
        <v>0.0175316225416299</v>
      </c>
      <c r="I53" s="66" t="n">
        <f aca="false">I23*Ratio!I87</f>
        <v>0.0179097500819302</v>
      </c>
      <c r="J53" s="67" t="n">
        <f aca="false">J23*Ratio!J87</f>
        <v>0.00888355895383109</v>
      </c>
      <c r="K53" s="94" t="n">
        <f aca="false">K23*Ratio!K87</f>
        <v>0.0180640469805268</v>
      </c>
      <c r="L53" s="53" t="n">
        <f aca="false">L23*Ratio!L87</f>
        <v>0.0181397720290587</v>
      </c>
      <c r="M53" s="94" t="n">
        <f aca="false">M23*Ratio!M87</f>
        <v>0.0181359367489123</v>
      </c>
      <c r="N53" s="94" t="n">
        <f aca="false">N23*Ratio!N87</f>
        <v>0.0184371770936917</v>
      </c>
      <c r="O53" s="53" t="n">
        <f aca="false">O23*Ratio!O87</f>
        <v>0.0195384846643101</v>
      </c>
      <c r="P53" s="68" t="n">
        <f aca="false">P23*Ratio!P87</f>
        <v>0.0190897080608838</v>
      </c>
      <c r="Q53" s="67" t="n">
        <f aca="false">Q23*Ratio!Q87</f>
        <v>0.0191932494247015</v>
      </c>
      <c r="R53" s="53" t="n">
        <f aca="false">R23*Ratio!R87</f>
        <v>0.0192424806237768</v>
      </c>
      <c r="S53" s="94" t="n">
        <f aca="false">S23*Ratio!S87</f>
        <v>0.0193621812282976</v>
      </c>
      <c r="T53" s="53" t="n">
        <f aca="false">T23*Ratio!T87</f>
        <v>0.0180805703183062</v>
      </c>
      <c r="U53" s="53" t="n">
        <f aca="false">U23*Ratio!U87</f>
        <v>0.0179729423621128</v>
      </c>
      <c r="V53" s="94" t="n">
        <f aca="false">V23*Ratio!V87</f>
        <v>0.0186327204231434</v>
      </c>
      <c r="W53" s="94" t="n">
        <f aca="false">W23*Ratio!W87</f>
        <v>0.0187009353224915</v>
      </c>
      <c r="X53" s="66" t="n">
        <f aca="false">X23*Ratio!X87</f>
        <v>0.0184492626563561</v>
      </c>
      <c r="Y53" s="67" t="n">
        <f aca="false">Y23*Ratio!Y87</f>
        <v>0.0172373728346602</v>
      </c>
      <c r="Z53" s="53" t="n">
        <f aca="false">Z23*Ratio!Z87</f>
        <v>0.0175139339702515</v>
      </c>
      <c r="AA53" s="94" t="n">
        <f aca="false">AA23*Ratio!AA87</f>
        <v>0.0179327139295081</v>
      </c>
      <c r="AB53" s="53" t="n">
        <f aca="false">AB23*Ratio!AB87</f>
        <v>0.020225837182293</v>
      </c>
      <c r="AC53" s="68" t="n">
        <f aca="false">AC23*Ratio!AC87</f>
        <v>0.0205133697583023</v>
      </c>
      <c r="AD53" s="67" t="n">
        <f aca="false">AD23*Ratio!AD87</f>
        <v>0.0196606572560991</v>
      </c>
      <c r="AE53" s="53" t="n">
        <f aca="false">AE23*Ratio!AE87</f>
        <v>0.0181332312429954</v>
      </c>
      <c r="AF53" s="94" t="n">
        <f aca="false">AF23*Ratio!AF87</f>
        <v>0.0184276882666862</v>
      </c>
      <c r="AG53" s="53" t="n">
        <f aca="false">AG23*Ratio!AG87</f>
        <v>0.0189620137685559</v>
      </c>
      <c r="AH53" s="53" t="n">
        <f aca="false">AH23*Ratio!AH87</f>
        <v>0.01799041573328</v>
      </c>
      <c r="AI53" s="66" t="n">
        <f aca="false">AI23*Ratio!AI87</f>
        <v>0.0153847869217873</v>
      </c>
      <c r="AJ53" s="67" t="n">
        <f aca="false">AJ23*Ratio!AJ87</f>
        <v>0.0150380029096917</v>
      </c>
      <c r="AK53" s="53" t="n">
        <f aca="false">AK23*Ratio!AK87</f>
        <v>0.0158188457576339</v>
      </c>
      <c r="AL53" s="53" t="n">
        <f aca="false">AL23*Ratio!AL87</f>
        <v>0.0162547402239532</v>
      </c>
      <c r="AM53" s="53" t="n">
        <f aca="false">AM23*Ratio!AM87</f>
        <v>0.0164240467630383</v>
      </c>
      <c r="AN53" s="68" t="n">
        <f aca="false">AN23*Ratio!AN87</f>
        <v>0.0151277568698757</v>
      </c>
      <c r="AO53" s="67" t="n">
        <f aca="false">AO23*Ratio!AO87</f>
        <v>0.0154336983699909</v>
      </c>
      <c r="AP53" s="53" t="n">
        <f aca="false">AP23*Ratio!AP87</f>
        <v>0.0127081058776489</v>
      </c>
      <c r="AQ53" s="53" t="n">
        <f aca="false">AQ23*Ratio!AQ87</f>
        <v>0.0131240776129265</v>
      </c>
      <c r="AR53" s="53"/>
      <c r="AS53" s="53"/>
      <c r="AT53" s="53"/>
      <c r="AU53" s="53"/>
      <c r="AV53" s="53"/>
    </row>
    <row r="54" customFormat="false" ht="12.8" hidden="false" customHeight="false" outlineLevel="0" collapsed="false">
      <c r="A54" s="139" t="s">
        <v>199</v>
      </c>
      <c r="B54" s="65" t="n">
        <f aca="false">B24*Ratio!B89</f>
        <v>0.00188197105586721</v>
      </c>
      <c r="C54" s="65" t="n">
        <f aca="false">C24*Ratio!C89</f>
        <v>0.0018833971506704</v>
      </c>
      <c r="D54" s="53" t="n">
        <f aca="false">D24*Ratio!D89</f>
        <v>0.0018834568828361</v>
      </c>
      <c r="E54" s="94" t="n">
        <f aca="false">E24*Ratio!E89</f>
        <v>0.00142854202048082</v>
      </c>
      <c r="F54" s="53" t="n">
        <f aca="false">F24*Ratio!F89</f>
        <v>0.00145402468114518</v>
      </c>
      <c r="G54" s="94" t="n">
        <f aca="false">G24*Ratio!G89</f>
        <v>0.00169971331608962</v>
      </c>
      <c r="H54" s="53" t="n">
        <f aca="false">H24*Ratio!H89</f>
        <v>0.00172698786189152</v>
      </c>
      <c r="I54" s="66" t="n">
        <f aca="false">I24*Ratio!I89</f>
        <v>0.00176423607840969</v>
      </c>
      <c r="J54" s="67" t="n">
        <f aca="false">J24*Ratio!J89</f>
        <v>0.00178590388593281</v>
      </c>
      <c r="K54" s="94" t="n">
        <f aca="false">K24*Ratio!K89</f>
        <v>0.0017794354058177</v>
      </c>
      <c r="L54" s="53" t="n">
        <f aca="false">L24*Ratio!L89</f>
        <v>0.00178689485455641</v>
      </c>
      <c r="M54" s="94" t="n">
        <f aca="false">M24*Ratio!M89</f>
        <v>0.00178651705254498</v>
      </c>
      <c r="N54" s="94" t="n">
        <f aca="false">N24*Ratio!N89</f>
        <v>0.00181619134068977</v>
      </c>
      <c r="O54" s="53" t="n">
        <f aca="false">O24*Ratio!O89</f>
        <v>0.00192467786566206</v>
      </c>
      <c r="P54" s="68" t="n">
        <f aca="false">P24*Ratio!P89</f>
        <v>0.00202727645796194</v>
      </c>
      <c r="Q54" s="67" t="n">
        <f aca="false">Q24*Ratio!Q89</f>
        <v>0.00203827227668392</v>
      </c>
      <c r="R54" s="53" t="n">
        <f aca="false">R24*Ratio!R89</f>
        <v>0.00204350049969101</v>
      </c>
      <c r="S54" s="94" t="n">
        <f aca="false">S24*Ratio!S89</f>
        <v>0.00205621238699568</v>
      </c>
      <c r="T54" s="53" t="n">
        <f aca="false">T24*Ratio!T89</f>
        <v>0.0018318397777605</v>
      </c>
      <c r="U54" s="53" t="n">
        <f aca="false">U24*Ratio!U89</f>
        <v>0.00175522101443906</v>
      </c>
      <c r="V54" s="94" t="n">
        <f aca="false">V24*Ratio!V89</f>
        <v>0.00181965433282704</v>
      </c>
      <c r="W54" s="94" t="n">
        <f aca="false">W24*Ratio!W89</f>
        <v>0.00182631613713384</v>
      </c>
      <c r="X54" s="66" t="n">
        <f aca="false">X24*Ratio!X89</f>
        <v>0.00180173801611944</v>
      </c>
      <c r="Y54" s="67" t="n">
        <f aca="false">Y24*Ratio!Y89</f>
        <v>0.00194536291293906</v>
      </c>
      <c r="Z54" s="53" t="n">
        <f aca="false">Z24*Ratio!Z89</f>
        <v>0.00123669527355525</v>
      </c>
      <c r="AA54" s="94" t="n">
        <f aca="false">AA24*Ratio!AA89</f>
        <v>0.00126500087962017</v>
      </c>
      <c r="AB54" s="53" t="n">
        <f aca="false">AB24*Ratio!AB89</f>
        <v>0.00142676127702867</v>
      </c>
      <c r="AC54" s="68" t="n">
        <f aca="false">AC24*Ratio!AC89</f>
        <v>0.0016009364056999</v>
      </c>
      <c r="AD54" s="67" t="n">
        <f aca="false">AD24*Ratio!AD89</f>
        <v>0.00170185313857578</v>
      </c>
      <c r="AE54" s="53" t="n">
        <f aca="false">AE24*Ratio!AE89</f>
        <v>0.00117790848053802</v>
      </c>
      <c r="AF54" s="94" t="n">
        <f aca="false">AF24*Ratio!AF89</f>
        <v>0.00119703598300636</v>
      </c>
      <c r="AG54" s="53" t="n">
        <f aca="false">AG24*Ratio!AG89</f>
        <v>0.00125140419531025</v>
      </c>
      <c r="AH54" s="53" t="n">
        <f aca="false">AH24*Ratio!AH89</f>
        <v>0.00132634543366613</v>
      </c>
      <c r="AI54" s="66" t="n">
        <f aca="false">AI24*Ratio!AI89</f>
        <v>0.00113424515498502</v>
      </c>
      <c r="AJ54" s="67" t="n">
        <f aca="false">AJ24*Ratio!AJ89</f>
        <v>0.001108678464491</v>
      </c>
      <c r="AK54" s="53" t="n">
        <f aca="false">AK24*Ratio!AK89</f>
        <v>0.00116624619172607</v>
      </c>
      <c r="AL54" s="53" t="n">
        <f aca="false">AL24*Ratio!AL89</f>
        <v>0.00119838256053124</v>
      </c>
      <c r="AM54" s="53" t="n">
        <f aca="false">AM24*Ratio!AM89</f>
        <v>0.00121086470426458</v>
      </c>
      <c r="AN54" s="68" t="n">
        <f aca="false">AN24*Ratio!AN89</f>
        <v>0.00132774917436688</v>
      </c>
      <c r="AO54" s="67" t="n">
        <f aca="false">AO24*Ratio!AO89</f>
        <v>0.00135460137576571</v>
      </c>
      <c r="AP54" s="53" t="n">
        <f aca="false">AP24*Ratio!AP89</f>
        <v>0.00125184889813764</v>
      </c>
      <c r="AQ54" s="53" t="n">
        <f aca="false">AQ24*Ratio!AQ89</f>
        <v>0.00129282540269915</v>
      </c>
      <c r="AR54" s="53"/>
      <c r="AS54" s="53"/>
      <c r="AT54" s="53"/>
      <c r="AU54" s="53"/>
      <c r="AV54" s="53"/>
    </row>
    <row r="56" customFormat="false" ht="12.8" hidden="false" customHeight="false" outlineLevel="0" collapsed="false">
      <c r="A56" s="1" t="s">
        <v>103</v>
      </c>
    </row>
    <row r="57" customFormat="false" ht="12.8" hidden="false" customHeight="false" outlineLevel="0" collapsed="false">
      <c r="A57" s="139" t="s">
        <v>183</v>
      </c>
      <c r="B57" s="97" t="n">
        <f aca="false">B17*Ratio!B98</f>
        <v>6.27281240036345</v>
      </c>
      <c r="C57" s="72" t="n">
        <f aca="false">C17*Ratio!C98</f>
        <v>6.57421162213703</v>
      </c>
      <c r="D57" s="31" t="n">
        <f aca="false">D17*Ratio!D98</f>
        <v>6.57442012404425</v>
      </c>
      <c r="E57" s="96" t="n">
        <f aca="false">E17*Ratio!E98</f>
        <v>6.70027345140134</v>
      </c>
      <c r="F57" s="31" t="n">
        <f aca="false">F17*Ratio!F98</f>
        <v>6.81979446812509</v>
      </c>
      <c r="G57" s="96" t="n">
        <f aca="false">G17*Ratio!G98</f>
        <v>7.94026992701733</v>
      </c>
      <c r="H57" s="31" t="n">
        <f aca="false">H17*Ratio!H98</f>
        <v>8.06768391722014</v>
      </c>
      <c r="I57" s="74" t="n">
        <f aca="false">I17*Ratio!I98</f>
        <v>7.86214880016791</v>
      </c>
      <c r="J57" s="75" t="n">
        <f aca="false">J17*Ratio!J98</f>
        <v>7.90059822981644</v>
      </c>
      <c r="K57" s="72" t="n">
        <f aca="false">K17*Ratio!K98</f>
        <v>7.14287068509388</v>
      </c>
      <c r="L57" s="31" t="n">
        <f aca="false">L17*Ratio!L98</f>
        <v>7.1728138218599</v>
      </c>
      <c r="M57" s="96" t="n">
        <f aca="false">M17*Ratio!M98</f>
        <v>7.17129727852072</v>
      </c>
      <c r="N57" s="96" t="n">
        <f aca="false">N17*Ratio!N98</f>
        <v>7.2904134893129</v>
      </c>
      <c r="O57" s="31" t="n">
        <f aca="false">O17*Ratio!O98</f>
        <v>7.88254153649357</v>
      </c>
      <c r="P57" s="76" t="n">
        <f aca="false">P17*Ratio!P98</f>
        <v>7.09257874948809</v>
      </c>
      <c r="Q57" s="75" t="n">
        <f aca="false">Q17*Ratio!Q98</f>
        <v>6.73400884716081</v>
      </c>
      <c r="R57" s="31" t="n">
        <f aca="false">R17*Ratio!R98</f>
        <v>6.52290909540257</v>
      </c>
      <c r="S57" s="96" t="n">
        <f aca="false">S17*Ratio!S98</f>
        <v>6.43582312204926</v>
      </c>
      <c r="T57" s="31" t="n">
        <f aca="false">T17*Ratio!T98</f>
        <v>8.78932173169934</v>
      </c>
      <c r="U57" s="31" t="n">
        <f aca="false">U17*Ratio!U98</f>
        <v>7.41289699947317</v>
      </c>
      <c r="V57" s="96" t="n">
        <f aca="false">V17*Ratio!V98</f>
        <v>7.15152641822244</v>
      </c>
      <c r="W57" s="96" t="n">
        <f aca="false">W17*Ratio!W98</f>
        <v>6.22576615851184</v>
      </c>
      <c r="X57" s="74" t="n">
        <f aca="false">X17*Ratio!X98</f>
        <v>6.14177421763381</v>
      </c>
      <c r="Y57" s="75" t="n">
        <f aca="false">Y17*Ratio!Y98</f>
        <v>5.24476451445836</v>
      </c>
      <c r="Z57" s="31" t="n">
        <f aca="false">Z17*Ratio!Z98</f>
        <v>5.12814621224843</v>
      </c>
      <c r="AA57" s="96" t="n">
        <f aca="false">AA17*Ratio!AA98</f>
        <v>5.01144965135543</v>
      </c>
      <c r="AB57" s="31" t="n">
        <f aca="false">AB17*Ratio!AB98</f>
        <v>4.79268572386951</v>
      </c>
      <c r="AC57" s="76" t="n">
        <f aca="false">AC17*Ratio!AC98</f>
        <v>6.52025781437915</v>
      </c>
      <c r="AD57" s="75" t="n">
        <f aca="false">AD17*Ratio!AD98</f>
        <v>5.53598976701741</v>
      </c>
      <c r="AE57" s="31" t="n">
        <f aca="false">AE17*Ratio!AE98</f>
        <v>5.24080997783603</v>
      </c>
      <c r="AF57" s="96" t="n">
        <f aca="false">AF17*Ratio!AF98</f>
        <v>5.32547308257093</v>
      </c>
      <c r="AG57" s="31" t="n">
        <f aca="false">AG17*Ratio!AG98</f>
        <v>5.25587751167264</v>
      </c>
      <c r="AH57" s="31" t="n">
        <f aca="false">AH17*Ratio!AH98</f>
        <v>6.27762318561488</v>
      </c>
      <c r="AI57" s="74" t="n">
        <f aca="false">AI17*Ratio!AI98</f>
        <v>5.86981754853137</v>
      </c>
      <c r="AJ57" s="75" t="n">
        <f aca="false">AJ17*Ratio!AJ98</f>
        <v>6.11750521292905</v>
      </c>
      <c r="AK57" s="31" t="n">
        <f aca="false">AK17*Ratio!AK98</f>
        <v>5.4168930959821</v>
      </c>
      <c r="AL57" s="31" t="n">
        <f aca="false">AL17*Ratio!AL98</f>
        <v>5.56566903411364</v>
      </c>
      <c r="AM57" s="31" t="n">
        <f aca="false">AM17*Ratio!AM98</f>
        <v>5.59947266002886</v>
      </c>
      <c r="AN57" s="76" t="n">
        <f aca="false">AN17*Ratio!AN98</f>
        <v>5.58228992907721</v>
      </c>
      <c r="AO57" s="75" t="n">
        <f aca="false">AO17*Ratio!AO98</f>
        <v>5.45283252220315</v>
      </c>
      <c r="AP57" s="31" t="n">
        <f aca="false">AP17*Ratio!AP98</f>
        <v>5.39989913136138</v>
      </c>
      <c r="AQ57" s="31" t="n">
        <f aca="false">AQ17*Ratio!AQ98</f>
        <v>5.5766528847234</v>
      </c>
    </row>
    <row r="58" customFormat="false" ht="12.8" hidden="false" customHeight="false" outlineLevel="0" collapsed="false">
      <c r="A58" s="139" t="s">
        <v>31</v>
      </c>
      <c r="B58" s="97" t="n">
        <f aca="false">B18*Ratio!B100</f>
        <v>1.11957776576705</v>
      </c>
      <c r="C58" s="72" t="n">
        <f aca="false">C18*Ratio!C100</f>
        <v>1.12042614440101</v>
      </c>
      <c r="D58" s="31" t="n">
        <f aca="false">D18*Ratio!D100</f>
        <v>1.12046167885007</v>
      </c>
      <c r="E58" s="96" t="n">
        <f aca="false">E18*Ratio!E100</f>
        <v>0.898943297139213</v>
      </c>
      <c r="F58" s="31" t="n">
        <f aca="false">F18*Ratio!F100</f>
        <v>0.742751465163021</v>
      </c>
      <c r="G58" s="96" t="n">
        <f aca="false">G18*Ratio!G100</f>
        <v>0.529256296850192</v>
      </c>
      <c r="H58" s="31" t="n">
        <f aca="false">H18*Ratio!H100</f>
        <v>0.537749037933489</v>
      </c>
      <c r="I58" s="74" t="n">
        <f aca="false">I18*Ratio!I100</f>
        <v>0.486388142382189</v>
      </c>
      <c r="J58" s="75" t="n">
        <f aca="false">J18*Ratio!J100</f>
        <v>0.515245879472402</v>
      </c>
      <c r="K58" s="72" t="n">
        <f aca="false">K18*Ratio!K100</f>
        <v>0.825892074055338</v>
      </c>
      <c r="L58" s="31" t="n">
        <f aca="false">L18*Ratio!L100</f>
        <v>0.82935423939721</v>
      </c>
      <c r="M58" s="96" t="n">
        <f aca="false">M18*Ratio!M100</f>
        <v>0.838118047760221</v>
      </c>
      <c r="N58" s="96" t="n">
        <f aca="false">N18*Ratio!N100</f>
        <v>0.683824789785777</v>
      </c>
      <c r="O58" s="31" t="n">
        <f aca="false">O18*Ratio!O100</f>
        <v>0.181989674299853</v>
      </c>
      <c r="P58" s="76" t="n">
        <f aca="false">P18*Ratio!P100</f>
        <v>0.250234406160834</v>
      </c>
      <c r="Q58" s="75" t="n">
        <f aca="false">Q18*Ratio!Q100</f>
        <v>0.284730936240704</v>
      </c>
      <c r="R58" s="31" t="n">
        <f aca="false">R18*Ratio!R100</f>
        <v>0.242213490494312</v>
      </c>
      <c r="S58" s="96" t="n">
        <f aca="false">S18*Ratio!S100</f>
        <v>0.317740469172475</v>
      </c>
      <c r="T58" s="31" t="n">
        <f aca="false">T18*Ratio!T100</f>
        <v>0.209608861501007</v>
      </c>
      <c r="U58" s="31" t="n">
        <f aca="false">U18*Ratio!U100</f>
        <v>1.05329500805326</v>
      </c>
      <c r="V58" s="96" t="n">
        <f aca="false">V18*Ratio!V100</f>
        <v>1.10118381141765</v>
      </c>
      <c r="W58" s="96" t="n">
        <f aca="false">W18*Ratio!W100</f>
        <v>1.10521527548483</v>
      </c>
      <c r="X58" s="74" t="n">
        <f aca="false">X18*Ratio!X100</f>
        <v>1.09034155552172</v>
      </c>
      <c r="Y58" s="75" t="n">
        <f aca="false">Y18*Ratio!Y100</f>
        <v>1.13357977840517</v>
      </c>
      <c r="Z58" s="31" t="n">
        <f aca="false">Z18*Ratio!Z100</f>
        <v>1.15681391290261</v>
      </c>
      <c r="AA58" s="96" t="n">
        <f aca="false">AA18*Ratio!AA100</f>
        <v>1.29915825522705</v>
      </c>
      <c r="AB58" s="31" t="n">
        <f aca="false">AB18*Ratio!AB100</f>
        <v>1.16521650205537</v>
      </c>
      <c r="AC58" s="76" t="n">
        <f aca="false">AC18*Ratio!AC100</f>
        <v>0.562433536773581</v>
      </c>
      <c r="AD58" s="75" t="n">
        <f aca="false">AD18*Ratio!AD100</f>
        <v>0.597630634361451</v>
      </c>
      <c r="AE58" s="31" t="n">
        <f aca="false">AE18*Ratio!AE100</f>
        <v>0.686134178937095</v>
      </c>
      <c r="AF58" s="96" t="n">
        <f aca="false">AF18*Ratio!AF100</f>
        <v>0.53452322081124</v>
      </c>
      <c r="AG58" s="31" t="n">
        <f aca="false">AG18*Ratio!AG100</f>
        <v>0.604104152658572</v>
      </c>
      <c r="AH58" s="31" t="n">
        <f aca="false">AH18*Ratio!AH100</f>
        <v>0.930876602793354</v>
      </c>
      <c r="AI58" s="74" t="n">
        <f aca="false">AI18*Ratio!AI100</f>
        <v>2.04605567015351</v>
      </c>
      <c r="AJ58" s="75" t="n">
        <f aca="false">AJ18*Ratio!AJ100</f>
        <v>2.29069893167323</v>
      </c>
      <c r="AK58" s="31" t="n">
        <f aca="false">AK18*Ratio!AK100</f>
        <v>2.39376198661077</v>
      </c>
      <c r="AL58" s="31" t="n">
        <f aca="false">AL18*Ratio!AL100</f>
        <v>2.15427255779074</v>
      </c>
      <c r="AM58" s="31" t="n">
        <f aca="false">AM18*Ratio!AM100</f>
        <v>2.06069406770076</v>
      </c>
      <c r="AN58" s="76" t="n">
        <f aca="false">AN18*Ratio!AN100</f>
        <v>1.18747644874127</v>
      </c>
      <c r="AO58" s="75" t="n">
        <f aca="false">AO18*Ratio!AO100</f>
        <v>1.15064454108953</v>
      </c>
      <c r="AP58" s="31" t="n">
        <f aca="false">AP18*Ratio!AP100</f>
        <v>1.31207440327947</v>
      </c>
      <c r="AQ58" s="31" t="n">
        <f aca="false">AQ18*Ratio!AQ100</f>
        <v>1.06438573463138</v>
      </c>
    </row>
    <row r="59" customFormat="false" ht="12.8" hidden="false" customHeight="false" outlineLevel="0" collapsed="false">
      <c r="A59" s="139" t="s">
        <v>184</v>
      </c>
      <c r="B59" s="97" t="n">
        <f aca="false">B19*Ratio!B101</f>
        <v>2.22607412077971</v>
      </c>
      <c r="C59" s="72" t="n">
        <f aca="false">C19*Ratio!C101</f>
        <v>1.79876077953752</v>
      </c>
      <c r="D59" s="31" t="n">
        <f aca="false">D19*Ratio!D101</f>
        <v>1.79804717632224</v>
      </c>
      <c r="E59" s="96" t="n">
        <f aca="false">E19*Ratio!E101</f>
        <v>1.82755685453825</v>
      </c>
      <c r="F59" s="31" t="n">
        <f aca="false">F19*Ratio!F101</f>
        <v>1.64512311992269</v>
      </c>
      <c r="G59" s="96" t="n">
        <f aca="false">G19*Ratio!G101</f>
        <v>2.49609564836223</v>
      </c>
      <c r="H59" s="31" t="n">
        <f aca="false">H19*Ratio!H101</f>
        <v>2.08887595773953</v>
      </c>
      <c r="I59" s="74" t="n">
        <f aca="false">I19*Ratio!I101</f>
        <v>1.97111947823447</v>
      </c>
      <c r="J59" s="75" t="n">
        <f aca="false">J19*Ratio!J101</f>
        <v>2.01344700163922</v>
      </c>
      <c r="K59" s="72" t="n">
        <f aca="false">K19*Ratio!K101</f>
        <v>1.84176109269438</v>
      </c>
      <c r="L59" s="31" t="n">
        <f aca="false">L19*Ratio!L101</f>
        <v>1.83749204976102</v>
      </c>
      <c r="M59" s="96" t="n">
        <f aca="false">M19*Ratio!M101</f>
        <v>1.82190095961519</v>
      </c>
      <c r="N59" s="96" t="n">
        <f aca="false">N19*Ratio!N101</f>
        <v>1.85216297920793</v>
      </c>
      <c r="O59" s="31" t="n">
        <f aca="false">O19*Ratio!O101</f>
        <v>2.07932156284345</v>
      </c>
      <c r="P59" s="76" t="n">
        <f aca="false">P19*Ratio!P101</f>
        <v>1.77048749201221</v>
      </c>
      <c r="Q59" s="75" t="n">
        <f aca="false">Q19*Ratio!Q101</f>
        <v>1.96760988454347</v>
      </c>
      <c r="R59" s="31" t="n">
        <f aca="false">R19*Ratio!R101</f>
        <v>2.59774752831735</v>
      </c>
      <c r="S59" s="96" t="n">
        <f aca="false">S19*Ratio!S101</f>
        <v>2.29184354137211</v>
      </c>
      <c r="T59" s="31" t="n">
        <f aca="false">T19*Ratio!T101</f>
        <v>1.87447718475827</v>
      </c>
      <c r="U59" s="31" t="n">
        <f aca="false">U19*Ratio!U101</f>
        <v>1.78048847076386</v>
      </c>
      <c r="V59" s="96" t="n">
        <f aca="false">V19*Ratio!V101</f>
        <v>1.57331187527486</v>
      </c>
      <c r="W59" s="96" t="n">
        <f aca="false">W19*Ratio!W101</f>
        <v>1.57907181310347</v>
      </c>
      <c r="X59" s="74" t="n">
        <f aca="false">X19*Ratio!X101</f>
        <v>1.86516745589515</v>
      </c>
      <c r="Y59" s="75" t="n">
        <f aca="false">Y19*Ratio!Y101</f>
        <v>2.22328456554683</v>
      </c>
      <c r="Z59" s="31" t="n">
        <f aca="false">Z19*Ratio!Z101</f>
        <v>2.01846286563144</v>
      </c>
      <c r="AA59" s="96" t="n">
        <f aca="false">AA19*Ratio!AA101</f>
        <v>2.05377359553356</v>
      </c>
      <c r="AB59" s="31" t="n">
        <f aca="false">AB19*Ratio!AB101</f>
        <v>2.01679849129893</v>
      </c>
      <c r="AC59" s="76" t="n">
        <f aca="false">AC19*Ratio!AC101</f>
        <v>1.79309989559711</v>
      </c>
      <c r="AD59" s="75" t="n">
        <f aca="false">AD19*Ratio!AD101</f>
        <v>2.10547465331876</v>
      </c>
      <c r="AE59" s="31" t="n">
        <f aca="false">AE19*Ratio!AE101</f>
        <v>1.88698486280557</v>
      </c>
      <c r="AF59" s="96" t="n">
        <f aca="false">AF19*Ratio!AF101</f>
        <v>1.91683836463878</v>
      </c>
      <c r="AG59" s="31" t="n">
        <f aca="false">AG19*Ratio!AG101</f>
        <v>1.67606433985054</v>
      </c>
      <c r="AH59" s="31" t="n">
        <f aca="false">AH19*Ratio!AH101</f>
        <v>1.6904594815473</v>
      </c>
      <c r="AI59" s="74" t="n">
        <f aca="false">AI19*Ratio!AI101</f>
        <v>2.7637077832833</v>
      </c>
      <c r="AJ59" s="75" t="n">
        <f aca="false">AJ19*Ratio!AJ101</f>
        <v>2.44290375574361</v>
      </c>
      <c r="AK59" s="31" t="n">
        <f aca="false">AK19*Ratio!AK101</f>
        <v>2.20994760752293</v>
      </c>
      <c r="AL59" s="31" t="n">
        <f aca="false">AL19*Ratio!AL101</f>
        <v>1.97965834613909</v>
      </c>
      <c r="AM59" s="31" t="n">
        <f aca="false">AM19*Ratio!AM101</f>
        <v>1.78757748537608</v>
      </c>
      <c r="AN59" s="76" t="n">
        <f aca="false">AN19*Ratio!AN101</f>
        <v>0.919845663422008</v>
      </c>
      <c r="AO59" s="75" t="n">
        <f aca="false">AO19*Ratio!AO101</f>
        <v>0.905168677655301</v>
      </c>
      <c r="AP59" s="31" t="n">
        <f aca="false">AP19*Ratio!AP101</f>
        <v>0.939367979868716</v>
      </c>
      <c r="AQ59" s="31" t="n">
        <f aca="false">AQ19*Ratio!AQ101</f>
        <v>0.886503134107753</v>
      </c>
    </row>
    <row r="60" customFormat="false" ht="12.8" hidden="false" customHeight="false" outlineLevel="0" collapsed="false">
      <c r="A60" s="139" t="s">
        <v>187</v>
      </c>
      <c r="B60" s="97" t="n">
        <f aca="false">B20*Ratio!B105</f>
        <v>0.406956907710226</v>
      </c>
      <c r="C60" s="72" t="n">
        <f aca="false">C20*Ratio!C105</f>
        <v>0.415171136836364</v>
      </c>
      <c r="D60" s="31" t="n">
        <f aca="false">D20*Ratio!D105</f>
        <v>0.415184304038583</v>
      </c>
      <c r="E60" s="96" t="n">
        <f aca="false">E20*Ratio!E105</f>
        <v>0.40862376386592</v>
      </c>
      <c r="F60" s="31" t="n">
        <f aca="false">F20*Ratio!F105</f>
        <v>0.425469679115278</v>
      </c>
      <c r="G60" s="96" t="n">
        <f aca="false">G20*Ratio!G105</f>
        <v>0.239715850651844</v>
      </c>
      <c r="H60" s="31" t="n">
        <f aca="false">H20*Ratio!H105</f>
        <v>0.245975585105734</v>
      </c>
      <c r="I60" s="74" t="n">
        <f aca="false">I20*Ratio!I105</f>
        <v>0.281543408535122</v>
      </c>
      <c r="J60" s="75" t="n">
        <f aca="false">J20*Ratio!J105</f>
        <v>0.239526834671651</v>
      </c>
      <c r="K60" s="72" t="n">
        <f aca="false">K20*Ratio!K105</f>
        <v>0.245495562569929</v>
      </c>
      <c r="L60" s="31" t="n">
        <f aca="false">L20*Ratio!L105</f>
        <v>0.237215936817086</v>
      </c>
      <c r="M60" s="96" t="n">
        <f aca="false">M20*Ratio!M105</f>
        <v>0.237165782406577</v>
      </c>
      <c r="N60" s="96" t="n">
        <f aca="false">N20*Ratio!N105</f>
        <v>0.238630245611758</v>
      </c>
      <c r="O60" s="31" t="n">
        <f aca="false">O20*Ratio!O105</f>
        <v>0.266093149324182</v>
      </c>
      <c r="P60" s="76" t="n">
        <f aca="false">P20*Ratio!P105</f>
        <v>0.383201349726869</v>
      </c>
      <c r="Q60" s="75" t="n">
        <f aca="false">Q20*Ratio!Q105</f>
        <v>0.377957020082252</v>
      </c>
      <c r="R60" s="31" t="n">
        <f aca="false">R20*Ratio!R105</f>
        <v>0.328873014471953</v>
      </c>
      <c r="S60" s="96" t="n">
        <f aca="false">S20*Ratio!S105</f>
        <v>0.34318256470593</v>
      </c>
      <c r="T60" s="31" t="n">
        <f aca="false">T20*Ratio!T105</f>
        <v>0.303867946745377</v>
      </c>
      <c r="U60" s="31" t="n">
        <f aca="false">U20*Ratio!U105</f>
        <v>0.713020941004902</v>
      </c>
      <c r="V60" s="96" t="n">
        <f aca="false">V20*Ratio!V105</f>
        <v>0.62380888979271</v>
      </c>
      <c r="W60" s="96" t="n">
        <f aca="false">W20*Ratio!W105</f>
        <v>0.561937157910445</v>
      </c>
      <c r="X60" s="74" t="n">
        <f aca="false">X20*Ratio!X105</f>
        <v>0.578354343460042</v>
      </c>
      <c r="Y60" s="75" t="n">
        <f aca="false">Y20*Ratio!Y105</f>
        <v>0.692778516179744</v>
      </c>
      <c r="Z60" s="31" t="n">
        <f aca="false">Z20*Ratio!Z105</f>
        <v>0.628592660610559</v>
      </c>
      <c r="AA60" s="96" t="n">
        <f aca="false">AA20*Ratio!AA105</f>
        <v>0.711005397894435</v>
      </c>
      <c r="AB60" s="31" t="n">
        <f aca="false">AB20*Ratio!AB105</f>
        <v>0.751771463239288</v>
      </c>
      <c r="AC60" s="76" t="n">
        <f aca="false">AC20*Ratio!AC105</f>
        <v>0.608168844068636</v>
      </c>
      <c r="AD60" s="75" t="n">
        <f aca="false">AD20*Ratio!AD105</f>
        <v>0.675528179125972</v>
      </c>
      <c r="AE60" s="31" t="n">
        <f aca="false">AE20*Ratio!AE105</f>
        <v>0.788631756524641</v>
      </c>
      <c r="AF60" s="96" t="n">
        <f aca="false">AF20*Ratio!AF105</f>
        <v>0.853010313427459</v>
      </c>
      <c r="AG60" s="31" t="n">
        <f aca="false">AG20*Ratio!AG105</f>
        <v>1.06230468676382</v>
      </c>
      <c r="AH60" s="31" t="n">
        <f aca="false">AH20*Ratio!AH105</f>
        <v>1.07503073552389</v>
      </c>
      <c r="AI60" s="74" t="n">
        <f aca="false">AI20*Ratio!AI105</f>
        <v>1.18775517180962</v>
      </c>
      <c r="AJ60" s="75" t="n">
        <f aca="false">AJ20*Ratio!AJ105</f>
        <v>1.17439994321264</v>
      </c>
      <c r="AK60" s="31" t="n">
        <f aca="false">AK20*Ratio!AK105</f>
        <v>1.48173215979353</v>
      </c>
      <c r="AL60" s="31" t="n">
        <f aca="false">AL20*Ratio!AL105</f>
        <v>1.38674333386057</v>
      </c>
      <c r="AM60" s="31" t="n">
        <f aca="false">AM20*Ratio!AM105</f>
        <v>1.28336021216257</v>
      </c>
      <c r="AN60" s="76" t="n">
        <f aca="false">AN20*Ratio!AN105</f>
        <v>1.36031628212129</v>
      </c>
      <c r="AO60" s="75" t="n">
        <f aca="false">AO20*Ratio!AO105</f>
        <v>1.45100621853167</v>
      </c>
      <c r="AP60" s="31" t="n">
        <f aca="false">AP20*Ratio!AP105</f>
        <v>1.80122293552392</v>
      </c>
      <c r="AQ60" s="31" t="n">
        <f aca="false">AQ20*Ratio!AQ105</f>
        <v>1.715366260215</v>
      </c>
    </row>
    <row r="61" customFormat="false" ht="12.8" hidden="false" customHeight="false" outlineLevel="0" collapsed="false">
      <c r="A61" s="139" t="s">
        <v>191</v>
      </c>
      <c r="B61" s="97" t="n">
        <f aca="false">B21*Ratio!B110</f>
        <v>0.644527758005974</v>
      </c>
      <c r="C61" s="72" t="n">
        <f aca="false">C21*Ratio!C110</f>
        <v>0.775016492959747</v>
      </c>
      <c r="D61" s="31" t="n">
        <f aca="false">D21*Ratio!D110</f>
        <v>0.775041072700437</v>
      </c>
      <c r="E61" s="96" t="n">
        <f aca="false">E21*Ratio!E110</f>
        <v>0.743197758330877</v>
      </c>
      <c r="F61" s="31" t="n">
        <f aca="false">F21*Ratio!F110</f>
        <v>0.772762929663234</v>
      </c>
      <c r="G61" s="96" t="n">
        <f aca="false">G21*Ratio!G110</f>
        <v>0.786838768027662</v>
      </c>
      <c r="H61" s="31" t="n">
        <f aca="false">H21*Ratio!H110</f>
        <v>0.752363703297096</v>
      </c>
      <c r="I61" s="74" t="n">
        <f aca="false">I21*Ratio!I110</f>
        <v>0.768590919908874</v>
      </c>
      <c r="J61" s="75" t="n">
        <f aca="false">J21*Ratio!J110</f>
        <v>0.705758508522989</v>
      </c>
      <c r="K61" s="72" t="n">
        <f aca="false">K21*Ratio!K110</f>
        <v>0.756166229250222</v>
      </c>
      <c r="L61" s="31" t="n">
        <f aca="false">L21*Ratio!L110</f>
        <v>0.759336101675259</v>
      </c>
      <c r="M61" s="96" t="n">
        <f aca="false">M21*Ratio!M110</f>
        <v>0.75917555573948</v>
      </c>
      <c r="N61" s="96" t="n">
        <f aca="false">N21*Ratio!N110</f>
        <v>0.766835038953183</v>
      </c>
      <c r="O61" s="31" t="n">
        <f aca="false">O21*Ratio!O110</f>
        <v>0.817886616980209</v>
      </c>
      <c r="P61" s="76" t="n">
        <f aca="false">P21*Ratio!P110</f>
        <v>0.564130302872012</v>
      </c>
      <c r="Q61" s="75" t="n">
        <f aca="false">Q21*Ratio!Q110</f>
        <v>1.24865562594385</v>
      </c>
      <c r="R61" s="31" t="n">
        <f aca="false">R21*Ratio!R110</f>
        <v>1.03038837878601</v>
      </c>
      <c r="S61" s="96" t="n">
        <f aca="false">S21*Ratio!S110</f>
        <v>1.04866067093196</v>
      </c>
      <c r="T61" s="31" t="n">
        <f aca="false">T21*Ratio!T110</f>
        <v>0.918272432486649</v>
      </c>
      <c r="U61" s="31" t="n">
        <f aca="false">U21*Ratio!U110</f>
        <v>0.889039461756079</v>
      </c>
      <c r="V61" s="96" t="n">
        <f aca="false">V21*Ratio!V110</f>
        <v>0.886889794218273</v>
      </c>
      <c r="W61" s="96" t="n">
        <f aca="false">W21*Ratio!W110</f>
        <v>0.578677801834498</v>
      </c>
      <c r="X61" s="74" t="n">
        <f aca="false">X21*Ratio!X110</f>
        <v>0.57089009588773</v>
      </c>
      <c r="Y61" s="75" t="n">
        <f aca="false">Y21*Ratio!Y110</f>
        <v>0.64011024369052</v>
      </c>
      <c r="Z61" s="31" t="n">
        <f aca="false">Z21*Ratio!Z110</f>
        <v>0.584067077008659</v>
      </c>
      <c r="AA61" s="96" t="n">
        <f aca="false">AA21*Ratio!AA110</f>
        <v>0.60795878385425</v>
      </c>
      <c r="AB61" s="31" t="n">
        <f aca="false">AB21*Ratio!AB110</f>
        <v>0.569493791725357</v>
      </c>
      <c r="AC61" s="76" t="n">
        <f aca="false">AC21*Ratio!AC110</f>
        <v>0.514411957490446</v>
      </c>
      <c r="AD61" s="75" t="n">
        <f aca="false">AD21*Ratio!AD110</f>
        <v>8.518975121719</v>
      </c>
      <c r="AE61" s="31" t="n">
        <f aca="false">AE21*Ratio!AE110</f>
        <v>9.2121955946364</v>
      </c>
      <c r="AF61" s="96" t="n">
        <f aca="false">AF21*Ratio!AF110</f>
        <v>8.34800385258099</v>
      </c>
      <c r="AG61" s="31" t="n">
        <f aca="false">AG21*Ratio!AG110</f>
        <v>5.04940955666941</v>
      </c>
      <c r="AH61" s="31" t="n">
        <f aca="false">AH21*Ratio!AH110</f>
        <v>15.1995633816853</v>
      </c>
      <c r="AI61" s="74" t="n">
        <f aca="false">AI21*Ratio!AI110</f>
        <v>16.4270230399459</v>
      </c>
      <c r="AJ61" s="75" t="n">
        <f aca="false">AJ21*Ratio!AJ110</f>
        <v>16.763755496913</v>
      </c>
      <c r="AK61" s="31" t="n">
        <f aca="false">AK21*Ratio!AK110</f>
        <v>19.162510208175</v>
      </c>
      <c r="AL61" s="31" t="n">
        <f aca="false">AL21*Ratio!AL110</f>
        <v>18.9128882693018</v>
      </c>
      <c r="AM61" s="31" t="n">
        <f aca="false">AM21*Ratio!AM110</f>
        <v>19.6473002649938</v>
      </c>
      <c r="AN61" s="76" t="n">
        <f aca="false">AN21*Ratio!AN110</f>
        <v>17.1135590931771</v>
      </c>
      <c r="AO61" s="75" t="n">
        <f aca="false">AO21*Ratio!AO110</f>
        <v>18.4493843317403</v>
      </c>
      <c r="AP61" s="31" t="n">
        <f aca="false">AP21*Ratio!AP110</f>
        <v>17.1229052273865</v>
      </c>
      <c r="AQ61" s="31" t="n">
        <f aca="false">AQ21*Ratio!AQ110</f>
        <v>16.9412604690255</v>
      </c>
    </row>
    <row r="62" customFormat="false" ht="12.8" hidden="false" customHeight="false" outlineLevel="0" collapsed="false">
      <c r="A62" s="139" t="s">
        <v>197</v>
      </c>
      <c r="B62" s="97" t="n">
        <f aca="false">B22*Ratio!B116</f>
        <v>0.0632860306318537</v>
      </c>
      <c r="C62" s="72" t="n">
        <f aca="false">C22*Ratio!C116</f>
        <v>0.0531485227640006</v>
      </c>
      <c r="D62" s="31" t="n">
        <f aca="false">D22*Ratio!D116</f>
        <v>0.0531502083757514</v>
      </c>
      <c r="E62" s="96" t="n">
        <f aca="false">E22*Ratio!E116</f>
        <v>0.0540225133780544</v>
      </c>
      <c r="F62" s="31" t="n">
        <f aca="false">F22*Ratio!F116</f>
        <v>0.062104476875165</v>
      </c>
      <c r="G62" s="96" t="n">
        <f aca="false">G22*Ratio!G116</f>
        <v>0.0925374480504922</v>
      </c>
      <c r="H62" s="31" t="n">
        <f aca="false">H22*Ratio!H116</f>
        <v>0.0940223554412574</v>
      </c>
      <c r="I62" s="74" t="n">
        <f aca="false">I22*Ratio!I116</f>
        <v>0.0960502591285415</v>
      </c>
      <c r="J62" s="75" t="n">
        <f aca="false">J22*Ratio!J116</f>
        <v>0.0704138914978896</v>
      </c>
      <c r="K62" s="72" t="n">
        <f aca="false">K22*Ratio!K116</f>
        <v>0.0701588548967773</v>
      </c>
      <c r="L62" s="31" t="n">
        <f aca="false">L22*Ratio!L116</f>
        <v>0.0547428536357778</v>
      </c>
      <c r="M62" s="96" t="n">
        <f aca="false">M22*Ratio!M116</f>
        <v>0.0547312793900061</v>
      </c>
      <c r="N62" s="96" t="n">
        <f aca="false">N22*Ratio!N116</f>
        <v>0.0556403732902509</v>
      </c>
      <c r="O62" s="31" t="n">
        <f aca="false">O22*Ratio!O116</f>
        <v>0.0433127567807959</v>
      </c>
      <c r="P62" s="76" t="n">
        <f aca="false">P22*Ratio!P116</f>
        <v>0.0504498630691734</v>
      </c>
      <c r="Q62" s="75" t="n">
        <f aca="false">Q22*Ratio!Q116</f>
        <v>0.0651105021539445</v>
      </c>
      <c r="R62" s="31" t="n">
        <f aca="false">R22*Ratio!R116</f>
        <v>0.0620782193152206</v>
      </c>
      <c r="S62" s="96" t="n">
        <f aca="false">S22*Ratio!S116</f>
        <v>0.0624643857625147</v>
      </c>
      <c r="T62" s="31" t="n">
        <f aca="false">T22*Ratio!T116</f>
        <v>0.0545204923785209</v>
      </c>
      <c r="U62" s="31" t="n">
        <f aca="false">U22*Ratio!U116</f>
        <v>0.0415976157347443</v>
      </c>
      <c r="V62" s="96" t="n">
        <f aca="false">V22*Ratio!V116</f>
        <v>0.0421878841268483</v>
      </c>
      <c r="W62" s="96" t="n">
        <f aca="false">W22*Ratio!W116</f>
        <v>0.0423423351250961</v>
      </c>
      <c r="X62" s="74" t="n">
        <f aca="false">X22*Ratio!X116</f>
        <v>0.040127510773114</v>
      </c>
      <c r="Y62" s="75" t="n">
        <f aca="false">Y22*Ratio!Y116</f>
        <v>0.0402529454397987</v>
      </c>
      <c r="Z62" s="31" t="n">
        <f aca="false">Z22*Ratio!Z116</f>
        <v>0.0408987747322613</v>
      </c>
      <c r="AA62" s="96" t="n">
        <f aca="false">AA22*Ratio!AA116</f>
        <v>0.0372538324411318</v>
      </c>
      <c r="AB62" s="31" t="n">
        <f aca="false">AB22*Ratio!AB116</f>
        <v>0.0429647396582335</v>
      </c>
      <c r="AC62" s="76" t="n">
        <f aca="false">AC22*Ratio!AC116</f>
        <v>0.08652741632001</v>
      </c>
      <c r="AD62" s="75" t="n">
        <f aca="false">AD22*Ratio!AD116</f>
        <v>0.0782332115873876</v>
      </c>
      <c r="AE62" s="31" t="n">
        <f aca="false">AE22*Ratio!AE116</f>
        <v>0.0690451781393159</v>
      </c>
      <c r="AF62" s="96" t="n">
        <f aca="false">AF22*Ratio!AF116</f>
        <v>0.0701663703517056</v>
      </c>
      <c r="AG62" s="31" t="n">
        <f aca="false">AG22*Ratio!AG116</f>
        <v>0.0722009001586986</v>
      </c>
      <c r="AH62" s="31" t="n">
        <f aca="false">AH22*Ratio!AH116</f>
        <v>0.18419049035186</v>
      </c>
      <c r="AI62" s="74" t="n">
        <f aca="false">AI22*Ratio!AI116</f>
        <v>0.157513394303659</v>
      </c>
      <c r="AJ62" s="75" t="n">
        <f aca="false">AJ22*Ratio!AJ116</f>
        <v>0.153962930646729</v>
      </c>
      <c r="AK62" s="31" t="n">
        <f aca="false">AK22*Ratio!AK116</f>
        <v>0.161957399989879</v>
      </c>
      <c r="AL62" s="31" t="n">
        <f aca="false">AL22*Ratio!AL116</f>
        <v>0.174128412952827</v>
      </c>
      <c r="AM62" s="31" t="n">
        <f aca="false">AM22*Ratio!AM116</f>
        <v>0.175942104131354</v>
      </c>
      <c r="AN62" s="76" t="n">
        <f aca="false">AN22*Ratio!AN116</f>
        <v>0.198291548184165</v>
      </c>
      <c r="AO62" s="75" t="n">
        <f aca="false">AO22*Ratio!AO116</f>
        <v>0.188040549504155</v>
      </c>
      <c r="AP62" s="31" t="n">
        <f aca="false">AP22*Ratio!AP116</f>
        <v>0.134330782288434</v>
      </c>
      <c r="AQ62" s="31" t="n">
        <f aca="false">AQ22*Ratio!AQ116</f>
        <v>0.14413978762946</v>
      </c>
    </row>
    <row r="63" customFormat="false" ht="12.8" hidden="false" customHeight="false" outlineLevel="0" collapsed="false">
      <c r="A63" s="139" t="s">
        <v>198</v>
      </c>
      <c r="B63" s="97" t="n">
        <f aca="false">B23*Ratio!B117</f>
        <v>0.161536565660899</v>
      </c>
      <c r="C63" s="72" t="n">
        <f aca="false">C23*Ratio!C117</f>
        <v>0.161658972674597</v>
      </c>
      <c r="D63" s="31" t="n">
        <f aca="false">D23*Ratio!D117</f>
        <v>0.161664099708234</v>
      </c>
      <c r="E63" s="96" t="n">
        <f aca="false">E23*Ratio!E117</f>
        <v>0.164317342417488</v>
      </c>
      <c r="F63" s="31" t="n">
        <f aca="false">F23*Ratio!F117</f>
        <v>0.16724847291142</v>
      </c>
      <c r="G63" s="96" t="n">
        <f aca="false">G23*Ratio!G117</f>
        <v>0.597913903653613</v>
      </c>
      <c r="H63" s="31" t="n">
        <f aca="false">H23*Ratio!H117</f>
        <v>0.60750836290531</v>
      </c>
      <c r="I63" s="74" t="n">
        <f aca="false">I23*Ratio!I117</f>
        <v>0.620611294047695</v>
      </c>
      <c r="J63" s="75" t="n">
        <f aca="false">J23*Ratio!J117</f>
        <v>0.304176537838094</v>
      </c>
      <c r="K63" s="72" t="n">
        <f aca="false">K23*Ratio!K117</f>
        <v>0.625958012872219</v>
      </c>
      <c r="L63" s="31" t="n">
        <f aca="false">L23*Ratio!L117</f>
        <v>0.628582048391766</v>
      </c>
      <c r="M63" s="96" t="n">
        <f aca="false">M23*Ratio!M117</f>
        <v>0.62844914770003</v>
      </c>
      <c r="N63" s="96" t="n">
        <f aca="false">N23*Ratio!N117</f>
        <v>0.638887772434472</v>
      </c>
      <c r="O63" s="31" t="n">
        <f aca="false">O23*Ratio!O117</f>
        <v>0.677050444354479</v>
      </c>
      <c r="P63" s="76" t="n">
        <f aca="false">P23*Ratio!P117</f>
        <v>0.17076117687501</v>
      </c>
      <c r="Q63" s="75" t="n">
        <f aca="false">Q23*Ratio!Q117</f>
        <v>0.171687374650501</v>
      </c>
      <c r="R63" s="31" t="n">
        <f aca="false">R23*Ratio!R117</f>
        <v>0.172127757367002</v>
      </c>
      <c r="S63" s="96" t="n">
        <f aca="false">S23*Ratio!S117</f>
        <v>0.173198502714989</v>
      </c>
      <c r="T63" s="31" t="n">
        <f aca="false">T23*Ratio!T117</f>
        <v>0.161754789154203</v>
      </c>
      <c r="U63" s="31" t="n">
        <f aca="false">U23*Ratio!U117</f>
        <v>0.211749690814071</v>
      </c>
      <c r="V63" s="96" t="n">
        <f aca="false">V23*Ratio!V117</f>
        <v>0.219522920016855</v>
      </c>
      <c r="W63" s="96" t="n">
        <f aca="false">W23*Ratio!W117</f>
        <v>0.220326599434218</v>
      </c>
      <c r="X63" s="74" t="n">
        <f aca="false">X23*Ratio!X117</f>
        <v>0.217361497328685</v>
      </c>
      <c r="Y63" s="75" t="n">
        <f aca="false">Y23*Ratio!Y117</f>
        <v>0.202332402569218</v>
      </c>
      <c r="Z63" s="31" t="n">
        <f aca="false">Z23*Ratio!Z117</f>
        <v>0.205578679107887</v>
      </c>
      <c r="AA63" s="96" t="n">
        <f aca="false">AA23*Ratio!AA117</f>
        <v>0.210499918533306</v>
      </c>
      <c r="AB63" s="31" t="n">
        <f aca="false">AB23*Ratio!AB117</f>
        <v>0.237417331022877</v>
      </c>
      <c r="AC63" s="76" t="n">
        <f aca="false">AC23*Ratio!AC117</f>
        <v>0.285062751321875</v>
      </c>
      <c r="AD63" s="75" t="n">
        <f aca="false">AD23*Ratio!AD117</f>
        <v>0.27263130253428</v>
      </c>
      <c r="AE63" s="31" t="n">
        <f aca="false">AE23*Ratio!AE117</f>
        <v>0.250866354740738</v>
      </c>
      <c r="AF63" s="96" t="n">
        <f aca="false">AF23*Ratio!AF117</f>
        <v>0.254940055625663</v>
      </c>
      <c r="AG63" s="31" t="n">
        <f aca="false">AG23*Ratio!AG117</f>
        <v>0.262332245638727</v>
      </c>
      <c r="AH63" s="31" t="n">
        <f aca="false">AH23*Ratio!AH117</f>
        <v>0.341046609569664</v>
      </c>
      <c r="AI63" s="74" t="n">
        <f aca="false">AI23*Ratio!AI117</f>
        <v>0.291651371286608</v>
      </c>
      <c r="AJ63" s="75" t="n">
        <f aca="false">AJ23*Ratio!AJ117</f>
        <v>0.285077342463061</v>
      </c>
      <c r="AK63" s="31" t="n">
        <f aca="false">AK23*Ratio!AK117</f>
        <v>0.299879880094518</v>
      </c>
      <c r="AL63" s="31" t="n">
        <f aca="false">AL23*Ratio!AL117</f>
        <v>0.308143187183823</v>
      </c>
      <c r="AM63" s="31" t="n">
        <f aca="false">AM23*Ratio!AM117</f>
        <v>0.311352752876413</v>
      </c>
      <c r="AN63" s="76" t="n">
        <f aca="false">AN23*Ratio!AN117</f>
        <v>0.0647504207172752</v>
      </c>
      <c r="AO63" s="75" t="n">
        <f aca="false">AO23*Ratio!AO117</f>
        <v>0.0660599235746869</v>
      </c>
      <c r="AP63" s="31" t="n">
        <f aca="false">AP23*Ratio!AP117</f>
        <v>0.0544513662769177</v>
      </c>
      <c r="AQ63" s="31" t="n">
        <f aca="false">AQ23*Ratio!AQ117</f>
        <v>0.0562337113042977</v>
      </c>
    </row>
    <row r="64" customFormat="false" ht="12.8" hidden="false" customHeight="false" outlineLevel="0" collapsed="false">
      <c r="A64" s="139" t="s">
        <v>199</v>
      </c>
      <c r="B64" s="97" t="n">
        <f aca="false">B24*Ratio!B119</f>
        <v>0.00456567560684134</v>
      </c>
      <c r="C64" s="72" t="n">
        <f aca="false">C24*Ratio!C119</f>
        <v>0.00456913532331025</v>
      </c>
      <c r="D64" s="31" t="n">
        <f aca="false">D24*Ratio!D119</f>
        <v>0.00456928023398304</v>
      </c>
      <c r="E64" s="96" t="n">
        <f aca="false">E24*Ratio!E119</f>
        <v>0.00208553445746544</v>
      </c>
      <c r="F64" s="31" t="n">
        <f aca="false">F24*Ratio!F119</f>
        <v>0.00212273670011668</v>
      </c>
      <c r="G64" s="96" t="n">
        <f aca="false">G24*Ratio!G119</f>
        <v>-0.00139569862390349</v>
      </c>
      <c r="H64" s="31" t="n">
        <f aca="false">H24*Ratio!H119</f>
        <v>-0.00141809478076297</v>
      </c>
      <c r="I64" s="74" t="n">
        <f aca="false">I24*Ratio!I119</f>
        <v>-0.00144868069430801</v>
      </c>
      <c r="J64" s="75" t="n">
        <f aca="false">J24*Ratio!J119</f>
        <v>-0.00146647294718781</v>
      </c>
      <c r="K64" s="72" t="n">
        <f aca="false">K24*Ratio!K119</f>
        <v>-0.00146116143452862</v>
      </c>
      <c r="L64" s="31" t="n">
        <f aca="false">L24*Ratio!L119</f>
        <v>-0.00146728666884969</v>
      </c>
      <c r="M64" s="96" t="n">
        <f aca="false">M24*Ratio!M119</f>
        <v>-0.00146697644138811</v>
      </c>
      <c r="N64" s="96" t="n">
        <f aca="false">N24*Ratio!N119</f>
        <v>-0.00149134311707215</v>
      </c>
      <c r="O64" s="31" t="n">
        <f aca="false">O24*Ratio!O119</f>
        <v>-0.00158042548889485</v>
      </c>
      <c r="P64" s="76" t="n">
        <f aca="false">P24*Ratio!P119</f>
        <v>-0.0029155639033451</v>
      </c>
      <c r="Q64" s="75" t="n">
        <f aca="false">Q24*Ratio!Q119</f>
        <v>-0.00293137773674095</v>
      </c>
      <c r="R64" s="31" t="n">
        <f aca="false">R24*Ratio!R119</f>
        <v>-0.00293889679918467</v>
      </c>
      <c r="S64" s="96" t="n">
        <f aca="false">S24*Ratio!S119</f>
        <v>-0.00295717862731093</v>
      </c>
      <c r="T64" s="31" t="n">
        <f aca="false">T24*Ratio!T119</f>
        <v>-0.00263449314560653</v>
      </c>
      <c r="U64" s="31" t="n">
        <f aca="false">U24*Ratio!U119</f>
        <v>-0.00124351676544219</v>
      </c>
      <c r="V64" s="96" t="n">
        <f aca="false">V24*Ratio!V119</f>
        <v>-0.00128916566720977</v>
      </c>
      <c r="W64" s="96" t="n">
        <f aca="false">W24*Ratio!W119</f>
        <v>-0.00129388533799508</v>
      </c>
      <c r="X64" s="74" t="n">
        <f aca="false">X24*Ratio!X119</f>
        <v>-0.00127647254194658</v>
      </c>
      <c r="Y64" s="75" t="n">
        <f aca="false">Y24*Ratio!Y119</f>
        <v>-0.00137822609073666</v>
      </c>
      <c r="Z64" s="31" t="n">
        <f aca="false">Z24*Ratio!Z119</f>
        <v>-0.00335156992669288</v>
      </c>
      <c r="AA64" s="96" t="n">
        <f aca="false">AA24*Ratio!AA119</f>
        <v>-0.00342828099697236</v>
      </c>
      <c r="AB64" s="31" t="n">
        <f aca="false">AB24*Ratio!AB119</f>
        <v>-0.00386666812020092</v>
      </c>
      <c r="AC64" s="76" t="n">
        <f aca="false">AC24*Ratio!AC119</f>
        <v>0.0032645313970116</v>
      </c>
      <c r="AD64" s="75" t="n">
        <f aca="false">AD24*Ratio!AD119</f>
        <v>0.00347031461349926</v>
      </c>
      <c r="AE64" s="31" t="n">
        <f aca="false">AE24*Ratio!AE119</f>
        <v>4.69647289612703E-005</v>
      </c>
      <c r="AF64" s="96" t="n">
        <f aca="false">AF24*Ratio!AF119</f>
        <v>4.77273671322099E-005</v>
      </c>
      <c r="AG64" s="31" t="n">
        <f aca="false">AG24*Ratio!AG119</f>
        <v>3.12215333384646E-005</v>
      </c>
      <c r="AH64" s="31" t="n">
        <f aca="false">AH24*Ratio!AH119</f>
        <v>3.30912572698071E-005</v>
      </c>
      <c r="AI64" s="74" t="n">
        <f aca="false">AI24*Ratio!AI119</f>
        <v>2.82985090293525E-005</v>
      </c>
      <c r="AJ64" s="75" t="n">
        <f aca="false">AJ24*Ratio!AJ119</f>
        <v>2.76606405591934E-005</v>
      </c>
      <c r="AK64" s="31" t="n">
        <f aca="false">AK24*Ratio!AK119</f>
        <v>2.90969092898124E-005</v>
      </c>
      <c r="AL64" s="31" t="n">
        <f aca="false">AL24*Ratio!AL119</f>
        <v>2.98986859769833E-005</v>
      </c>
      <c r="AM64" s="31" t="n">
        <f aca="false">AM24*Ratio!AM119</f>
        <v>3.02101054753089E-005</v>
      </c>
      <c r="AN64" s="76" t="n">
        <f aca="false">AN24*Ratio!AN119</f>
        <v>0.00224823676812426</v>
      </c>
      <c r="AO64" s="75" t="n">
        <f aca="false">AO24*Ratio!AO119</f>
        <v>0.0022937047734188</v>
      </c>
      <c r="AP64" s="31" t="n">
        <f aca="false">AP24*Ratio!AP119</f>
        <v>0.00211971716892305</v>
      </c>
      <c r="AQ64" s="31" t="n">
        <f aca="false">AQ24*Ratio!AQ119</f>
        <v>0.00218910142158382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55308D"/>
    <pageSetUpPr fitToPage="false"/>
  </sheetPr>
  <dimension ref="A1:AQ58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P12" activeCellId="0" sqref="AP12"/>
    </sheetView>
  </sheetViews>
  <sheetFormatPr defaultColWidth="11.53515625" defaultRowHeight="12.8" zeroHeight="false" outlineLevelRow="0" outlineLevelCol="0"/>
  <cols>
    <col collapsed="false" customWidth="true" hidden="false" outlineLevel="0" max="2" min="2" style="38" width="14.67"/>
    <col collapsed="false" customWidth="true" hidden="false" outlineLevel="0" max="3" min="3" style="39" width="14.67"/>
    <col collapsed="false" customWidth="true" hidden="false" outlineLevel="0" max="4" min="4" style="1" width="14.67"/>
    <col collapsed="false" customWidth="true" hidden="false" outlineLevel="0" max="5" min="5" style="40" width="14.67"/>
    <col collapsed="false" customWidth="true" hidden="false" outlineLevel="0" max="6" min="6" style="1" width="14.67"/>
    <col collapsed="false" customWidth="true" hidden="false" outlineLevel="0" max="7" min="7" style="40" width="14.67"/>
    <col collapsed="false" customWidth="true" hidden="false" outlineLevel="0" max="8" min="8" style="1" width="14.67"/>
    <col collapsed="false" customWidth="true" hidden="false" outlineLevel="0" max="9" min="9" style="41" width="13.15"/>
    <col collapsed="false" customWidth="true" hidden="false" outlineLevel="0" max="10" min="10" style="21" width="13.15"/>
    <col collapsed="false" customWidth="true" hidden="false" outlineLevel="0" max="11" min="11" style="39" width="14.23"/>
    <col collapsed="false" customWidth="true" hidden="false" outlineLevel="0" max="12" min="12" style="1" width="13.15"/>
    <col collapsed="false" customWidth="true" hidden="false" outlineLevel="0" max="14" min="13" style="40" width="13.15"/>
    <col collapsed="false" customWidth="true" hidden="false" outlineLevel="0" max="15" min="15" style="1" width="13.15"/>
    <col collapsed="false" customWidth="true" hidden="false" outlineLevel="0" max="16" min="16" style="42" width="13.15"/>
    <col collapsed="false" customWidth="true" hidden="false" outlineLevel="0" max="17" min="17" style="21" width="13.15"/>
    <col collapsed="false" customWidth="true" hidden="false" outlineLevel="0" max="18" min="18" style="1" width="13.15"/>
    <col collapsed="false" customWidth="true" hidden="false" outlineLevel="0" max="19" min="19" style="40" width="13.15"/>
    <col collapsed="false" customWidth="true" hidden="false" outlineLevel="0" max="21" min="20" style="1" width="13.15"/>
    <col collapsed="false" customWidth="true" hidden="false" outlineLevel="0" max="23" min="22" style="40" width="13.15"/>
    <col collapsed="false" customWidth="true" hidden="false" outlineLevel="0" max="24" min="24" style="41" width="13.15"/>
    <col collapsed="false" customWidth="true" hidden="false" outlineLevel="0" max="25" min="25" style="21" width="13.15"/>
    <col collapsed="false" customWidth="true" hidden="false" outlineLevel="0" max="26" min="26" style="1" width="13.15"/>
    <col collapsed="false" customWidth="true" hidden="false" outlineLevel="0" max="27" min="27" style="40" width="13.15"/>
    <col collapsed="false" customWidth="true" hidden="false" outlineLevel="0" max="28" min="28" style="1" width="13.15"/>
    <col collapsed="false" customWidth="true" hidden="false" outlineLevel="0" max="29" min="29" style="42" width="13.15"/>
    <col collapsed="false" customWidth="true" hidden="false" outlineLevel="0" max="30" min="30" style="21" width="13.15"/>
    <col collapsed="false" customWidth="true" hidden="false" outlineLevel="0" max="31" min="31" style="1" width="13.15"/>
    <col collapsed="false" customWidth="true" hidden="false" outlineLevel="0" max="32" min="32" style="40" width="13.15"/>
    <col collapsed="false" customWidth="true" hidden="false" outlineLevel="0" max="34" min="33" style="1" width="13.15"/>
    <col collapsed="false" customWidth="true" hidden="false" outlineLevel="0" max="35" min="35" style="41" width="13.15"/>
    <col collapsed="false" customWidth="true" hidden="false" outlineLevel="0" max="36" min="36" style="21" width="13.15"/>
    <col collapsed="false" customWidth="true" hidden="false" outlineLevel="0" max="37" min="37" style="1" width="13.15"/>
    <col collapsed="false" customWidth="true" hidden="false" outlineLevel="0" max="38" min="38" style="40" width="13.15"/>
    <col collapsed="false" customWidth="true" hidden="false" outlineLevel="0" max="39" min="39" style="1" width="13.15"/>
    <col collapsed="false" customWidth="true" hidden="false" outlineLevel="0" max="40" min="40" style="42" width="13.15"/>
    <col collapsed="false" customWidth="true" hidden="false" outlineLevel="0" max="41" min="41" style="21" width="13.15"/>
    <col collapsed="false" customWidth="true" hidden="false" outlineLevel="0" max="42" min="42" style="1" width="13.15"/>
    <col collapsed="false" customWidth="true" hidden="false" outlineLevel="0" max="43" min="43" style="40" width="13.15"/>
  </cols>
  <sheetData>
    <row r="1" customFormat="false" ht="12.8" hidden="false" customHeight="false" outlineLevel="0" collapsed="false">
      <c r="B1" s="43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24" t="s">
        <v>79</v>
      </c>
    </row>
    <row r="3" customFormat="false" ht="12.8" hidden="false" customHeight="false" outlineLevel="0" collapsed="false">
      <c r="A3" s="139" t="s">
        <v>30</v>
      </c>
      <c r="B3" s="20" t="n">
        <v>518290128.416098</v>
      </c>
      <c r="C3" s="25" t="n">
        <v>512282402.401626</v>
      </c>
      <c r="D3" s="32" t="n">
        <v>518986487.469106</v>
      </c>
      <c r="E3" s="20" t="n">
        <v>515020592.327642</v>
      </c>
      <c r="F3" s="32" t="n">
        <v>479189055.560976</v>
      </c>
      <c r="G3" s="20" t="n">
        <v>467290904.655935</v>
      </c>
      <c r="H3" s="32" t="n">
        <v>474678780.798862</v>
      </c>
      <c r="I3" s="26" t="n">
        <v>471234223.985854</v>
      </c>
      <c r="J3" s="33" t="n">
        <v>422529587.09187</v>
      </c>
      <c r="K3" s="25" t="n">
        <v>411979933.631057</v>
      </c>
      <c r="L3" s="32" t="n">
        <v>409332046.95122</v>
      </c>
      <c r="M3" s="20" t="n">
        <v>407624431.185203</v>
      </c>
      <c r="N3" s="20" t="n">
        <v>407168492.88813</v>
      </c>
      <c r="O3" s="32" t="n">
        <v>415406103.958374</v>
      </c>
      <c r="P3" s="167" t="n">
        <v>416945913.949919</v>
      </c>
      <c r="Q3" s="33" t="n">
        <v>399319092.680325</v>
      </c>
      <c r="R3" s="32" t="n">
        <v>374020219.330732</v>
      </c>
      <c r="S3" s="20" t="n">
        <v>392622920.783902</v>
      </c>
      <c r="T3" s="32" t="n">
        <v>389896135.133821</v>
      </c>
      <c r="U3" s="32" t="n">
        <v>418932585.365854</v>
      </c>
      <c r="V3" s="20" t="n">
        <v>408122030.000488</v>
      </c>
      <c r="W3" s="20" t="n">
        <v>383416178.999512</v>
      </c>
      <c r="X3" s="26" t="n">
        <v>423701434.629268</v>
      </c>
      <c r="Y3" s="33" t="n">
        <v>429177116.260325</v>
      </c>
      <c r="Z3" s="32" t="n">
        <v>398316214.619024</v>
      </c>
      <c r="AA3" s="20" t="n">
        <v>417615740.605854</v>
      </c>
      <c r="AB3" s="32" t="n">
        <v>360747504.065041</v>
      </c>
      <c r="AC3" s="167" t="n">
        <v>332681813.729431</v>
      </c>
      <c r="AD3" s="33" t="n">
        <v>307379682.015285</v>
      </c>
      <c r="AE3" s="32" t="n">
        <v>290926570.205691</v>
      </c>
      <c r="AF3" s="20" t="n">
        <v>298712199.56439</v>
      </c>
      <c r="AG3" s="32" t="n">
        <v>277078520.856098</v>
      </c>
      <c r="AH3" s="32" t="n">
        <v>225862848.593496</v>
      </c>
      <c r="AI3" s="26" t="n">
        <v>303340473.671382</v>
      </c>
      <c r="AJ3" s="33" t="n">
        <v>276964012.616098</v>
      </c>
      <c r="AK3" s="32" t="n">
        <v>260700118.690894</v>
      </c>
      <c r="AL3" s="20" t="n">
        <v>232671899.547642</v>
      </c>
      <c r="AM3" s="32" t="n">
        <v>210536432.698211</v>
      </c>
      <c r="AN3" s="167" t="n">
        <v>197829276.422764</v>
      </c>
      <c r="AO3" s="33" t="n">
        <v>190861962.04748</v>
      </c>
      <c r="AP3" s="32" t="n">
        <v>194392632.780813</v>
      </c>
      <c r="AQ3" s="20" t="n">
        <v>187301500.55252</v>
      </c>
    </row>
    <row r="4" customFormat="false" ht="12.8" hidden="false" customHeight="false" outlineLevel="0" collapsed="false">
      <c r="A4" s="139" t="s">
        <v>29</v>
      </c>
      <c r="B4" s="20" t="n">
        <v>63105211.3170732</v>
      </c>
      <c r="C4" s="25" t="n">
        <v>60212370.7317073</v>
      </c>
      <c r="D4" s="32" t="n">
        <v>60212370.7317073</v>
      </c>
      <c r="E4" s="20" t="n">
        <v>62639789.2682927</v>
      </c>
      <c r="F4" s="32" t="n">
        <v>48889756.097561</v>
      </c>
      <c r="G4" s="20" t="n">
        <v>45939512.195122</v>
      </c>
      <c r="H4" s="32" t="n">
        <v>43655652.5268293</v>
      </c>
      <c r="I4" s="26" t="n">
        <v>41552461.5804878</v>
      </c>
      <c r="J4" s="33" t="n">
        <v>39196097.5609756</v>
      </c>
      <c r="K4" s="25" t="n">
        <v>36667317.0731707</v>
      </c>
      <c r="L4" s="32" t="n">
        <v>35824390.2439024</v>
      </c>
      <c r="M4" s="20" t="n">
        <v>35824390.2439024</v>
      </c>
      <c r="N4" s="20" t="n">
        <v>33717073.1707317</v>
      </c>
      <c r="O4" s="32" t="n">
        <v>33704488.2731707</v>
      </c>
      <c r="P4" s="167" t="n">
        <v>34560000</v>
      </c>
      <c r="Q4" s="33" t="n">
        <v>36899121.9512195</v>
      </c>
      <c r="R4" s="32" t="n">
        <v>38353170.7317073</v>
      </c>
      <c r="S4" s="20" t="n">
        <v>38353170.7317073</v>
      </c>
      <c r="T4" s="32" t="n">
        <v>36250068.2926829</v>
      </c>
      <c r="U4" s="32" t="n">
        <v>34983570.7317073</v>
      </c>
      <c r="V4" s="20" t="n">
        <v>38775055.6097561</v>
      </c>
      <c r="W4" s="20" t="n">
        <v>38775055.6097561</v>
      </c>
      <c r="X4" s="26" t="n">
        <v>38775055.6097561</v>
      </c>
      <c r="Y4" s="33" t="n">
        <v>42926048.7804878</v>
      </c>
      <c r="Z4" s="32" t="n">
        <v>44675121.9512195</v>
      </c>
      <c r="AA4" s="20" t="n">
        <v>43972681.5219512</v>
      </c>
      <c r="AB4" s="32" t="n">
        <v>45518048.7804878</v>
      </c>
      <c r="AC4" s="167" t="n">
        <v>42104195.1219512</v>
      </c>
      <c r="AD4" s="33" t="n">
        <v>43832195.1219512</v>
      </c>
      <c r="AE4" s="32" t="n">
        <v>37510243.902439</v>
      </c>
      <c r="AF4" s="20" t="n">
        <v>35730732.6439024</v>
      </c>
      <c r="AG4" s="32" t="n">
        <v>34559894.6341463</v>
      </c>
      <c r="AH4" s="32" t="n">
        <v>35192195.1219512</v>
      </c>
      <c r="AI4" s="26" t="n">
        <v>34981463.4146341</v>
      </c>
      <c r="AJ4" s="33" t="n">
        <v>32337737.2097561</v>
      </c>
      <c r="AK4" s="32" t="n">
        <v>32667629.2682927</v>
      </c>
      <c r="AL4" s="20" t="n">
        <v>32600195.1219512</v>
      </c>
      <c r="AM4" s="32" t="n">
        <v>31188292.6829268</v>
      </c>
      <c r="AN4" s="167" t="n">
        <v>32031219.5121951</v>
      </c>
      <c r="AO4" s="33" t="n">
        <v>29519297.5609756</v>
      </c>
      <c r="AP4" s="32" t="n">
        <v>28238048.7804878</v>
      </c>
      <c r="AQ4" s="20" t="n">
        <v>27605853.6585366</v>
      </c>
    </row>
    <row r="5" customFormat="false" ht="12.8" hidden="false" customHeight="false" outlineLevel="0" collapsed="false">
      <c r="A5" s="139" t="s">
        <v>188</v>
      </c>
      <c r="B5" s="20" t="n">
        <v>29463658.5365854</v>
      </c>
      <c r="C5" s="25" t="n">
        <v>29463658.5365854</v>
      </c>
      <c r="D5" s="32" t="n">
        <v>29463658.5365854</v>
      </c>
      <c r="E5" s="20" t="n">
        <v>29463658.5365854</v>
      </c>
      <c r="F5" s="32" t="n">
        <v>29463658.5365854</v>
      </c>
      <c r="G5" s="20" t="n">
        <v>28584146.3414634</v>
      </c>
      <c r="H5" s="32" t="n">
        <v>28584146.3414634</v>
      </c>
      <c r="I5" s="26" t="n">
        <v>26825121.9512195</v>
      </c>
      <c r="J5" s="33" t="n">
        <v>26829519.5121951</v>
      </c>
      <c r="K5" s="20" t="n">
        <v>25334348.7804878</v>
      </c>
      <c r="L5" s="32" t="n">
        <v>25334348.7804878</v>
      </c>
      <c r="M5" s="20" t="n">
        <v>25334348.7804878</v>
      </c>
      <c r="N5" s="20" t="n">
        <v>25066097.5609756</v>
      </c>
      <c r="O5" s="32" t="n">
        <v>25074892.6829268</v>
      </c>
      <c r="P5" s="167" t="n">
        <v>25167241.4634146</v>
      </c>
      <c r="Q5" s="33" t="n">
        <v>24195380.4878049</v>
      </c>
      <c r="R5" s="32" t="n">
        <v>22823341.4634146</v>
      </c>
      <c r="S5" s="20" t="n">
        <v>22823341.4634146</v>
      </c>
      <c r="T5" s="32" t="n">
        <v>22031780.4878049</v>
      </c>
      <c r="U5" s="32" t="n">
        <v>24186585.3658537</v>
      </c>
      <c r="V5" s="20" t="n">
        <v>24186585.3658537</v>
      </c>
      <c r="W5" s="20" t="n">
        <v>24186585.3658537</v>
      </c>
      <c r="X5" s="26" t="n">
        <v>24186585.3658537</v>
      </c>
      <c r="Y5" s="33" t="n">
        <v>24186585.3658537</v>
      </c>
      <c r="Z5" s="32" t="n">
        <v>23883153.6585366</v>
      </c>
      <c r="AA5" s="20" t="n">
        <v>23597312.195122</v>
      </c>
      <c r="AB5" s="32" t="n">
        <v>22867317.0731707</v>
      </c>
      <c r="AC5" s="167" t="n">
        <v>21987804.8780488</v>
      </c>
      <c r="AD5" s="33" t="n">
        <v>19793421.9512195</v>
      </c>
      <c r="AE5" s="32" t="n">
        <v>19797819.5121951</v>
      </c>
      <c r="AF5" s="20" t="n">
        <v>19797819.5121951</v>
      </c>
      <c r="AG5" s="32" t="n">
        <v>20818053.6585366</v>
      </c>
      <c r="AH5" s="32" t="n">
        <v>21811902.4390244</v>
      </c>
      <c r="AI5" s="26" t="n">
        <v>24136629.0731707</v>
      </c>
      <c r="AJ5" s="33" t="n">
        <v>25154048.7804878</v>
      </c>
      <c r="AK5" s="32" t="n">
        <v>24186585.3658537</v>
      </c>
      <c r="AL5" s="20" t="n">
        <v>22647439.0243902</v>
      </c>
      <c r="AM5" s="32" t="n">
        <v>24186585.3658537</v>
      </c>
      <c r="AN5" s="167" t="n">
        <v>24186585.3658537</v>
      </c>
      <c r="AO5" s="33" t="n">
        <v>21143473.1707317</v>
      </c>
      <c r="AP5" s="32" t="n">
        <v>21143473.1707317</v>
      </c>
      <c r="AQ5" s="20" t="n">
        <v>21548048.7804878</v>
      </c>
    </row>
    <row r="6" customFormat="false" ht="12.8" hidden="false" customHeight="false" outlineLevel="0" collapsed="false">
      <c r="A6" s="139" t="s">
        <v>190</v>
      </c>
      <c r="B6" s="20" t="n">
        <v>22386533.6585366</v>
      </c>
      <c r="C6" s="25" t="n">
        <v>22393024.3902439</v>
      </c>
      <c r="D6" s="32" t="n">
        <v>22393024.3902439</v>
      </c>
      <c r="E6" s="20" t="n">
        <v>22393024.3902439</v>
      </c>
      <c r="F6" s="32" t="n">
        <v>22393024.3902439</v>
      </c>
      <c r="G6" s="20" t="n">
        <v>22263209.7560976</v>
      </c>
      <c r="H6" s="32" t="n">
        <v>21614785.6585366</v>
      </c>
      <c r="I6" s="26" t="n">
        <v>21614785.6585366</v>
      </c>
      <c r="J6" s="33" t="n">
        <v>19537751.5121951</v>
      </c>
      <c r="K6" s="25" t="n">
        <v>17659005.1056911</v>
      </c>
      <c r="L6" s="32" t="n">
        <v>19537751.5121951</v>
      </c>
      <c r="M6" s="20" t="n">
        <v>19537751.5121951</v>
      </c>
      <c r="N6" s="20" t="n">
        <v>19537751.5121951</v>
      </c>
      <c r="O6" s="32" t="n">
        <v>19472195.1219512</v>
      </c>
      <c r="P6" s="167" t="n">
        <v>20770341.4634146</v>
      </c>
      <c r="Q6" s="33" t="n">
        <v>20770341.4634146</v>
      </c>
      <c r="R6" s="32" t="n">
        <v>21418116.4878049</v>
      </c>
      <c r="S6" s="20" t="n">
        <v>21419414.6341463</v>
      </c>
      <c r="T6" s="32" t="n">
        <v>21419414.6341463</v>
      </c>
      <c r="U6" s="32" t="n">
        <v>21419414.6341463</v>
      </c>
      <c r="V6" s="20" t="n">
        <v>24015707.3170732</v>
      </c>
      <c r="W6" s="20" t="n">
        <v>24015707.3170732</v>
      </c>
      <c r="X6" s="26" t="n">
        <v>24015707.3170732</v>
      </c>
      <c r="Y6" s="33" t="n">
        <v>24009216.5853659</v>
      </c>
      <c r="Z6" s="32" t="n">
        <v>24598575.0243902</v>
      </c>
      <c r="AA6" s="20" t="n">
        <v>22393673.4634146</v>
      </c>
      <c r="AB6" s="32" t="n">
        <v>22393024.3902439</v>
      </c>
      <c r="AC6" s="167" t="n">
        <v>22393024.3902439</v>
      </c>
      <c r="AD6" s="33" t="n">
        <v>21419414.6341463</v>
      </c>
      <c r="AE6" s="32" t="n">
        <v>21059179.0243902</v>
      </c>
      <c r="AF6" s="20" t="n">
        <v>21059179.0243902</v>
      </c>
      <c r="AG6" s="32" t="n">
        <v>20445804.8780488</v>
      </c>
      <c r="AH6" s="32" t="n">
        <v>24554438.0487805</v>
      </c>
      <c r="AI6" s="26" t="n">
        <v>24554438.0487805</v>
      </c>
      <c r="AJ6" s="33" t="n">
        <v>26612000</v>
      </c>
      <c r="AK6" s="32" t="n">
        <v>25638390.2439024</v>
      </c>
      <c r="AL6" s="20" t="n">
        <v>25638390.2439024</v>
      </c>
      <c r="AM6" s="32" t="n">
        <v>26678205.4634146</v>
      </c>
      <c r="AN6" s="167" t="n">
        <v>28883756.097561</v>
      </c>
      <c r="AO6" s="33" t="n">
        <v>29870347.3170732</v>
      </c>
      <c r="AP6" s="32" t="n">
        <v>30181902.4390244</v>
      </c>
      <c r="AQ6" s="20" t="n">
        <v>28883756.097561</v>
      </c>
    </row>
    <row r="7" customFormat="false" ht="12.8" hidden="false" customHeight="false" outlineLevel="0" collapsed="false">
      <c r="A7" s="139" t="s">
        <v>194</v>
      </c>
      <c r="B7" s="20" t="n">
        <v>13165641.3658537</v>
      </c>
      <c r="C7" s="25" t="n">
        <v>13165641.3658537</v>
      </c>
      <c r="D7" s="32" t="n">
        <v>13165641.3658537</v>
      </c>
      <c r="E7" s="20" t="n">
        <v>13165641.3658537</v>
      </c>
      <c r="F7" s="32" t="n">
        <v>13165641.3658537</v>
      </c>
      <c r="G7" s="20" t="n">
        <v>13165641.3658537</v>
      </c>
      <c r="H7" s="32" t="n">
        <v>13165641.3658537</v>
      </c>
      <c r="I7" s="26" t="n">
        <v>12413437.7398374</v>
      </c>
      <c r="J7" s="33" t="n">
        <v>12413437.7398374</v>
      </c>
      <c r="K7" s="25" t="n">
        <v>13535154.4715447</v>
      </c>
      <c r="L7" s="32" t="n">
        <v>12051881.300813</v>
      </c>
      <c r="M7" s="20" t="n">
        <v>12051881.300813</v>
      </c>
      <c r="N7" s="20" t="n">
        <v>12051881.300813</v>
      </c>
      <c r="O7" s="32" t="n">
        <v>12051881.300813</v>
      </c>
      <c r="P7" s="167" t="n">
        <v>12051881.300813</v>
      </c>
      <c r="Q7" s="33" t="n">
        <v>12051881.300813</v>
      </c>
      <c r="R7" s="32" t="n">
        <v>12051881.300813</v>
      </c>
      <c r="S7" s="20" t="n">
        <v>12051881.300813</v>
      </c>
      <c r="T7" s="32" t="n">
        <v>12051881.300813</v>
      </c>
      <c r="U7" s="32" t="n">
        <v>12051881.300813</v>
      </c>
      <c r="V7" s="20" t="n">
        <v>12051881.300813</v>
      </c>
      <c r="W7" s="20" t="n">
        <v>12051881.300813</v>
      </c>
      <c r="X7" s="26" t="n">
        <v>12051881.300813</v>
      </c>
      <c r="Y7" s="33" t="n">
        <v>12051881.300813</v>
      </c>
      <c r="Z7" s="32" t="n">
        <v>12051881.300813</v>
      </c>
      <c r="AA7" s="20" t="n">
        <v>12051881.300813</v>
      </c>
      <c r="AB7" s="32" t="n">
        <v>13718365.5772358</v>
      </c>
      <c r="AC7" s="167" t="n">
        <v>13718365.5772358</v>
      </c>
      <c r="AD7" s="33" t="n">
        <v>13718365.5772358</v>
      </c>
      <c r="AE7" s="32" t="n">
        <v>12509021.6260163</v>
      </c>
      <c r="AF7" s="20" t="n">
        <v>12509021.6260163</v>
      </c>
      <c r="AG7" s="32" t="n">
        <v>12509021.6260163</v>
      </c>
      <c r="AH7" s="32" t="n">
        <v>12509021.6260163</v>
      </c>
      <c r="AI7" s="26" t="n">
        <v>12509021.6260163</v>
      </c>
      <c r="AJ7" s="33" t="n">
        <v>12509021.6260163</v>
      </c>
      <c r="AK7" s="32" t="n">
        <v>12509021.6260163</v>
      </c>
      <c r="AL7" s="20" t="n">
        <v>12509021.6260163</v>
      </c>
      <c r="AM7" s="32" t="n">
        <v>12509021.6260163</v>
      </c>
      <c r="AN7" s="167" t="n">
        <v>12509021.6260163</v>
      </c>
      <c r="AO7" s="33" t="n">
        <v>13614470.0487805</v>
      </c>
      <c r="AP7" s="32" t="n">
        <v>13614470.0487805</v>
      </c>
      <c r="AQ7" s="20" t="n">
        <v>13614470.0487805</v>
      </c>
    </row>
    <row r="8" customFormat="false" ht="12.8" hidden="false" customHeight="false" outlineLevel="0" collapsed="false">
      <c r="A8" s="139" t="s">
        <v>195</v>
      </c>
      <c r="B8" s="20" t="n">
        <v>12619504.3902439</v>
      </c>
      <c r="C8" s="25" t="n">
        <v>12488519.0243902</v>
      </c>
      <c r="D8" s="32" t="n">
        <v>12488519.0243902</v>
      </c>
      <c r="E8" s="20" t="n">
        <v>12474796.7479675</v>
      </c>
      <c r="F8" s="32" t="n">
        <v>13721028.9430894</v>
      </c>
      <c r="G8" s="20" t="n">
        <v>12487271.5447154</v>
      </c>
      <c r="H8" s="32" t="n">
        <v>12474796.7479675</v>
      </c>
      <c r="I8" s="26" t="n">
        <v>12477291.7073171</v>
      </c>
      <c r="J8" s="33" t="n">
        <v>13348032.5203252</v>
      </c>
      <c r="K8" s="25" t="n">
        <v>11876546.3414634</v>
      </c>
      <c r="L8" s="32" t="n">
        <v>13535154.4715447</v>
      </c>
      <c r="M8" s="20" t="n">
        <v>13535154.4715447</v>
      </c>
      <c r="N8" s="20" t="n">
        <v>13535154.4715447</v>
      </c>
      <c r="O8" s="32" t="n">
        <v>13722276.4227642</v>
      </c>
      <c r="P8" s="167" t="n">
        <v>13722276.4227642</v>
      </c>
      <c r="Q8" s="33" t="n">
        <v>15219252.0325203</v>
      </c>
      <c r="R8" s="32" t="n">
        <v>15219252.0325203</v>
      </c>
      <c r="S8" s="20" t="n">
        <v>15219252.0325203</v>
      </c>
      <c r="T8" s="32" t="n">
        <v>15219252.0325203</v>
      </c>
      <c r="U8" s="32" t="n">
        <v>15156878.0487805</v>
      </c>
      <c r="V8" s="20" t="n">
        <v>15156878.0487805</v>
      </c>
      <c r="W8" s="20" t="n">
        <v>15156878.0487805</v>
      </c>
      <c r="X8" s="26" t="n">
        <v>15156878.0487805</v>
      </c>
      <c r="Y8" s="33" t="n">
        <v>15156878.0487805</v>
      </c>
      <c r="Z8" s="32" t="n">
        <v>16843470.5691057</v>
      </c>
      <c r="AA8" s="20" t="n">
        <v>16843470.5691057</v>
      </c>
      <c r="AB8" s="32" t="n">
        <v>16840975.6097561</v>
      </c>
      <c r="AC8" s="167" t="n">
        <v>16385645.5284553</v>
      </c>
      <c r="AD8" s="33" t="n">
        <v>16385645.5284553</v>
      </c>
      <c r="AE8" s="32" t="n">
        <v>17564513.8211382</v>
      </c>
      <c r="AF8" s="20" t="n">
        <v>17564513.8211382</v>
      </c>
      <c r="AG8" s="32" t="n">
        <v>17564513.8211382</v>
      </c>
      <c r="AH8" s="32" t="n">
        <v>17564513.8211382</v>
      </c>
      <c r="AI8" s="26" t="n">
        <v>17567008.7804878</v>
      </c>
      <c r="AJ8" s="33" t="n">
        <v>16299569.4308943</v>
      </c>
      <c r="AK8" s="32" t="n">
        <v>14894907.3170732</v>
      </c>
      <c r="AL8" s="20" t="n">
        <v>13819579.8373984</v>
      </c>
      <c r="AM8" s="32" t="n">
        <v>13410406.504065</v>
      </c>
      <c r="AN8" s="167" t="n">
        <v>13444088.4552846</v>
      </c>
      <c r="AO8" s="33" t="n">
        <v>11764980.8130081</v>
      </c>
      <c r="AP8" s="32" t="n">
        <v>11463090.7317073</v>
      </c>
      <c r="AQ8" s="20" t="n">
        <v>10936654.3089431</v>
      </c>
    </row>
    <row r="9" customFormat="false" ht="12.8" hidden="false" customHeight="false" outlineLevel="0" collapsed="false">
      <c r="A9" s="139" t="s">
        <v>196</v>
      </c>
      <c r="B9" s="20" t="n">
        <v>11876546.3414634</v>
      </c>
      <c r="C9" s="25" t="n">
        <v>11929330.9918699</v>
      </c>
      <c r="D9" s="32" t="n">
        <v>11929330.9918699</v>
      </c>
      <c r="E9" s="20" t="n">
        <v>11929330.9918699</v>
      </c>
      <c r="F9" s="32" t="n">
        <v>11929330.9918699</v>
      </c>
      <c r="G9" s="20" t="n">
        <v>11929330.9918699</v>
      </c>
      <c r="H9" s="32" t="n">
        <v>11889742.504065</v>
      </c>
      <c r="I9" s="26" t="n">
        <v>11876546.3414634</v>
      </c>
      <c r="J9" s="33" t="n">
        <v>11876546.3414634</v>
      </c>
      <c r="K9" s="25" t="n">
        <v>6282926.82926829</v>
      </c>
      <c r="L9" s="32" t="n">
        <v>11876546.3414634</v>
      </c>
      <c r="M9" s="20" t="n">
        <v>11876546.3414634</v>
      </c>
      <c r="N9" s="20" t="n">
        <v>11876546.3414634</v>
      </c>
      <c r="O9" s="32" t="n">
        <v>11876546.3414634</v>
      </c>
      <c r="P9" s="167" t="n">
        <v>11912835.7886179</v>
      </c>
      <c r="Q9" s="33" t="n">
        <v>11289317.1056911</v>
      </c>
      <c r="R9" s="32" t="n">
        <v>11546642.2764228</v>
      </c>
      <c r="S9" s="20" t="n">
        <v>11546642.2764228</v>
      </c>
      <c r="T9" s="32" t="n">
        <v>11876546.3414634</v>
      </c>
      <c r="U9" s="32" t="n">
        <v>11873247.300813</v>
      </c>
      <c r="V9" s="20" t="n">
        <v>11873247.300813</v>
      </c>
      <c r="W9" s="20" t="n">
        <v>11873247.300813</v>
      </c>
      <c r="X9" s="26" t="n">
        <v>11873247.300813</v>
      </c>
      <c r="Y9" s="33" t="n">
        <v>11873247.300813</v>
      </c>
      <c r="Z9" s="32" t="n">
        <v>11879845.3821138</v>
      </c>
      <c r="AA9" s="20" t="n">
        <v>11879845.3821138</v>
      </c>
      <c r="AB9" s="32" t="n">
        <v>12074488.7804878</v>
      </c>
      <c r="AC9" s="167" t="n">
        <v>13341320.3902439</v>
      </c>
      <c r="AD9" s="33" t="n">
        <v>9897913.72097561</v>
      </c>
      <c r="AE9" s="32" t="n">
        <v>8740742.22243902</v>
      </c>
      <c r="AF9" s="20" t="n">
        <v>8247601.62601626</v>
      </c>
      <c r="AG9" s="32" t="n">
        <v>8247601.62601626</v>
      </c>
      <c r="AH9" s="32" t="n">
        <v>9567217.88617886</v>
      </c>
      <c r="AI9" s="26" t="n">
        <v>9567217.88617886</v>
      </c>
      <c r="AJ9" s="33" t="n">
        <v>4849589.75609756</v>
      </c>
      <c r="AK9" s="32" t="n">
        <v>5426921.8699187</v>
      </c>
      <c r="AL9" s="20" t="n">
        <v>6106524.24390244</v>
      </c>
      <c r="AM9" s="32" t="n">
        <v>7752745.52845528</v>
      </c>
      <c r="AN9" s="167" t="n">
        <v>7752745.52845528</v>
      </c>
      <c r="AO9" s="33" t="n">
        <v>7752745.52845528</v>
      </c>
      <c r="AP9" s="32" t="n">
        <v>9412162.97560976</v>
      </c>
      <c r="AQ9" s="20" t="n">
        <v>9412162.97560976</v>
      </c>
    </row>
    <row r="11" customFormat="false" ht="12.8" hidden="false" customHeight="false" outlineLevel="0" collapsed="false">
      <c r="A11" s="1" t="s">
        <v>216</v>
      </c>
      <c r="B11" s="191" t="n">
        <f aca="false">SUM(B3:B9)</f>
        <v>670907224.025854</v>
      </c>
      <c r="C11" s="181" t="n">
        <f aca="false">SUM(C3:C9)</f>
        <v>661934947.442276</v>
      </c>
      <c r="D11" s="187" t="n">
        <f aca="false">SUM(D3:D9)</f>
        <v>668639032.509756</v>
      </c>
      <c r="E11" s="181" t="n">
        <f aca="false">SUM(E3:E9)</f>
        <v>667086833.628455</v>
      </c>
      <c r="F11" s="187" t="n">
        <f aca="false">SUM(F3:F9)</f>
        <v>618751495.886179</v>
      </c>
      <c r="G11" s="181" t="n">
        <f aca="false">SUM(G3:G9)</f>
        <v>601660016.851057</v>
      </c>
      <c r="H11" s="187" t="n">
        <f aca="false">SUM(H3:H9)</f>
        <v>606063545.943578</v>
      </c>
      <c r="I11" s="184" t="n">
        <f aca="false">SUM(I3:I9)</f>
        <v>597993868.964716</v>
      </c>
      <c r="J11" s="185" t="n">
        <f aca="false">SUM(J3:J9)</f>
        <v>545730972.278862</v>
      </c>
      <c r="K11" s="181" t="n">
        <f aca="false">SUM(K3:K9)</f>
        <v>523335232.232683</v>
      </c>
      <c r="L11" s="187" t="n">
        <f aca="false">SUM(L3:L9)</f>
        <v>527492119.601626</v>
      </c>
      <c r="M11" s="181" t="n">
        <f aca="false">SUM(M3:M9)</f>
        <v>525784503.835609</v>
      </c>
      <c r="N11" s="181" t="n">
        <f aca="false">SUM(N3:N9)</f>
        <v>522952997.245854</v>
      </c>
      <c r="O11" s="187" t="n">
        <f aca="false">SUM(O3:O9)</f>
        <v>531308384.101463</v>
      </c>
      <c r="P11" s="186" t="n">
        <f aca="false">SUM(P3:P9)</f>
        <v>535130490.388943</v>
      </c>
      <c r="Q11" s="185" t="n">
        <f aca="false">SUM(Q3:Q9)</f>
        <v>519744387.021788</v>
      </c>
      <c r="R11" s="187" t="n">
        <f aca="false">SUM(R3:R9)</f>
        <v>495432623.623415</v>
      </c>
      <c r="S11" s="181" t="n">
        <f aca="false">SUM(S3:S9)</f>
        <v>514036623.222926</v>
      </c>
      <c r="T11" s="187" t="n">
        <f aca="false">SUM(T3:T9)</f>
        <v>508745078.223252</v>
      </c>
      <c r="U11" s="187" t="n">
        <f aca="false">SUM(U3:U9)</f>
        <v>538604162.747968</v>
      </c>
      <c r="V11" s="181" t="n">
        <f aca="false">SUM(V3:V9)</f>
        <v>534181384.943577</v>
      </c>
      <c r="W11" s="181" t="n">
        <f aca="false">SUM(W3:W9)</f>
        <v>509475533.942602</v>
      </c>
      <c r="X11" s="184" t="n">
        <f aca="false">SUM(X3:X9)</f>
        <v>549760789.572358</v>
      </c>
      <c r="Y11" s="185" t="n">
        <f aca="false">SUM(Y3:Y9)</f>
        <v>559380973.642439</v>
      </c>
      <c r="Z11" s="187" t="n">
        <f aca="false">SUM(Z3:Z9)</f>
        <v>532248262.505203</v>
      </c>
      <c r="AA11" s="181" t="n">
        <f aca="false">SUM(AA3:AA9)</f>
        <v>548354605.038374</v>
      </c>
      <c r="AB11" s="187" t="n">
        <f aca="false">SUM(AB3:AB9)</f>
        <v>494159724.276423</v>
      </c>
      <c r="AC11" s="186" t="n">
        <f aca="false">SUM(AC3:AC9)</f>
        <v>462612169.61561</v>
      </c>
      <c r="AD11" s="185" t="n">
        <f aca="false">SUM(AD3:AD9)</f>
        <v>432426638.549269</v>
      </c>
      <c r="AE11" s="187" t="n">
        <f aca="false">SUM(AE3:AE9)</f>
        <v>408108090.314309</v>
      </c>
      <c r="AF11" s="181" t="n">
        <f aca="false">SUM(AF3:AF9)</f>
        <v>413621067.818049</v>
      </c>
      <c r="AG11" s="187" t="n">
        <f aca="false">SUM(AG3:AG9)</f>
        <v>391223411.1</v>
      </c>
      <c r="AH11" s="187" t="n">
        <f aca="false">SUM(AH3:AH9)</f>
        <v>347062137.536585</v>
      </c>
      <c r="AI11" s="184" t="n">
        <f aca="false">SUM(AI3:AI9)</f>
        <v>426656252.50065</v>
      </c>
      <c r="AJ11" s="185" t="n">
        <f aca="false">SUM(AJ3:AJ9)</f>
        <v>394725979.41935</v>
      </c>
      <c r="AK11" s="187" t="n">
        <f aca="false">SUM(AK3:AK9)</f>
        <v>376023574.381951</v>
      </c>
      <c r="AL11" s="181" t="n">
        <f aca="false">SUM(AL3:AL9)</f>
        <v>345993049.645203</v>
      </c>
      <c r="AM11" s="187" t="n">
        <f aca="false">SUM(AM3:AM9)</f>
        <v>326261689.868943</v>
      </c>
      <c r="AN11" s="186" t="n">
        <f aca="false">SUM(AN3:AN9)</f>
        <v>316636693.00813</v>
      </c>
      <c r="AO11" s="185" t="n">
        <f aca="false">SUM(AO3:AO9)</f>
        <v>304527276.486504</v>
      </c>
      <c r="AP11" s="187" t="n">
        <f aca="false">SUM(AP3:AP9)</f>
        <v>308445780.927155</v>
      </c>
      <c r="AQ11" s="181" t="n">
        <f aca="false">SUM(AQ3:AQ9)</f>
        <v>299302446.422439</v>
      </c>
    </row>
    <row r="12" customFormat="false" ht="12.8" hidden="false" customHeight="false" outlineLevel="0" collapsed="false">
      <c r="A12" s="1" t="s">
        <v>202</v>
      </c>
      <c r="B12" s="191" t="n">
        <f aca="false">SUMPRODUCT(B3:B9,B16:B22)</f>
        <v>409072696.642491</v>
      </c>
      <c r="C12" s="181" t="n">
        <f aca="false">SUMPRODUCT(C3:C9,C16:C22)</f>
        <v>404722475.083534</v>
      </c>
      <c r="D12" s="187" t="n">
        <f aca="false">SUMPRODUCT(D3:D9,D16:D22)</f>
        <v>411004520.042369</v>
      </c>
      <c r="E12" s="181" t="n">
        <f aca="false">SUMPRODUCT(E3:E9,E16:E22)</f>
        <v>406260112.446064</v>
      </c>
      <c r="F12" s="187" t="n">
        <f aca="false">SUMPRODUCT(F3:F9,F16:F22)</f>
        <v>377996376.860753</v>
      </c>
      <c r="G12" s="181" t="n">
        <f aca="false">SUMPRODUCT(G3:G9,G16:G22)</f>
        <v>369403817.873677</v>
      </c>
      <c r="H12" s="187" t="n">
        <f aca="false">SUMPRODUCT(H3:H9,H16:H22)</f>
        <v>377815718.327298</v>
      </c>
      <c r="I12" s="184" t="n">
        <f aca="false">SUMPRODUCT(I3:I9,I16:I22)</f>
        <v>376970279.032882</v>
      </c>
      <c r="J12" s="185" t="n">
        <f aca="false">SUMPRODUCT(J3:J9,J16:J22)</f>
        <v>332842477.103007</v>
      </c>
      <c r="K12" s="181" t="n">
        <f aca="false">SUMPRODUCT(K3:K9,K16:K22)</f>
        <v>328724667.378021</v>
      </c>
      <c r="L12" s="187" t="n">
        <f aca="false">SUMPRODUCT(L3:L9,L16:L22)</f>
        <v>322903715.208109</v>
      </c>
      <c r="M12" s="181" t="n">
        <f aca="false">SUMPRODUCT(M3:M9,M16:M22)</f>
        <v>321299156.151944</v>
      </c>
      <c r="N12" s="181" t="n">
        <f aca="false">SUMPRODUCT(N3:N9,N16:N22)</f>
        <v>322022355.918095</v>
      </c>
      <c r="O12" s="187" t="n">
        <f aca="false">SUMPRODUCT(O3:O9,O16:O22)</f>
        <v>329715748.272886</v>
      </c>
      <c r="P12" s="186" t="n">
        <f aca="false">SUMPRODUCT(P3:P9,P16:P22)</f>
        <v>329972882.180971</v>
      </c>
      <c r="Q12" s="185" t="n">
        <f aca="false">SUMPRODUCT(Q3:Q9,Q16:Q22)</f>
        <v>312342822.185189</v>
      </c>
      <c r="R12" s="187" t="n">
        <f aca="false">SUMPRODUCT(R3:R9,R16:R22)</f>
        <v>288337752.53078</v>
      </c>
      <c r="S12" s="181" t="n">
        <f aca="false">SUMPRODUCT(S3:S9,S16:S22)</f>
        <v>305646740.317808</v>
      </c>
      <c r="T12" s="187" t="n">
        <f aca="false">SUMPRODUCT(T3:T9,T16:T22)</f>
        <v>304268653.934059</v>
      </c>
      <c r="U12" s="187" t="n">
        <f aca="false">SUMPRODUCT(U3:U9,U16:U22)</f>
        <v>331018786.457758</v>
      </c>
      <c r="V12" s="181" t="n">
        <f aca="false">SUMPRODUCT(V3:V9,V16:V22)</f>
        <v>317766210.129782</v>
      </c>
      <c r="W12" s="181" t="n">
        <f aca="false">SUMPRODUCT(W3:W9,W16:W22)</f>
        <v>294791720.418877</v>
      </c>
      <c r="X12" s="184" t="n">
        <f aca="false">SUMPRODUCT(X3:X9,X16:X22)</f>
        <v>332333829.578314</v>
      </c>
      <c r="Y12" s="185" t="n">
        <f aca="false">SUMPRODUCT(Y3:Y9,Y16:Y22)</f>
        <v>335572781.019657</v>
      </c>
      <c r="Z12" s="187" t="n">
        <f aca="false">SUMPRODUCT(Z3:Z9,Z16:Z22)</f>
        <v>305115602.58989</v>
      </c>
      <c r="AA12" s="181" t="n">
        <f aca="false">SUMPRODUCT(AA3:AA9,AA16:AA22)</f>
        <v>324543448.182727</v>
      </c>
      <c r="AB12" s="187" t="n">
        <f aca="false">SUMPRODUCT(AB3:AB9,AB16:AB22)</f>
        <v>270869143.927726</v>
      </c>
      <c r="AC12" s="186" t="n">
        <f aca="false">SUMPRODUCT(AC3:AC9,AC16:AC22)</f>
        <v>246577035.351016</v>
      </c>
      <c r="AD12" s="185" t="n">
        <f aca="false">SUMPRODUCT(AD3:AD9,AD16:AD22)</f>
        <v>226185771.25242</v>
      </c>
      <c r="AE12" s="187" t="n">
        <f aca="false">SUMPRODUCT(AE3:AE9,AE16:AE22)</f>
        <v>214213147.803488</v>
      </c>
      <c r="AF12" s="181" t="n">
        <f aca="false">SUMPRODUCT(AF3:AF9,AF16:AF22)</f>
        <v>222121463.221246</v>
      </c>
      <c r="AG12" s="187" t="n">
        <f aca="false">SUMPRODUCT(AG3:AG9,AG16:AG22)</f>
        <v>202828674.821505</v>
      </c>
      <c r="AH12" s="187" t="n">
        <f aca="false">SUMPRODUCT(AH3:AH9,AH16:AH22)</f>
        <v>155268207.291512</v>
      </c>
      <c r="AI12" s="184" t="n">
        <f aca="false">SUMPRODUCT(AI3:AI9,AI16:AI22)</f>
        <v>222617738.663482</v>
      </c>
      <c r="AJ12" s="185" t="n">
        <f aca="false">SUMPRODUCT(AJ3:AJ9,AJ16:AJ22)</f>
        <v>201510395.818868</v>
      </c>
      <c r="AK12" s="187" t="n">
        <f aca="false">SUMPRODUCT(AK3:AK9,AK16:AK22)</f>
        <v>187971802.929105</v>
      </c>
      <c r="AL12" s="181" t="n">
        <f aca="false">SUMPRODUCT(AL3:AL9,AL16:AL22)</f>
        <v>164032096.064419</v>
      </c>
      <c r="AM12" s="187" t="n">
        <f aca="false">SUMPRODUCT(AM3:AM9,AM16:AM22)</f>
        <v>144029893.178453</v>
      </c>
      <c r="AN12" s="186" t="n">
        <f aca="false">SUMPRODUCT(AN3:AN9,AN16:AN22)</f>
        <v>132577837.749021</v>
      </c>
      <c r="AO12" s="185" t="n">
        <f aca="false">SUMPRODUCT(AO3:AO9,AO16:AO22)</f>
        <v>128142331.528943</v>
      </c>
      <c r="AP12" s="187" t="n">
        <f aca="false">SUMPRODUCT(AP3:AP9,AP16:AP22)</f>
        <v>130814633.629846</v>
      </c>
      <c r="AQ12" s="181" t="n">
        <f aca="false">SUMPRODUCT(AQ3:AQ9,AQ16:AQ22)</f>
        <v>125411865.157543</v>
      </c>
    </row>
    <row r="13" customFormat="false" ht="12.8" hidden="false" customHeight="false" outlineLevel="0" collapsed="false">
      <c r="A13" s="23" t="s">
        <v>221</v>
      </c>
      <c r="B13" s="192" t="n">
        <f aca="false">B12/$AQ12*1000</f>
        <v>3261.83408666006</v>
      </c>
      <c r="C13" s="193" t="n">
        <f aca="false">C12/$AQ12*1000</f>
        <v>3227.14660670358</v>
      </c>
      <c r="D13" s="194" t="n">
        <f aca="false">D12/$AQ12*1000</f>
        <v>3277.23791944296</v>
      </c>
      <c r="E13" s="195" t="n">
        <f aca="false">E12/$AQ12*1000</f>
        <v>3239.40730755991</v>
      </c>
      <c r="F13" s="194" t="n">
        <f aca="false">F12/$AQ12*1000</f>
        <v>3014.03999044198</v>
      </c>
      <c r="G13" s="195" t="n">
        <f aca="false">G12/$AQ12*1000</f>
        <v>2945.52526915718</v>
      </c>
      <c r="H13" s="194" t="n">
        <f aca="false">H12/$AQ12*1000</f>
        <v>3012.59946858045</v>
      </c>
      <c r="I13" s="196" t="n">
        <f aca="false">I12/$AQ12*1000</f>
        <v>3005.85816628537</v>
      </c>
      <c r="J13" s="197" t="n">
        <f aca="false">J12/$AQ12*1000</f>
        <v>2653.99511190498</v>
      </c>
      <c r="K13" s="195" t="n">
        <f aca="false">K12/$AQ12*1000</f>
        <v>2621.16082050988</v>
      </c>
      <c r="L13" s="194" t="n">
        <f aca="false">L12/$AQ12*1000</f>
        <v>2574.74613588176</v>
      </c>
      <c r="M13" s="195" t="n">
        <f aca="false">M12/$AQ12*1000</f>
        <v>2561.95181969684</v>
      </c>
      <c r="N13" s="195" t="n">
        <f aca="false">N12/$AQ12*1000</f>
        <v>2567.71841734088</v>
      </c>
      <c r="O13" s="194" t="n">
        <f aca="false">O12/$AQ12*1000</f>
        <v>2629.06342919543</v>
      </c>
      <c r="P13" s="198" t="n">
        <f aca="false">P12/$AQ12*1000</f>
        <v>2631.11374483153</v>
      </c>
      <c r="Q13" s="197" t="n">
        <f aca="false">Q12/$AQ12*1000</f>
        <v>2490.53645596309</v>
      </c>
      <c r="R13" s="194" t="n">
        <f aca="false">R12/$AQ12*1000</f>
        <v>2299.1265792002</v>
      </c>
      <c r="S13" s="195" t="n">
        <f aca="false">S12/$AQ12*1000</f>
        <v>2437.14372586559</v>
      </c>
      <c r="T13" s="194" t="n">
        <f aca="false">T12/$AQ12*1000</f>
        <v>2426.15524098804</v>
      </c>
      <c r="U13" s="194" t="n">
        <f aca="false">U12/$AQ12*1000</f>
        <v>2639.45350020852</v>
      </c>
      <c r="V13" s="195" t="n">
        <f aca="false">V12/$AQ12*1000</f>
        <v>2533.78107191533</v>
      </c>
      <c r="W13" s="195" t="n">
        <f aca="false">W12/$AQ12*1000</f>
        <v>2350.58875847638</v>
      </c>
      <c r="X13" s="196" t="n">
        <f aca="false">X12/$AQ12*1000</f>
        <v>2649.93929530379</v>
      </c>
      <c r="Y13" s="197" t="n">
        <f aca="false">Y12/$AQ12*1000</f>
        <v>2675.76581050053</v>
      </c>
      <c r="Z13" s="194" t="n">
        <f aca="false">Z12/$AQ12*1000</f>
        <v>2432.90857851927</v>
      </c>
      <c r="AA13" s="195" t="n">
        <f aca="false">AA12/$AQ12*1000</f>
        <v>2587.82091929685</v>
      </c>
      <c r="AB13" s="194" t="n">
        <f aca="false">AB12/$AQ12*1000</f>
        <v>2159.83665969291</v>
      </c>
      <c r="AC13" s="198" t="n">
        <f aca="false">AC12/$AQ12*1000</f>
        <v>1966.13801286875</v>
      </c>
      <c r="AD13" s="197" t="n">
        <f aca="false">AD12/$AQ12*1000</f>
        <v>1803.54363574996</v>
      </c>
      <c r="AE13" s="194" t="n">
        <f aca="false">AE12/$AQ12*1000</f>
        <v>1708.07720253894</v>
      </c>
      <c r="AF13" s="195" t="n">
        <f aca="false">AF12/$AQ12*1000</f>
        <v>1771.13595226588</v>
      </c>
      <c r="AG13" s="194" t="n">
        <f aca="false">AG12/$AQ12*1000</f>
        <v>1617.30052070201</v>
      </c>
      <c r="AH13" s="194" t="n">
        <f aca="false">AH12/$AQ12*1000</f>
        <v>1238.06632726865</v>
      </c>
      <c r="AI13" s="196" t="n">
        <f aca="false">AI12/$AQ12*1000</f>
        <v>1775.09311725671</v>
      </c>
      <c r="AJ13" s="197" t="n">
        <f aca="false">AJ12/$AQ12*1000</f>
        <v>1606.7889235658</v>
      </c>
      <c r="AK13" s="194" t="n">
        <f aca="false">AK12/$AQ12*1000</f>
        <v>1498.83587723517</v>
      </c>
      <c r="AL13" s="195" t="n">
        <f aca="false">AL12/$AQ12*1000</f>
        <v>1307.94718552635</v>
      </c>
      <c r="AM13" s="194" t="n">
        <f aca="false">AM12/$AQ12*1000</f>
        <v>1148.45507637991</v>
      </c>
      <c r="AN13" s="198" t="n">
        <f aca="false">AN12/$AQ12*1000</f>
        <v>1057.13951054373</v>
      </c>
      <c r="AO13" s="197" t="n">
        <f aca="false">AO12/$AQ12*1000</f>
        <v>1021.7719939654</v>
      </c>
      <c r="AP13" s="199" t="n">
        <f aca="false">AP12/$AQ12*1000</f>
        <v>1043.08020190526</v>
      </c>
      <c r="AQ13" s="202" t="n">
        <v>1000</v>
      </c>
    </row>
    <row r="14" customFormat="false" ht="12.8" hidden="false" customHeight="false" outlineLevel="0" collapsed="false">
      <c r="A14" s="1" t="s">
        <v>218</v>
      </c>
      <c r="B14" s="201" t="n">
        <f aca="false">B11/C11-1</f>
        <v>0.0135546198584118</v>
      </c>
      <c r="C14" s="118" t="n">
        <f aca="false">C11/D11-1</f>
        <v>-0.0100264638190746</v>
      </c>
      <c r="D14" s="117" t="n">
        <f aca="false">D11/E11-1</f>
        <v>0.00232683183515769</v>
      </c>
      <c r="E14" s="79" t="n">
        <f aca="false">E11/F11-1</f>
        <v>0.078117528706819</v>
      </c>
      <c r="F14" s="117" t="n">
        <f aca="false">F11/G11-1</f>
        <v>0.028407204328742</v>
      </c>
      <c r="G14" s="79" t="n">
        <f aca="false">G11/H11-1</f>
        <v>-0.00726578775772535</v>
      </c>
      <c r="H14" s="117" t="n">
        <f aca="false">H11/I11-1</f>
        <v>0.0134945814625698</v>
      </c>
      <c r="I14" s="176" t="n">
        <f aca="false">I11/J11-1</f>
        <v>0.0957667776626545</v>
      </c>
      <c r="J14" s="177" t="n">
        <f aca="false">J11/K11-1</f>
        <v>0.0427942524538865</v>
      </c>
      <c r="K14" s="79" t="n">
        <f aca="false">K11/L11-1</f>
        <v>-0.00788047292930705</v>
      </c>
      <c r="L14" s="117" t="n">
        <f aca="false">L11/M11-1</f>
        <v>0.00324774837135711</v>
      </c>
      <c r="M14" s="79" t="n">
        <f aca="false">M11/N11-1</f>
        <v>0.00541445713987332</v>
      </c>
      <c r="N14" s="79" t="n">
        <f aca="false">N11/O11-1</f>
        <v>-0.0157260587365665</v>
      </c>
      <c r="O14" s="117" t="n">
        <f aca="false">O11/P11-1</f>
        <v>-0.00714238182298665</v>
      </c>
      <c r="P14" s="178" t="n">
        <f aca="false">P11/Q11-1</f>
        <v>0.0296032121776619</v>
      </c>
      <c r="Q14" s="177" t="n">
        <f aca="false">Q11/R11-1</f>
        <v>0.0490717854237495</v>
      </c>
      <c r="R14" s="117" t="n">
        <f aca="false">R11/S11-1</f>
        <v>-0.0361919730210414</v>
      </c>
      <c r="S14" s="79" t="n">
        <f aca="false">S11/T11-1</f>
        <v>0.0104011718760104</v>
      </c>
      <c r="T14" s="117" t="n">
        <f aca="false">T11/U11-1</f>
        <v>-0.0554379015052064</v>
      </c>
      <c r="U14" s="117" t="n">
        <f aca="false">U11/V11-1</f>
        <v>0.00827954310848456</v>
      </c>
      <c r="V14" s="79" t="n">
        <f aca="false">V11/W11-1</f>
        <v>0.0484927133002611</v>
      </c>
      <c r="W14" s="79" t="n">
        <f aca="false">W11/X11-1</f>
        <v>-0.0732777898931146</v>
      </c>
      <c r="X14" s="176" t="n">
        <f aca="false">X11/Y11-1</f>
        <v>-0.0171979107681104</v>
      </c>
      <c r="Y14" s="177" t="n">
        <f aca="false">Y11/Z11-1</f>
        <v>0.0509775476006762</v>
      </c>
      <c r="Z14" s="117" t="n">
        <f aca="false">Z11/AA11-1</f>
        <v>-0.0293721296131805</v>
      </c>
      <c r="AA14" s="79" t="n">
        <f aca="false">AA11/AB11-1</f>
        <v>0.109670776673082</v>
      </c>
      <c r="AB14" s="117" t="n">
        <f aca="false">AB11/AC11-1</f>
        <v>0.068194389886082</v>
      </c>
      <c r="AC14" s="178" t="n">
        <f aca="false">AC11/AD11-1</f>
        <v>0.0698049758627484</v>
      </c>
      <c r="AD14" s="177" t="n">
        <f aca="false">AD11/AE11-1</f>
        <v>0.0595884982731676</v>
      </c>
      <c r="AE14" s="117" t="n">
        <f aca="false">AE11/AF11-1</f>
        <v>-0.0133285703574577</v>
      </c>
      <c r="AF14" s="79" t="n">
        <f aca="false">AF11/AG11-1</f>
        <v>0.0572502976114662</v>
      </c>
      <c r="AG14" s="117" t="n">
        <f aca="false">AG11/AH11-1</f>
        <v>0.127243132532023</v>
      </c>
      <c r="AH14" s="117" t="n">
        <f aca="false">AH11/AI11-1</f>
        <v>-0.186553260376616</v>
      </c>
      <c r="AI14" s="176" t="n">
        <f aca="false">AI11/AJ11-1</f>
        <v>0.0808922511973251</v>
      </c>
      <c r="AJ14" s="177" t="n">
        <f aca="false">AJ11/AK11-1</f>
        <v>0.0497373205074685</v>
      </c>
      <c r="AK14" s="117" t="n">
        <f aca="false">AK11/AL11-1</f>
        <v>0.0867951676125944</v>
      </c>
      <c r="AL14" s="79" t="n">
        <f aca="false">AL11/AM11-1</f>
        <v>0.0604770967262085</v>
      </c>
      <c r="AM14" s="117" t="n">
        <f aca="false">AM11/AN11-1</f>
        <v>0.030397604173328</v>
      </c>
      <c r="AN14" s="178" t="n">
        <f aca="false">AN11/AO11-1</f>
        <v>0.0397646367226556</v>
      </c>
      <c r="AO14" s="177" t="n">
        <f aca="false">AO11/AP11-1</f>
        <v>-0.012704029955837</v>
      </c>
      <c r="AP14" s="179" t="n">
        <f aca="false">AP11/AQ11-1</f>
        <v>0.0305488131286797</v>
      </c>
    </row>
    <row r="16" customFormat="false" ht="12.8" hidden="false" customHeight="false" outlineLevel="0" collapsed="false">
      <c r="A16" s="139" t="s">
        <v>30</v>
      </c>
      <c r="B16" s="118" t="n">
        <f aca="false">B3/SUM(B$3:B$9)</f>
        <v>0.772521311226968</v>
      </c>
      <c r="C16" s="118" t="n">
        <f aca="false">C3/SUM(C$3:C$9)</f>
        <v>0.773916537238426</v>
      </c>
      <c r="D16" s="117" t="n">
        <f aca="false">D3/SUM(D$3:D$9)</f>
        <v>0.776183354897896</v>
      </c>
      <c r="E16" s="79" t="n">
        <f aca="false">E3/SUM(E$3:E$9)</f>
        <v>0.772044307225064</v>
      </c>
      <c r="F16" s="117" t="n">
        <f aca="false">F3/SUM(F$3:F$9)</f>
        <v>0.774445086188727</v>
      </c>
      <c r="G16" s="79" t="n">
        <f aca="false">G3/SUM(G$3:G$9)</f>
        <v>0.776669367364018</v>
      </c>
      <c r="H16" s="117" t="n">
        <f aca="false">H3/SUM(H$3:H$9)</f>
        <v>0.783216189087626</v>
      </c>
      <c r="I16" s="176" t="n">
        <f aca="false">I3/SUM(I$3:I$9)</f>
        <v>0.788025176247516</v>
      </c>
      <c r="J16" s="177" t="n">
        <f aca="false">J3/SUM(J$3:J$9)</f>
        <v>0.774245202407099</v>
      </c>
      <c r="K16" s="79" t="n">
        <f aca="false">K3/SUM(K$3:K$9)</f>
        <v>0.787219946712635</v>
      </c>
      <c r="L16" s="117" t="n">
        <f aca="false">L3/SUM(L$3:L$9)</f>
        <v>0.775996515853842</v>
      </c>
      <c r="M16" s="79" t="n">
        <f aca="false">M3/SUM(M$3:M$9)</f>
        <v>0.775269008903028</v>
      </c>
      <c r="N16" s="79" t="n">
        <f aca="false">N3/SUM(N$3:N$9)</f>
        <v>0.778594816422306</v>
      </c>
      <c r="O16" s="117" t="n">
        <f aca="false">O3/SUM(O$3:O$9)</f>
        <v>0.781854976109401</v>
      </c>
      <c r="P16" s="178" t="n">
        <f aca="false">P3/SUM(P$3:P$9)</f>
        <v>0.779148117026325</v>
      </c>
      <c r="Q16" s="177" t="n">
        <f aca="false">Q3/SUM(Q$3:Q$9)</f>
        <v>0.768298999761175</v>
      </c>
      <c r="R16" s="117" t="n">
        <f aca="false">R3/SUM(R$3:R$9)</f>
        <v>0.754936597826933</v>
      </c>
      <c r="S16" s="79" t="n">
        <f aca="false">S3/SUM(S$3:S$9)</f>
        <v>0.763803400470223</v>
      </c>
      <c r="T16" s="117" t="n">
        <f aca="false">T3/SUM(T$3:T$9)</f>
        <v>0.766388023832092</v>
      </c>
      <c r="U16" s="117" t="n">
        <f aca="false">U3/SUM(U$3:U$9)</f>
        <v>0.777811636710071</v>
      </c>
      <c r="V16" s="79" t="n">
        <f aca="false">V3/SUM(V$3:V$9)</f>
        <v>0.764013950137172</v>
      </c>
      <c r="W16" s="79" t="n">
        <f aca="false">W3/SUM(W$3:W$9)</f>
        <v>0.752570346278313</v>
      </c>
      <c r="X16" s="176" t="n">
        <f aca="false">X3/SUM(X$3:X$9)</f>
        <v>0.770701444457057</v>
      </c>
      <c r="Y16" s="177" t="n">
        <f aca="false">Y3/SUM(Y$3:Y$9)</f>
        <v>0.767235813305761</v>
      </c>
      <c r="Z16" s="117" t="n">
        <f aca="false">Z3/SUM(Z$3:Z$9)</f>
        <v>0.748365457773816</v>
      </c>
      <c r="AA16" s="79" t="n">
        <f aca="false">AA3/SUM(AA$3:AA$9)</f>
        <v>0.761579709131154</v>
      </c>
      <c r="AB16" s="117" t="n">
        <f aca="false">AB3/SUM(AB$3:AB$9)</f>
        <v>0.730022068458266</v>
      </c>
      <c r="AC16" s="178" t="n">
        <f aca="false">AC3/SUM(AC$3:AC$9)</f>
        <v>0.719137618030802</v>
      </c>
      <c r="AD16" s="177" t="n">
        <f aca="false">AD3/SUM(AD$3:AD$9)</f>
        <v>0.710825038546425</v>
      </c>
      <c r="AE16" s="117" t="n">
        <f aca="false">AE3/SUM(AE$3:AE$9)</f>
        <v>0.712866461386812</v>
      </c>
      <c r="AF16" s="79" t="n">
        <f aca="false">AF3/SUM(AF$3:AF$9)</f>
        <v>0.722188067305588</v>
      </c>
      <c r="AG16" s="117" t="n">
        <f aca="false">AG3/SUM(AG$3:AG$9)</f>
        <v>0.708236043638181</v>
      </c>
      <c r="AH16" s="117" t="n">
        <f aca="false">AH3/SUM(AH$3:AH$9)</f>
        <v>0.650785044420718</v>
      </c>
      <c r="AI16" s="176" t="n">
        <f aca="false">AI3/SUM(AI$3:AI$9)</f>
        <v>0.710971588705171</v>
      </c>
      <c r="AJ16" s="177" t="n">
        <f aca="false">AJ3/SUM(AJ$3:AJ$9)</f>
        <v>0.701661474178917</v>
      </c>
      <c r="AK16" s="117" t="n">
        <f aca="false">AK3/SUM(AK$3:AK$9)</f>
        <v>0.693307910599468</v>
      </c>
      <c r="AL16" s="79" t="n">
        <f aca="false">AL3/SUM(AL$3:AL$9)</f>
        <v>0.67247564593056</v>
      </c>
      <c r="AM16" s="117" t="n">
        <f aca="false">AM3/SUM(AM$3:AM$9)</f>
        <v>0.645299277346299</v>
      </c>
      <c r="AN16" s="178" t="n">
        <f aca="false">AN3/SUM(AN$3:AN$9)</f>
        <v>0.62478316882145</v>
      </c>
      <c r="AO16" s="177" t="n">
        <f aca="false">AO3/SUM(AO$3:AO$9)</f>
        <v>0.626748330230243</v>
      </c>
      <c r="AP16" s="117" t="n">
        <f aca="false">AP3/SUM(AP$3:AP$9)</f>
        <v>0.630232750133556</v>
      </c>
      <c r="AQ16" s="79" t="n">
        <f aca="false">AQ3/SUM(AQ$3:AQ$9)</f>
        <v>0.625793416630349</v>
      </c>
    </row>
    <row r="17" customFormat="false" ht="12.8" hidden="false" customHeight="false" outlineLevel="0" collapsed="false">
      <c r="A17" s="139" t="s">
        <v>29</v>
      </c>
      <c r="B17" s="118" t="n">
        <f aca="false">B4/SUM(B$3:B$9)</f>
        <v>0.0940595197923243</v>
      </c>
      <c r="C17" s="118" t="n">
        <f aca="false">C4/SUM(C$3:C$9)</f>
        <v>0.0909641815473991</v>
      </c>
      <c r="D17" s="117" t="n">
        <f aca="false">D4/SUM(D$3:D$9)</f>
        <v>0.0900521324722824</v>
      </c>
      <c r="E17" s="79" t="n">
        <f aca="false">E4/SUM(E$3:E$9)</f>
        <v>0.0939005030688118</v>
      </c>
      <c r="F17" s="117" t="n">
        <f aca="false">F4/SUM(F$3:F$9)</f>
        <v>0.0790135562056958</v>
      </c>
      <c r="G17" s="79" t="n">
        <f aca="false">G4/SUM(G$3:G$9)</f>
        <v>0.076354603776994</v>
      </c>
      <c r="H17" s="117" t="n">
        <f aca="false">H4/SUM(H$3:H$9)</f>
        <v>0.0720314772584812</v>
      </c>
      <c r="I17" s="176" t="n">
        <f aca="false">I4/SUM(I$3:I$9)</f>
        <v>0.0694864341208481</v>
      </c>
      <c r="J17" s="177" t="n">
        <f aca="false">J4/SUM(J$3:J$9)</f>
        <v>0.0718231134972982</v>
      </c>
      <c r="K17" s="79" t="n">
        <f aca="false">K4/SUM(K$3:K$9)</f>
        <v>0.0700646828548853</v>
      </c>
      <c r="L17" s="117" t="n">
        <f aca="false">L4/SUM(L$3:L$9)</f>
        <v>0.0679145505926378</v>
      </c>
      <c r="M17" s="79" t="n">
        <f aca="false">M4/SUM(M$3:M$9)</f>
        <v>0.0681351199637165</v>
      </c>
      <c r="N17" s="79" t="n">
        <f aca="false">N4/SUM(N$3:N$9)</f>
        <v>0.0644743855533932</v>
      </c>
      <c r="O17" s="117" t="n">
        <f aca="false">O4/SUM(O$3:O$9)</f>
        <v>0.063436770963385</v>
      </c>
      <c r="P17" s="178" t="n">
        <f aca="false">P4/SUM(P$3:P$9)</f>
        <v>0.0645823787294967</v>
      </c>
      <c r="Q17" s="177" t="n">
        <f aca="false">Q4/SUM(Q$3:Q$9)</f>
        <v>0.0709947483274555</v>
      </c>
      <c r="R17" s="117" t="n">
        <f aca="false">R4/SUM(R$3:R$9)</f>
        <v>0.0774134945963108</v>
      </c>
      <c r="S17" s="79" t="n">
        <f aca="false">S4/SUM(S$3:S$9)</f>
        <v>0.0746117474884166</v>
      </c>
      <c r="T17" s="117" t="n">
        <f aca="false">T4/SUM(T$3:T$9)</f>
        <v>0.0712538948175836</v>
      </c>
      <c r="U17" s="117" t="n">
        <f aca="false">U4/SUM(U$3:U$9)</f>
        <v>0.0649522843514995</v>
      </c>
      <c r="V17" s="79" t="n">
        <f aca="false">V4/SUM(V$3:V$9)</f>
        <v>0.0725878076298965</v>
      </c>
      <c r="W17" s="79" t="n">
        <f aca="false">W4/SUM(W$3:W$9)</f>
        <v>0.0761077873743876</v>
      </c>
      <c r="X17" s="176" t="n">
        <f aca="false">X4/SUM(X$3:X$9)</f>
        <v>0.0705307769219374</v>
      </c>
      <c r="Y17" s="177" t="n">
        <f aca="false">Y4/SUM(Y$3:Y$9)</f>
        <v>0.076738485581611</v>
      </c>
      <c r="Z17" s="117" t="n">
        <f aca="false">Z4/SUM(Z$3:Z$9)</f>
        <v>0.0839366233737265</v>
      </c>
      <c r="AA17" s="79" t="n">
        <f aca="false">AA4/SUM(AA$3:AA$9)</f>
        <v>0.0801902293113303</v>
      </c>
      <c r="AB17" s="117" t="n">
        <f aca="false">AB4/SUM(AB$3:AB$9)</f>
        <v>0.0921120167110704</v>
      </c>
      <c r="AC17" s="178" t="n">
        <f aca="false">AC4/SUM(AC$3:AC$9)</f>
        <v>0.091014024029969</v>
      </c>
      <c r="AD17" s="177" t="n">
        <f aca="false">AD4/SUM(AD$3:AD$9)</f>
        <v>0.101363309321096</v>
      </c>
      <c r="AE17" s="117" t="n">
        <f aca="false">AE4/SUM(AE$3:AE$9)</f>
        <v>0.0919125221789896</v>
      </c>
      <c r="AF17" s="79" t="n">
        <f aca="false">AF4/SUM(AF$3:AF$9)</f>
        <v>0.0863851854364931</v>
      </c>
      <c r="AG17" s="117" t="n">
        <f aca="false">AG4/SUM(AG$3:AG$9)</f>
        <v>0.0883380024139518</v>
      </c>
      <c r="AH17" s="117" t="n">
        <f aca="false">AH4/SUM(AH$3:AH$9)</f>
        <v>0.101400271927506</v>
      </c>
      <c r="AI17" s="176" t="n">
        <f aca="false">AI4/SUM(AI$3:AI$9)</f>
        <v>0.0819898061017652</v>
      </c>
      <c r="AJ17" s="177" t="n">
        <f aca="false">AJ4/SUM(AJ$3:AJ$9)</f>
        <v>0.0819245220629399</v>
      </c>
      <c r="AK17" s="117" t="n">
        <f aca="false">AK4/SUM(AK$3:AK$9)</f>
        <v>0.0868765457644156</v>
      </c>
      <c r="AL17" s="79" t="n">
        <f aca="false">AL4/SUM(AL$3:AL$9)</f>
        <v>0.0942221098238272</v>
      </c>
      <c r="AM17" s="117" t="n">
        <f aca="false">AM4/SUM(AM$3:AM$9)</f>
        <v>0.0955928742214722</v>
      </c>
      <c r="AN17" s="178" t="n">
        <f aca="false">AN4/SUM(AN$3:AN$9)</f>
        <v>0.101160794751519</v>
      </c>
      <c r="AO17" s="177" t="n">
        <f aca="false">AO4/SUM(AO$3:AO$9)</f>
        <v>0.0969348227244393</v>
      </c>
      <c r="AP17" s="117" t="n">
        <f aca="false">AP4/SUM(AP$3:AP$9)</f>
        <v>0.0915494732837885</v>
      </c>
      <c r="AQ17" s="79" t="n">
        <f aca="false">AQ4/SUM(AQ$3:AQ$9)</f>
        <v>0.0922339726537798</v>
      </c>
    </row>
    <row r="18" customFormat="false" ht="12.8" hidden="false" customHeight="false" outlineLevel="0" collapsed="false">
      <c r="A18" s="139" t="s">
        <v>188</v>
      </c>
      <c r="B18" s="118" t="n">
        <f aca="false">B5/SUM(B$3:B$9)</f>
        <v>0.0439161444108254</v>
      </c>
      <c r="C18" s="118" t="n">
        <f aca="false">C5/SUM(C$3:C$9)</f>
        <v>0.0445114110539613</v>
      </c>
      <c r="D18" s="117" t="n">
        <f aca="false">D5/SUM(D$3:D$9)</f>
        <v>0.0440651190014928</v>
      </c>
      <c r="E18" s="79" t="n">
        <f aca="false">E5/SUM(E$3:E$9)</f>
        <v>0.0441676511232055</v>
      </c>
      <c r="F18" s="117" t="n">
        <f aca="false">F5/SUM(F$3:F$9)</f>
        <v>0.0476179188777352</v>
      </c>
      <c r="G18" s="79" t="n">
        <f aca="false">G5/SUM(G$3:G$9)</f>
        <v>0.0475088015505267</v>
      </c>
      <c r="H18" s="117" t="n">
        <f aca="false">H5/SUM(H$3:H$9)</f>
        <v>0.0471636126818366</v>
      </c>
      <c r="I18" s="176" t="n">
        <f aca="false">I5/SUM(I$3:I$9)</f>
        <v>0.0448585233786106</v>
      </c>
      <c r="J18" s="177" t="n">
        <f aca="false">J5/SUM(J$3:J$9)</f>
        <v>0.049162537724697</v>
      </c>
      <c r="K18" s="79" t="n">
        <f aca="false">K6/SUM(K$3:K$9)</f>
        <v>0.0337431994218185</v>
      </c>
      <c r="L18" s="117" t="n">
        <f aca="false">L5/SUM(L$3:L$9)</f>
        <v>0.0480279189755875</v>
      </c>
      <c r="M18" s="79" t="n">
        <f aca="false">M5/SUM(M$3:M$9)</f>
        <v>0.0481839015712201</v>
      </c>
      <c r="N18" s="79" t="n">
        <f aca="false">N5/SUM(N$3:N$9)</f>
        <v>0.0479318364996222</v>
      </c>
      <c r="O18" s="117" t="n">
        <f aca="false">O5/SUM(O$3:O$9)</f>
        <v>0.0471946113279068</v>
      </c>
      <c r="P18" s="178" t="n">
        <f aca="false">P5/SUM(P$3:P$9)</f>
        <v>0.047030101845108</v>
      </c>
      <c r="Q18" s="177" t="n">
        <f aca="false">Q5/SUM(Q$3:Q$9)</f>
        <v>0.0465524613482562</v>
      </c>
      <c r="R18" s="117" t="n">
        <f aca="false">R5/SUM(R$3:R$9)</f>
        <v>0.0460674981322242</v>
      </c>
      <c r="S18" s="79" t="n">
        <f aca="false">S5/SUM(S$3:S$9)</f>
        <v>0.0444002244826759</v>
      </c>
      <c r="T18" s="117" t="n">
        <f aca="false">T5/SUM(T$3:T$9)</f>
        <v>0.0433061299870438</v>
      </c>
      <c r="U18" s="117" t="n">
        <f aca="false">U5/SUM(U$3:U$9)</f>
        <v>0.0449060498204346</v>
      </c>
      <c r="V18" s="79" t="n">
        <f aca="false">V5/SUM(V$3:V$9)</f>
        <v>0.0452778513957546</v>
      </c>
      <c r="W18" s="79" t="n">
        <f aca="false">W5/SUM(W$3:W$9)</f>
        <v>0.0474734972623408</v>
      </c>
      <c r="X18" s="176" t="n">
        <f aca="false">X5/SUM(X$3:X$9)</f>
        <v>0.0439947443044596</v>
      </c>
      <c r="Y18" s="177" t="n">
        <f aca="false">Y5/SUM(Y$3:Y$9)</f>
        <v>0.0432381266176457</v>
      </c>
      <c r="Z18" s="117" t="n">
        <f aca="false">Z5/SUM(Z$3:Z$9)</f>
        <v>0.0448722059629141</v>
      </c>
      <c r="AA18" s="79" t="n">
        <f aca="false">AA5/SUM(AA$3:AA$9)</f>
        <v>0.0430329425125748</v>
      </c>
      <c r="AB18" s="117" t="n">
        <f aca="false">AB5/SUM(AB$3:AB$9)</f>
        <v>0.0462751534570211</v>
      </c>
      <c r="AC18" s="178" t="n">
        <f aca="false">AC5/SUM(AC$3:AC$9)</f>
        <v>0.0475296724172188</v>
      </c>
      <c r="AD18" s="177" t="n">
        <f aca="false">AD5/SUM(AD$3:AD$9)</f>
        <v>0.0457729015437709</v>
      </c>
      <c r="AE18" s="117" t="n">
        <f aca="false">AE5/SUM(AE$3:AE$9)</f>
        <v>0.0485112154893759</v>
      </c>
      <c r="AF18" s="79" t="n">
        <f aca="false">AF5/SUM(AF$3:AF$9)</f>
        <v>0.0478646303405999</v>
      </c>
      <c r="AG18" s="117" t="n">
        <f aca="false">AG5/SUM(AG$3:AG$9)</f>
        <v>0.0532126991071485</v>
      </c>
      <c r="AH18" s="117" t="n">
        <f aca="false">AH5/SUM(AH$3:AH$9)</f>
        <v>0.0628472543673108</v>
      </c>
      <c r="AI18" s="176" t="n">
        <f aca="false">AI5/SUM(AI$3:AI$9)</f>
        <v>0.0565716052013885</v>
      </c>
      <c r="AJ18" s="177" t="n">
        <f aca="false">AJ5/SUM(AJ$3:AJ$9)</f>
        <v>0.0637253438891707</v>
      </c>
      <c r="AK18" s="117" t="n">
        <f aca="false">AK5/SUM(AK$3:AK$9)</f>
        <v>0.0643219920602261</v>
      </c>
      <c r="AL18" s="79" t="n">
        <f aca="false">AL5/SUM(AL$3:AL$9)</f>
        <v>0.0654563409513975</v>
      </c>
      <c r="AM18" s="117" t="n">
        <f aca="false">AM5/SUM(AM$3:AM$9)</f>
        <v>0.0741324713164126</v>
      </c>
      <c r="AN18" s="178" t="n">
        <f aca="false">AN5/SUM(AN$3:AN$9)</f>
        <v>0.0763859208358795</v>
      </c>
      <c r="AO18" s="177" t="n">
        <f aca="false">AO5/SUM(AO$3:AO$9)</f>
        <v>0.0694304740602398</v>
      </c>
      <c r="AP18" s="117" t="n">
        <f aca="false">AP5/SUM(AP$3:AP$9)</f>
        <v>0.0685484272379305</v>
      </c>
      <c r="AQ18" s="79" t="n">
        <f aca="false">AQ5/SUM(AQ$3:AQ$9)</f>
        <v>0.0719942287076219</v>
      </c>
    </row>
    <row r="19" customFormat="false" ht="12.8" hidden="false" customHeight="false" outlineLevel="0" collapsed="false">
      <c r="A19" s="139" t="s">
        <v>190</v>
      </c>
      <c r="B19" s="118" t="n">
        <f aca="false">B6/SUM(B$3:B$9)</f>
        <v>0.0333675549418051</v>
      </c>
      <c r="C19" s="118" t="n">
        <f aca="false">C6/SUM(C$3:C$9)</f>
        <v>0.0338296451588948</v>
      </c>
      <c r="D19" s="117" t="n">
        <f aca="false">D6/SUM(D$3:D$9)</f>
        <v>0.033490453445697</v>
      </c>
      <c r="E19" s="79" t="n">
        <f aca="false">E6/SUM(E$3:E$9)</f>
        <v>0.0335683800989483</v>
      </c>
      <c r="F19" s="117" t="n">
        <f aca="false">F6/SUM(F$3:F$9)</f>
        <v>0.0361906589949694</v>
      </c>
      <c r="G19" s="79" t="n">
        <f aca="false">G6/SUM(G$3:G$9)</f>
        <v>0.03700297366047</v>
      </c>
      <c r="H19" s="117" t="n">
        <f aca="false">H6/SUM(H$3:H$9)</f>
        <v>0.0356642233363246</v>
      </c>
      <c r="I19" s="176" t="n">
        <f aca="false">I6/SUM(I$3:I$9)</f>
        <v>0.036145497103436</v>
      </c>
      <c r="J19" s="177" t="n">
        <f aca="false">J6/SUM(J$3:J$9)</f>
        <v>0.035801067750671</v>
      </c>
      <c r="K19" s="79" t="n">
        <f aca="false">K7/SUM(K$3:K$9)</f>
        <v>0.025863258649337</v>
      </c>
      <c r="L19" s="117" t="n">
        <f aca="false">L6/SUM(L$3:L$9)</f>
        <v>0.0370389448224372</v>
      </c>
      <c r="M19" s="79" t="n">
        <f aca="false">M6/SUM(M$3:M$9)</f>
        <v>0.0371592379951611</v>
      </c>
      <c r="N19" s="79" t="n">
        <f aca="false">N6/SUM(N$3:N$9)</f>
        <v>0.0373604350966362</v>
      </c>
      <c r="O19" s="117" t="n">
        <f aca="false">O6/SUM(O$3:O$9)</f>
        <v>0.0366495159960296</v>
      </c>
      <c r="P19" s="178" t="n">
        <f aca="false">P6/SUM(P$3:P$9)</f>
        <v>0.0388136012364355</v>
      </c>
      <c r="Q19" s="177" t="n">
        <f aca="false">Q6/SUM(Q$3:Q$9)</f>
        <v>0.0399626085092168</v>
      </c>
      <c r="R19" s="117" t="n">
        <f aca="false">R6/SUM(R$3:R$9)</f>
        <v>0.0432311387392307</v>
      </c>
      <c r="S19" s="79" t="n">
        <f aca="false">S6/SUM(S$3:S$9)</f>
        <v>0.0416690439289132</v>
      </c>
      <c r="T19" s="117" t="n">
        <f aca="false">T6/SUM(T$3:T$9)</f>
        <v>0.0421024508167268</v>
      </c>
      <c r="U19" s="117" t="n">
        <f aca="false">U6/SUM(U$3:U$9)</f>
        <v>0.0397683792952213</v>
      </c>
      <c r="V19" s="79" t="n">
        <f aca="false">V6/SUM(V$3:V$9)</f>
        <v>0.0449579637066721</v>
      </c>
      <c r="W19" s="79" t="n">
        <f aca="false">W6/SUM(W$3:W$9)</f>
        <v>0.0471380973512633</v>
      </c>
      <c r="X19" s="176" t="n">
        <f aca="false">X6/SUM(X$3:X$9)</f>
        <v>0.0436839217575962</v>
      </c>
      <c r="Y19" s="177" t="n">
        <f aca="false">Y6/SUM(Y$3:Y$9)</f>
        <v>0.0429210461504055</v>
      </c>
      <c r="Z19" s="117" t="n">
        <f aca="false">Z6/SUM(Z$3:Z$9)</f>
        <v>0.046216355707032</v>
      </c>
      <c r="AA19" s="79" t="n">
        <f aca="false">AA6/SUM(AA$3:AA$9)</f>
        <v>0.040837941831176</v>
      </c>
      <c r="AB19" s="117" t="n">
        <f aca="false">AB6/SUM(AB$3:AB$9)</f>
        <v>0.0453153571409184</v>
      </c>
      <c r="AC19" s="178" t="n">
        <f aca="false">AC6/SUM(AC$3:AC$9)</f>
        <v>0.0484056102736133</v>
      </c>
      <c r="AD19" s="177" t="n">
        <f aca="false">AD6/SUM(AD$3:AD$9)</f>
        <v>0.0495330600029764</v>
      </c>
      <c r="AE19" s="117" t="n">
        <f aca="false">AE6/SUM(AE$3:AE$9)</f>
        <v>0.0516019640977253</v>
      </c>
      <c r="AF19" s="79" t="n">
        <f aca="false">AF6/SUM(AF$3:AF$9)</f>
        <v>0.0509141836886658</v>
      </c>
      <c r="AG19" s="117" t="n">
        <f aca="false">AG6/SUM(AG$3:AG$9)</f>
        <v>0.0522611998616378</v>
      </c>
      <c r="AH19" s="117" t="n">
        <f aca="false">AH6/SUM(AH$3:AH$9)</f>
        <v>0.0707494001594804</v>
      </c>
      <c r="AI19" s="176" t="n">
        <f aca="false">AI6/SUM(AI$3:AI$9)</f>
        <v>0.0575508688900395</v>
      </c>
      <c r="AJ19" s="177" t="n">
        <f aca="false">AJ6/SUM(AJ$3:AJ$9)</f>
        <v>0.067418921954787</v>
      </c>
      <c r="AK19" s="117" t="n">
        <f aca="false">AK6/SUM(AK$3:AK$9)</f>
        <v>0.0681829331739181</v>
      </c>
      <c r="AL19" s="79" t="n">
        <f aca="false">AL6/SUM(AL$3:AL$9)</f>
        <v>0.0741008822870667</v>
      </c>
      <c r="AM19" s="117" t="n">
        <f aca="false">AM6/SUM(AM$3:AM$9)</f>
        <v>0.0817693474037086</v>
      </c>
      <c r="AN19" s="178" t="n">
        <f aca="false">AN6/SUM(AN$3:AN$9)</f>
        <v>0.0912204957143719</v>
      </c>
      <c r="AO19" s="177" t="n">
        <f aca="false">AO6/SUM(AO$3:AO$9)</f>
        <v>0.0980875922239332</v>
      </c>
      <c r="AP19" s="117" t="n">
        <f aca="false">AP6/SUM(AP$3:AP$9)</f>
        <v>0.0978515651869216</v>
      </c>
      <c r="AQ19" s="79" t="n">
        <f aca="false">AQ6/SUM(AQ$3:AQ$9)</f>
        <v>0.0965035750385887</v>
      </c>
    </row>
    <row r="20" customFormat="false" ht="12.8" hidden="false" customHeight="false" outlineLevel="0" collapsed="false">
      <c r="A20" s="139" t="s">
        <v>194</v>
      </c>
      <c r="B20" s="118" t="n">
        <f aca="false">B7/SUM(B$3:B$9)</f>
        <v>0.0196236392967299</v>
      </c>
      <c r="C20" s="118" t="n">
        <f aca="false">C7/SUM(C$3:C$9)</f>
        <v>0.0198896302676356</v>
      </c>
      <c r="D20" s="117" t="n">
        <f aca="false">D7/SUM(D$3:D$9)</f>
        <v>0.0196902076093824</v>
      </c>
      <c r="E20" s="79" t="n">
        <f aca="false">E7/SUM(E$3:E$9)</f>
        <v>0.0197360234112888</v>
      </c>
      <c r="F20" s="117" t="n">
        <f aca="false">F7/SUM(F$3:F$9)</f>
        <v>0.0212777527866786</v>
      </c>
      <c r="G20" s="79" t="n">
        <f aca="false">G7/SUM(G$3:G$9)</f>
        <v>0.0218821942577462</v>
      </c>
      <c r="H20" s="117" t="n">
        <f aca="false">H7/SUM(H$3:H$9)</f>
        <v>0.0217232028785961</v>
      </c>
      <c r="I20" s="176" t="n">
        <f aca="false">I7/SUM(I$3:I$9)</f>
        <v>0.0207584699176403</v>
      </c>
      <c r="J20" s="177" t="n">
        <f aca="false">J7/SUM(J$3:J$9)</f>
        <v>0.0227464416908599</v>
      </c>
      <c r="K20" s="79" t="n">
        <f aca="false">K8/SUM(K$3:K$9)</f>
        <v>0.022693955250815</v>
      </c>
      <c r="L20" s="117" t="n">
        <f aca="false">L7/SUM(L$3:L$9)</f>
        <v>0.0228475096650066</v>
      </c>
      <c r="M20" s="79" t="n">
        <f aca="false">M7/SUM(M$3:M$9)</f>
        <v>0.0229217126273107</v>
      </c>
      <c r="N20" s="79" t="n">
        <f aca="false">N7/SUM(N$3:N$9)</f>
        <v>0.0230458212579038</v>
      </c>
      <c r="O20" s="117" t="n">
        <f aca="false">O7/SUM(O$3:O$9)</f>
        <v>0.0226834013191696</v>
      </c>
      <c r="P20" s="178" t="n">
        <f aca="false">P7/SUM(P$3:P$9)</f>
        <v>0.0225213878059041</v>
      </c>
      <c r="Q20" s="177" t="n">
        <f aca="false">Q7/SUM(Q$3:Q$9)</f>
        <v>0.0231880932276576</v>
      </c>
      <c r="R20" s="117" t="n">
        <f aca="false">R7/SUM(R$3:R$9)</f>
        <v>0.0243259743629112</v>
      </c>
      <c r="S20" s="79" t="n">
        <f aca="false">S7/SUM(S$3:S$9)</f>
        <v>0.0234455693550581</v>
      </c>
      <c r="T20" s="117" t="n">
        <f aca="false">T7/SUM(T$3:T$9)</f>
        <v>0.023689430751651</v>
      </c>
      <c r="U20" s="117" t="n">
        <f aca="false">U7/SUM(U$3:U$9)</f>
        <v>0.0223761384229266</v>
      </c>
      <c r="V20" s="79" t="n">
        <f aca="false">V7/SUM(V$3:V$9)</f>
        <v>0.0225614026256006</v>
      </c>
      <c r="W20" s="79" t="n">
        <f aca="false">W7/SUM(W$3:W$9)</f>
        <v>0.0236554662547756</v>
      </c>
      <c r="X20" s="176" t="n">
        <f aca="false">X7/SUM(X$3:X$9)</f>
        <v>0.0219220459687345</v>
      </c>
      <c r="Y20" s="177" t="n">
        <f aca="false">Y7/SUM(Y$3:Y$9)</f>
        <v>0.0215450325783098</v>
      </c>
      <c r="Z20" s="117" t="n">
        <f aca="false">Z7/SUM(Z$3:Z$9)</f>
        <v>0.0226433455021287</v>
      </c>
      <c r="AA20" s="79" t="n">
        <f aca="false">AA7/SUM(AA$3:AA$9)</f>
        <v>0.0219782622231642</v>
      </c>
      <c r="AB20" s="117" t="n">
        <f aca="false">AB7/SUM(AB$3:AB$9)</f>
        <v>0.0277609948834317</v>
      </c>
      <c r="AC20" s="178" t="n">
        <f aca="false">AC7/SUM(AC$3:AC$9)</f>
        <v>0.029654138992138</v>
      </c>
      <c r="AD20" s="177" t="n">
        <f aca="false">AD7/SUM(AD$3:AD$9)</f>
        <v>0.0317241454487147</v>
      </c>
      <c r="AE20" s="117" t="n">
        <f aca="false">AE7/SUM(AE$3:AE$9)</f>
        <v>0.0306512463802968</v>
      </c>
      <c r="AF20" s="79" t="n">
        <f aca="false">AF7/SUM(AF$3:AF$9)</f>
        <v>0.0302427090863733</v>
      </c>
      <c r="AG20" s="117" t="n">
        <f aca="false">AG7/SUM(AG$3:AG$9)</f>
        <v>0.0319741131821451</v>
      </c>
      <c r="AH20" s="117" t="n">
        <f aca="false">AH7/SUM(AH$3:AH$9)</f>
        <v>0.0360425995033747</v>
      </c>
      <c r="AI20" s="176" t="n">
        <f aca="false">AI7/SUM(AI$3:AI$9)</f>
        <v>0.0293187350535716</v>
      </c>
      <c r="AJ20" s="177" t="n">
        <f aca="false">AJ7/SUM(AJ$3:AJ$9)</f>
        <v>0.0316903935343129</v>
      </c>
      <c r="AK20" s="117" t="n">
        <f aca="false">AK7/SUM(AK$3:AK$9)</f>
        <v>0.0332665887945368</v>
      </c>
      <c r="AL20" s="79" t="n">
        <f aca="false">AL7/SUM(AL$3:AL$9)</f>
        <v>0.0361539679448579</v>
      </c>
      <c r="AM20" s="117" t="n">
        <f aca="false">AM7/SUM(AM$3:AM$9)</f>
        <v>0.0383404549612953</v>
      </c>
      <c r="AN20" s="178" t="n">
        <f aca="false">AN7/SUM(AN$3:AN$9)</f>
        <v>0.0395059129350341</v>
      </c>
      <c r="AO20" s="177" t="n">
        <f aca="false">AO7/SUM(AO$3:AO$9)</f>
        <v>0.0447068985276393</v>
      </c>
      <c r="AP20" s="117" t="n">
        <f aca="false">AP7/SUM(AP$3:AP$9)</f>
        <v>0.0441389407495116</v>
      </c>
      <c r="AQ20" s="79" t="n">
        <f aca="false">AQ7/SUM(AQ$3:AQ$9)</f>
        <v>0.0454873330021663</v>
      </c>
    </row>
    <row r="21" customFormat="false" ht="12.8" hidden="false" customHeight="false" outlineLevel="0" collapsed="false">
      <c r="A21" s="139" t="s">
        <v>195</v>
      </c>
      <c r="B21" s="118" t="n">
        <f aca="false">B8/SUM(B$3:B$9)</f>
        <v>0.0188096117292032</v>
      </c>
      <c r="C21" s="118" t="n">
        <f aca="false">C8/SUM(C$3:C$9)</f>
        <v>0.018866686330199</v>
      </c>
      <c r="D21" s="117" t="n">
        <f aca="false">D8/SUM(D$3:D$9)</f>
        <v>0.0186775201823234</v>
      </c>
      <c r="E21" s="79" t="n">
        <f aca="false">E8/SUM(E$3:E$9)</f>
        <v>0.0187004091807867</v>
      </c>
      <c r="F21" s="117" t="n">
        <f aca="false">F8/SUM(F$3:F$9)</f>
        <v>0.0221753467010824</v>
      </c>
      <c r="G21" s="79" t="n">
        <f aca="false">G8/SUM(G$3:G$9)</f>
        <v>0.0207546973290177</v>
      </c>
      <c r="H21" s="117" t="n">
        <f aca="false">H8/SUM(H$3:H$9)</f>
        <v>0.0205833147884609</v>
      </c>
      <c r="I21" s="176" t="n">
        <f aca="false">I8/SUM(I$3:I$9)</f>
        <v>0.0208652502222449</v>
      </c>
      <c r="J21" s="177" t="n">
        <f aca="false">J8/SUM(J$3:J$9)</f>
        <v>0.0244589975617226</v>
      </c>
      <c r="K21" s="79" t="n">
        <f aca="false">K9/SUM(K$3:K$9)</f>
        <v>0.0120055491056157</v>
      </c>
      <c r="L21" s="117" t="n">
        <f aca="false">L8/SUM(L$3:L$9)</f>
        <v>0.0256594439396872</v>
      </c>
      <c r="M21" s="79" t="n">
        <f aca="false">M8/SUM(M$3:M$9)</f>
        <v>0.0257427793569522</v>
      </c>
      <c r="N21" s="79" t="n">
        <f aca="false">N8/SUM(N$3:N$9)</f>
        <v>0.0258821625324417</v>
      </c>
      <c r="O21" s="117" t="n">
        <f aca="false">O8/SUM(O$3:O$9)</f>
        <v>0.0258273289738708</v>
      </c>
      <c r="P21" s="178" t="n">
        <f aca="false">P8/SUM(P$3:P$9)</f>
        <v>0.0256428603288715</v>
      </c>
      <c r="Q21" s="177" t="n">
        <f aca="false">Q8/SUM(Q$3:Q$9)</f>
        <v>0.0292821864219234</v>
      </c>
      <c r="R21" s="117" t="n">
        <f aca="false">R8/SUM(R$3:R$9)</f>
        <v>0.0307191155907582</v>
      </c>
      <c r="S21" s="79" t="n">
        <f aca="false">S8/SUM(S$3:S$9)</f>
        <v>0.0296073301880673</v>
      </c>
      <c r="T21" s="117" t="n">
        <f aca="false">T8/SUM(T$3:T$9)</f>
        <v>0.0299152811181431</v>
      </c>
      <c r="U21" s="117" t="n">
        <f aca="false">U8/SUM(U$3:U$9)</f>
        <v>0.0281410339857937</v>
      </c>
      <c r="V21" s="79" t="n">
        <f aca="false">V8/SUM(V$3:V$9)</f>
        <v>0.0283740288897964</v>
      </c>
      <c r="W21" s="79" t="n">
        <f aca="false">W8/SUM(W$3:W$9)</f>
        <v>0.0297499625379226</v>
      </c>
      <c r="X21" s="176" t="n">
        <f aca="false">X8/SUM(X$3:X$9)</f>
        <v>0.0275699510337407</v>
      </c>
      <c r="Y21" s="177" t="n">
        <f aca="false">Y8/SUM(Y$3:Y$9)</f>
        <v>0.0270958054759812</v>
      </c>
      <c r="Z21" s="117" t="n">
        <f aca="false">Z8/SUM(Z$3:Z$9)</f>
        <v>0.031645891129501</v>
      </c>
      <c r="AA21" s="79" t="n">
        <f aca="false">AA8/SUM(AA$3:AA$9)</f>
        <v>0.0307163839135207</v>
      </c>
      <c r="AB21" s="117" t="n">
        <f aca="false">AB8/SUM(AB$3:AB$9)</f>
        <v>0.0340800247013567</v>
      </c>
      <c r="AC21" s="178" t="n">
        <f aca="false">AC8/SUM(AC$3:AC$9)</f>
        <v>0.035419832431279</v>
      </c>
      <c r="AD21" s="177" t="n">
        <f aca="false">AD8/SUM(AD$3:AD$9)</f>
        <v>0.037892312979207</v>
      </c>
      <c r="AE21" s="117" t="n">
        <f aca="false">AE8/SUM(AE$3:AE$9)</f>
        <v>0.0430388768024929</v>
      </c>
      <c r="AF21" s="79" t="n">
        <f aca="false">AF8/SUM(AF$3:AF$9)</f>
        <v>0.042465230104925</v>
      </c>
      <c r="AG21" s="117" t="n">
        <f aca="false">AG8/SUM(AG$3:AG$9)</f>
        <v>0.0448963771665713</v>
      </c>
      <c r="AH21" s="117" t="n">
        <f aca="false">AH8/SUM(AH$3:AH$9)</f>
        <v>0.050609132836585</v>
      </c>
      <c r="AI21" s="176" t="n">
        <f aca="false">AI8/SUM(AI$3:AI$9)</f>
        <v>0.0411736818047944</v>
      </c>
      <c r="AJ21" s="177" t="n">
        <f aca="false">AJ8/SUM(AJ$3:AJ$9)</f>
        <v>0.041293378902679</v>
      </c>
      <c r="AK21" s="117" t="n">
        <f aca="false">AK8/SUM(AK$3:AK$9)</f>
        <v>0.0396116316418595</v>
      </c>
      <c r="AL21" s="79" t="n">
        <f aca="false">AL8/SUM(AL$3:AL$9)</f>
        <v>0.0399417845288211</v>
      </c>
      <c r="AM21" s="117" t="n">
        <f aca="false">AM8/SUM(AM$3:AM$9)</f>
        <v>0.0411032214951497</v>
      </c>
      <c r="AN21" s="178" t="n">
        <f aca="false">AN8/SUM(AN$3:AN$9)</f>
        <v>0.042459035077591</v>
      </c>
      <c r="AO21" s="177" t="n">
        <f aca="false">AO8/SUM(AO$3:AO$9)</f>
        <v>0.0386335862873994</v>
      </c>
      <c r="AP21" s="117" t="n">
        <f aca="false">AP8/SUM(AP$3:AP$9)</f>
        <v>0.0371640380272037</v>
      </c>
      <c r="AQ21" s="79" t="n">
        <f aca="false">AQ8/SUM(AQ$3:AQ$9)</f>
        <v>0.0365404774991615</v>
      </c>
    </row>
    <row r="22" customFormat="false" ht="12.8" hidden="false" customHeight="false" outlineLevel="0" collapsed="false">
      <c r="A22" s="139" t="s">
        <v>196</v>
      </c>
      <c r="B22" s="118" t="n">
        <f aca="false">B9/SUM(B$3:B$9)</f>
        <v>0.0177022186021442</v>
      </c>
      <c r="C22" s="118" t="n">
        <f aca="false">C9/SUM(C$3:C$9)</f>
        <v>0.0180219084034843</v>
      </c>
      <c r="D22" s="117" t="n">
        <f aca="false">D9/SUM(D$3:D$9)</f>
        <v>0.0178412123909261</v>
      </c>
      <c r="E22" s="79" t="n">
        <f aca="false">E9/SUM(E$3:E$9)</f>
        <v>0.0178827258918951</v>
      </c>
      <c r="F22" s="117" t="n">
        <f aca="false">F9/SUM(F$3:F$9)</f>
        <v>0.0192796802451114</v>
      </c>
      <c r="G22" s="79" t="n">
        <f aca="false">G9/SUM(G$3:G$9)</f>
        <v>0.0198273620612271</v>
      </c>
      <c r="H22" s="117" t="n">
        <f aca="false">H9/SUM(H$3:H$9)</f>
        <v>0.0196179799686746</v>
      </c>
      <c r="I22" s="176" t="n">
        <f aca="false">I9/SUM(I$3:I$9)</f>
        <v>0.0198606490097044</v>
      </c>
      <c r="J22" s="177" t="n">
        <f aca="false">J9/SUM(J$3:J$9)</f>
        <v>0.0217626393676528</v>
      </c>
      <c r="K22" s="79" t="n">
        <f aca="false">K9/SUM(K$3:K$9)</f>
        <v>0.0120055491056157</v>
      </c>
      <c r="L22" s="117" t="n">
        <f aca="false">L9/SUM(L$3:L$9)</f>
        <v>0.0225151161508021</v>
      </c>
      <c r="M22" s="79" t="n">
        <f aca="false">M9/SUM(M$3:M$9)</f>
        <v>0.0225882395826118</v>
      </c>
      <c r="N22" s="79" t="n">
        <f aca="false">N9/SUM(N$3:N$9)</f>
        <v>0.022710542637697</v>
      </c>
      <c r="O22" s="117" t="n">
        <f aca="false">O9/SUM(O$3:O$9)</f>
        <v>0.0223533953102373</v>
      </c>
      <c r="P22" s="178" t="n">
        <f aca="false">P9/SUM(P$3:P$9)</f>
        <v>0.0222615530278595</v>
      </c>
      <c r="Q22" s="177" t="n">
        <f aca="false">Q9/SUM(Q$3:Q$9)</f>
        <v>0.0217209024043156</v>
      </c>
      <c r="R22" s="117" t="n">
        <f aca="false">R9/SUM(R$3:R$9)</f>
        <v>0.0233061807516325</v>
      </c>
      <c r="S22" s="79" t="n">
        <f aca="false">S9/SUM(S$3:S$9)</f>
        <v>0.0224626840866459</v>
      </c>
      <c r="T22" s="117" t="n">
        <f aca="false">T9/SUM(T$3:T$9)</f>
        <v>0.0233447886767597</v>
      </c>
      <c r="U22" s="117" t="n">
        <f aca="false">U9/SUM(U$3:U$9)</f>
        <v>0.0220444774140539</v>
      </c>
      <c r="V22" s="79" t="n">
        <f aca="false">V9/SUM(V$3:V$9)</f>
        <v>0.0222269956151076</v>
      </c>
      <c r="W22" s="79" t="n">
        <f aca="false">W9/SUM(W$3:W$9)</f>
        <v>0.0233048429409972</v>
      </c>
      <c r="X22" s="176" t="n">
        <f aca="false">X9/SUM(X$3:X$9)</f>
        <v>0.0215971155564747</v>
      </c>
      <c r="Y22" s="177" t="n">
        <f aca="false">Y9/SUM(Y$3:Y$9)</f>
        <v>0.0212256902902859</v>
      </c>
      <c r="Z22" s="117" t="n">
        <f aca="false">Z9/SUM(Z$3:Z$9)</f>
        <v>0.0223201205508824</v>
      </c>
      <c r="AA22" s="79" t="n">
        <f aca="false">AA9/SUM(AA$3:AA$9)</f>
        <v>0.02166453107708</v>
      </c>
      <c r="AB22" s="117" t="n">
        <f aca="false">AB9/SUM(AB$3:AB$9)</f>
        <v>0.0244343846479354</v>
      </c>
      <c r="AC22" s="178" t="n">
        <f aca="false">AC9/SUM(AC$3:AC$9)</f>
        <v>0.0288391038249801</v>
      </c>
      <c r="AD22" s="177" t="n">
        <f aca="false">AD9/SUM(AD$3:AD$9)</f>
        <v>0.02288923215781</v>
      </c>
      <c r="AE22" s="117" t="n">
        <f aca="false">AE9/SUM(AE$3:AE$9)</f>
        <v>0.021417713664307</v>
      </c>
      <c r="AF22" s="79" t="n">
        <f aca="false">AF9/SUM(AF$3:AF$9)</f>
        <v>0.0199399940373549</v>
      </c>
      <c r="AG22" s="117" t="n">
        <f aca="false">AG9/SUM(AG$3:AG$9)</f>
        <v>0.0210815646303643</v>
      </c>
      <c r="AH22" s="117" t="n">
        <f aca="false">AH9/SUM(AH$3:AH$9)</f>
        <v>0.0275662967850255</v>
      </c>
      <c r="AI22" s="176" t="n">
        <f aca="false">AI9/SUM(AI$3:AI$9)</f>
        <v>0.0224237142432696</v>
      </c>
      <c r="AJ22" s="177" t="n">
        <f aca="false">AJ9/SUM(AJ$3:AJ$9)</f>
        <v>0.0122859654771936</v>
      </c>
      <c r="AK22" s="117" t="n">
        <f aca="false">AK9/SUM(AK$3:AK$9)</f>
        <v>0.014432397965576</v>
      </c>
      <c r="AL22" s="79" t="n">
        <f aca="false">AL9/SUM(AL$3:AL$9)</f>
        <v>0.0176492685334701</v>
      </c>
      <c r="AM22" s="117" t="n">
        <f aca="false">AM9/SUM(AM$3:AM$9)</f>
        <v>0.0237623532556627</v>
      </c>
      <c r="AN22" s="178" t="n">
        <f aca="false">AN9/SUM(AN$3:AN$9)</f>
        <v>0.0244846718641551</v>
      </c>
      <c r="AO22" s="177" t="n">
        <f aca="false">AO9/SUM(AO$3:AO$9)</f>
        <v>0.0254582959461067</v>
      </c>
      <c r="AP22" s="117" t="n">
        <f aca="false">AP9/SUM(AP$3:AP$9)</f>
        <v>0.0305148053810878</v>
      </c>
      <c r="AQ22" s="79" t="n">
        <f aca="false">AQ9/SUM(AQ$3:AQ$9)</f>
        <v>0.0314469964683327</v>
      </c>
    </row>
    <row r="23" customFormat="false" ht="12.8" hidden="false" customHeight="false" outlineLevel="0" collapsed="false">
      <c r="A23" s="27"/>
      <c r="B23" s="118"/>
      <c r="C23" s="118"/>
      <c r="D23" s="117"/>
      <c r="E23" s="79"/>
      <c r="F23" s="117"/>
      <c r="G23" s="79"/>
      <c r="H23" s="117"/>
      <c r="I23" s="176"/>
      <c r="J23" s="177"/>
      <c r="K23" s="79"/>
      <c r="L23" s="117"/>
      <c r="M23" s="79"/>
      <c r="N23" s="79"/>
      <c r="O23" s="117"/>
      <c r="P23" s="178"/>
      <c r="Q23" s="177"/>
      <c r="R23" s="117"/>
      <c r="S23" s="79"/>
      <c r="T23" s="117"/>
      <c r="U23" s="117"/>
      <c r="V23" s="79"/>
      <c r="W23" s="79"/>
      <c r="X23" s="176"/>
      <c r="Y23" s="177"/>
      <c r="Z23" s="117"/>
      <c r="AA23" s="79"/>
      <c r="AB23" s="117"/>
      <c r="AC23" s="178"/>
      <c r="AD23" s="177"/>
      <c r="AE23" s="117"/>
      <c r="AF23" s="79"/>
      <c r="AG23" s="117"/>
      <c r="AH23" s="117"/>
      <c r="AI23" s="176"/>
      <c r="AJ23" s="177"/>
      <c r="AK23" s="117"/>
      <c r="AL23" s="79"/>
      <c r="AM23" s="117"/>
      <c r="AN23" s="178"/>
      <c r="AO23" s="177"/>
      <c r="AP23" s="117"/>
      <c r="AQ23" s="79"/>
    </row>
    <row r="24" customFormat="false" ht="12.8" hidden="false" customHeight="false" outlineLevel="0" collapsed="false">
      <c r="A24" s="1" t="s">
        <v>99</v>
      </c>
      <c r="B24" s="39"/>
      <c r="K24" s="40"/>
    </row>
    <row r="25" customFormat="false" ht="12.8" hidden="false" customHeight="false" outlineLevel="0" collapsed="false">
      <c r="A25" s="139" t="s">
        <v>30</v>
      </c>
      <c r="B25" s="65" t="n">
        <f aca="false">B16*Ratio!B6</f>
        <v>1.6192344582431</v>
      </c>
      <c r="C25" s="65" t="n">
        <f aca="false">C16*Ratio!C6</f>
        <v>1.47295658663204</v>
      </c>
      <c r="D25" s="53" t="n">
        <f aca="false">D16*Ratio!D6</f>
        <v>1.47727090715829</v>
      </c>
      <c r="E25" s="94" t="n">
        <f aca="false">E16*Ratio!E6</f>
        <v>1.28089459899801</v>
      </c>
      <c r="F25" s="53" t="n">
        <f aca="false">F16*Ratio!F6</f>
        <v>1.27743420772826</v>
      </c>
      <c r="G25" s="94" t="n">
        <f aca="false">G16*Ratio!G6</f>
        <v>1.30757925349314</v>
      </c>
      <c r="H25" s="53" t="n">
        <f aca="false">H16*Ratio!H6</f>
        <v>1.44735953434328</v>
      </c>
      <c r="I25" s="66" t="n">
        <f aca="false">I16*Ratio!I6</f>
        <v>1.3577022478106</v>
      </c>
      <c r="J25" s="67" t="n">
        <f aca="false">J16*Ratio!J6</f>
        <v>1.24671379921669</v>
      </c>
      <c r="K25" s="94" t="n">
        <f aca="false">K16*Ratio!K6</f>
        <v>1.28825867731514</v>
      </c>
      <c r="L25" s="53" t="n">
        <f aca="false">L16*Ratio!L6</f>
        <v>1.22964034682026</v>
      </c>
      <c r="M25" s="94" t="n">
        <f aca="false">M16*Ratio!M6</f>
        <v>1.23057165183812</v>
      </c>
      <c r="N25" s="94" t="n">
        <f aca="false">N16*Ratio!N6</f>
        <v>1.22333992270651</v>
      </c>
      <c r="O25" s="53" t="n">
        <f aca="false">O16*Ratio!O6</f>
        <v>1.18083714726176</v>
      </c>
      <c r="P25" s="68" t="n">
        <f aca="false">P16*Ratio!P6</f>
        <v>1.3992724218468</v>
      </c>
      <c r="Q25" s="67" t="n">
        <f aca="false">Q16*Ratio!Q6</f>
        <v>1.41127480449049</v>
      </c>
      <c r="R25" s="53" t="n">
        <f aca="false">R16*Ratio!R6</f>
        <v>1.39085068446629</v>
      </c>
      <c r="S25" s="94" t="n">
        <f aca="false">S16*Ratio!S6</f>
        <v>1.46504777731985</v>
      </c>
      <c r="T25" s="53" t="n">
        <f aca="false">T16*Ratio!T6</f>
        <v>1.43239521718329</v>
      </c>
      <c r="U25" s="53" t="n">
        <f aca="false">U16*Ratio!U6</f>
        <v>1.6790756709065</v>
      </c>
      <c r="V25" s="94" t="n">
        <f aca="false">V16*Ratio!V6</f>
        <v>1.54153672505341</v>
      </c>
      <c r="W25" s="94" t="n">
        <f aca="false">W16*Ratio!W6</f>
        <v>1.46573475048119</v>
      </c>
      <c r="X25" s="66" t="n">
        <f aca="false">X16*Ratio!X6</f>
        <v>1.66372677373906</v>
      </c>
      <c r="Y25" s="67" t="n">
        <f aca="false">Y16*Ratio!Y6</f>
        <v>1.51631479711655</v>
      </c>
      <c r="Z25" s="53" t="n">
        <f aca="false">Z16*Ratio!Z6</f>
        <v>1.4108784592259</v>
      </c>
      <c r="AA25" s="94" t="n">
        <f aca="false">AA16*Ratio!AA6</f>
        <v>1.47453546069867</v>
      </c>
      <c r="AB25" s="53" t="n">
        <f aca="false">AB16*Ratio!AB6</f>
        <v>1.26072919099823</v>
      </c>
      <c r="AC25" s="68" t="n">
        <f aca="false">AC16*Ratio!AC6</f>
        <v>1.34804425718586</v>
      </c>
      <c r="AD25" s="67" t="n">
        <f aca="false">AD16*Ratio!AD6</f>
        <v>1.27990137577125</v>
      </c>
      <c r="AE25" s="53" t="n">
        <f aca="false">AE16*Ratio!AE6</f>
        <v>1.27660421612547</v>
      </c>
      <c r="AF25" s="94" t="n">
        <f aca="false">AF16*Ratio!AF6</f>
        <v>1.34276877147973</v>
      </c>
      <c r="AG25" s="53" t="n">
        <f aca="false">AG16*Ratio!AG6</f>
        <v>1.16945418442363</v>
      </c>
      <c r="AH25" s="53" t="n">
        <f aca="false">AH16*Ratio!AH6</f>
        <v>1.02898902746106</v>
      </c>
      <c r="AI25" s="66" t="n">
        <f aca="false">AI16*Ratio!AI6</f>
        <v>1.5860841547083</v>
      </c>
      <c r="AJ25" s="67" t="n">
        <f aca="false">AJ16*Ratio!AJ6</f>
        <v>1.50470553510204</v>
      </c>
      <c r="AK25" s="53" t="n">
        <f aca="false">AK16*Ratio!AK6</f>
        <v>1.48481165837426</v>
      </c>
      <c r="AL25" s="94" t="n">
        <f aca="false">AL16*Ratio!AL6</f>
        <v>1.44019657613181</v>
      </c>
      <c r="AM25" s="53" t="n">
        <f aca="false">AM16*Ratio!AM6</f>
        <v>1.19182075274492</v>
      </c>
      <c r="AN25" s="68" t="n">
        <f aca="false">AN16*Ratio!AN6</f>
        <v>1.41345384911471</v>
      </c>
      <c r="AO25" s="67" t="n">
        <f aca="false">AO16*Ratio!AO6</f>
        <v>1.44388966948025</v>
      </c>
      <c r="AP25" s="53" t="n">
        <f aca="false">AP16*Ratio!AP6</f>
        <v>1.39830496769929</v>
      </c>
      <c r="AQ25" s="94" t="n">
        <f aca="false">AQ16*Ratio!AQ6</f>
        <v>1.36296148458715</v>
      </c>
    </row>
    <row r="26" customFormat="false" ht="12.8" hidden="false" customHeight="false" outlineLevel="0" collapsed="false">
      <c r="A26" s="139" t="s">
        <v>29</v>
      </c>
      <c r="B26" s="65" t="n">
        <f aca="false">B17*Ratio!B13</f>
        <v>0.229966547978241</v>
      </c>
      <c r="C26" s="65" t="n">
        <f aca="false">C17*Ratio!C13</f>
        <v>0.212203638796088</v>
      </c>
      <c r="D26" s="53" t="n">
        <f aca="false">D17*Ratio!D13</f>
        <v>0.210075986689423</v>
      </c>
      <c r="E26" s="94" t="n">
        <f aca="false">E17*Ratio!E13</f>
        <v>0.227884554415828</v>
      </c>
      <c r="F26" s="53" t="n">
        <f aca="false">F17*Ratio!F13</f>
        <v>0.149663591531542</v>
      </c>
      <c r="G26" s="94" t="n">
        <f aca="false">G17*Ratio!G13</f>
        <v>0.173150877724991</v>
      </c>
      <c r="H26" s="53" t="n">
        <f aca="false">H17*Ratio!H13</f>
        <v>0.155226510937224</v>
      </c>
      <c r="I26" s="66" t="n">
        <f aca="false">I17*Ratio!I13</f>
        <v>0.142527895336426</v>
      </c>
      <c r="J26" s="67" t="n">
        <f aca="false">J17*Ratio!J13</f>
        <v>0.138966509048721</v>
      </c>
      <c r="K26" s="94" t="n">
        <f aca="false">K17*Ratio!K13</f>
        <v>0.12681814161225</v>
      </c>
      <c r="L26" s="53" t="n">
        <f aca="false">L17*Ratio!L13</f>
        <v>0.12010047596319</v>
      </c>
      <c r="M26" s="94" t="n">
        <f aca="false">M17*Ratio!M13</f>
        <v>0.120490532088398</v>
      </c>
      <c r="N26" s="94" t="n">
        <f aca="false">N17*Ratio!N13</f>
        <v>0.107309993996536</v>
      </c>
      <c r="O26" s="53" t="n">
        <f aca="false">O17*Ratio!O13</f>
        <v>0.105543598298235</v>
      </c>
      <c r="P26" s="68" t="n">
        <f aca="false">P17*Ratio!P13</f>
        <v>0.11292768432701</v>
      </c>
      <c r="Q26" s="67" t="n">
        <f aca="false">Q17*Ratio!Q13</f>
        <v>0.132542423587932</v>
      </c>
      <c r="R26" s="53" t="n">
        <f aca="false">R17*Ratio!R13</f>
        <v>0.150220982566855</v>
      </c>
      <c r="S26" s="94" t="n">
        <f aca="false">S17*Ratio!S13</f>
        <v>0.144784188818601</v>
      </c>
      <c r="T26" s="53" t="n">
        <f aca="false">T17*Ratio!T13</f>
        <v>0.130686308072645</v>
      </c>
      <c r="U26" s="53" t="n">
        <f aca="false">U17*Ratio!U13</f>
        <v>0.111682310889783</v>
      </c>
      <c r="V26" s="94" t="n">
        <f aca="false">V17*Ratio!V13</f>
        <v>0.138338141085996</v>
      </c>
      <c r="W26" s="94" t="n">
        <f aca="false">W17*Ratio!W13</f>
        <v>0.145046532900171</v>
      </c>
      <c r="X26" s="66" t="n">
        <f aca="false">X17*Ratio!X13</f>
        <v>0.134417843537587</v>
      </c>
      <c r="Y26" s="67" t="n">
        <f aca="false">Y17*Ratio!Y13</f>
        <v>0.161904889891472</v>
      </c>
      <c r="Z26" s="53" t="n">
        <f aca="false">Z17*Ratio!Z13</f>
        <v>0.184307525189745</v>
      </c>
      <c r="AA26" s="94" t="n">
        <f aca="false">AA17*Ratio!AA13</f>
        <v>0.17331263786301</v>
      </c>
      <c r="AB26" s="53" t="n">
        <f aca="false">AB17*Ratio!AB13</f>
        <v>0.206075211593033</v>
      </c>
      <c r="AC26" s="68" t="n">
        <f aca="false">AC17*Ratio!AC13</f>
        <v>0.224657068889731</v>
      </c>
      <c r="AD26" s="67" t="n">
        <f aca="false">AD17*Ratio!AD13</f>
        <v>0.260471615733963</v>
      </c>
      <c r="AE26" s="53" t="n">
        <f aca="false">AE17*Ratio!AE13</f>
        <v>0.202120783999831</v>
      </c>
      <c r="AF26" s="94" t="n">
        <f aca="false">AF17*Ratio!AF13</f>
        <v>0.180953752424912</v>
      </c>
      <c r="AG26" s="53" t="n">
        <f aca="false">AG17*Ratio!AG13</f>
        <v>0.178980775862316</v>
      </c>
      <c r="AH26" s="53" t="n">
        <f aca="false">AH17*Ratio!AH13</f>
        <v>0.225150163601739</v>
      </c>
      <c r="AI26" s="66" t="n">
        <f aca="false">AI17*Ratio!AI13</f>
        <v>0.180960848301511</v>
      </c>
      <c r="AJ26" s="67" t="n">
        <f aca="false">AJ17*Ratio!AJ13</f>
        <v>0.167151521532986</v>
      </c>
      <c r="AK26" s="53" t="n">
        <f aca="false">AK17*Ratio!AK13</f>
        <v>0.179063452386428</v>
      </c>
      <c r="AL26" s="94" t="n">
        <f aca="false">AL17*Ratio!AL13</f>
        <v>0.193802696116</v>
      </c>
      <c r="AM26" s="53" t="n">
        <f aca="false">AM17*Ratio!AM13</f>
        <v>0.188106547006816</v>
      </c>
      <c r="AN26" s="68" t="n">
        <f aca="false">AN17*Ratio!AN13</f>
        <v>0.208619627137275</v>
      </c>
      <c r="AO26" s="67" t="n">
        <f aca="false">AO17*Ratio!AO13</f>
        <v>0.184227855928111</v>
      </c>
      <c r="AP26" s="53" t="n">
        <f aca="false">AP17*Ratio!AP13</f>
        <v>0.166440875907585</v>
      </c>
      <c r="AQ26" s="94" t="n">
        <f aca="false">AQ17*Ratio!AQ13</f>
        <v>0.163931176101134</v>
      </c>
    </row>
    <row r="27" customFormat="false" ht="12.8" hidden="false" customHeight="false" outlineLevel="0" collapsed="false">
      <c r="A27" s="139" t="s">
        <v>188</v>
      </c>
      <c r="B27" s="65" t="n">
        <f aca="false">B18*Ratio!B16</f>
        <v>0.0323374652585049</v>
      </c>
      <c r="C27" s="65" t="n">
        <f aca="false">C18*Ratio!C16</f>
        <v>0.0327757873072685</v>
      </c>
      <c r="D27" s="53" t="n">
        <f aca="false">D18*Ratio!D16</f>
        <v>0.0324471620616905</v>
      </c>
      <c r="E27" s="94" t="n">
        <f aca="false">E18*Ratio!E16</f>
        <v>0.0325226611513362</v>
      </c>
      <c r="F27" s="53" t="n">
        <f aca="false">F18*Ratio!F16</f>
        <v>0.0350632510674478</v>
      </c>
      <c r="G27" s="94" t="n">
        <f aca="false">G18*Ratio!G16</f>
        <v>0.0339386372289857</v>
      </c>
      <c r="H27" s="53" t="n">
        <f aca="false">H18*Ratio!H16</f>
        <v>0.0371975632370574</v>
      </c>
      <c r="I27" s="66" t="n">
        <f aca="false">I18*Ratio!I16</f>
        <v>0.0332023542264229</v>
      </c>
      <c r="J27" s="67" t="n">
        <f aca="false">J18*Ratio!J16</f>
        <v>0.0363939662158738</v>
      </c>
      <c r="K27" s="94" t="n">
        <f aca="false">K18*Ratio!K16</f>
        <v>0.0235872985349675</v>
      </c>
      <c r="L27" s="53" t="n">
        <f aca="false">L18*Ratio!L16</f>
        <v>0.0335726570776187</v>
      </c>
      <c r="M27" s="94" t="n">
        <f aca="false">M18*Ratio!M16</f>
        <v>0.0336816926199647</v>
      </c>
      <c r="N27" s="94" t="n">
        <f aca="false">N18*Ratio!N16</f>
        <v>0.033150722255562</v>
      </c>
      <c r="O27" s="53" t="n">
        <f aca="false">O18*Ratio!O16</f>
        <v>0.0326522938863552</v>
      </c>
      <c r="P27" s="68" t="n">
        <f aca="false">P18*Ratio!P16</f>
        <v>0.0379483394593885</v>
      </c>
      <c r="Q27" s="67" t="n">
        <f aca="false">Q18*Ratio!Q16</f>
        <v>0.0361123994758517</v>
      </c>
      <c r="R27" s="53" t="n">
        <f aca="false">R18*Ratio!R16</f>
        <v>0.0337097162159644</v>
      </c>
      <c r="S27" s="94" t="n">
        <f aca="false">S18*Ratio!S16</f>
        <v>0.0324896950761292</v>
      </c>
      <c r="T27" s="53" t="n">
        <f aca="false">T18*Ratio!T16</f>
        <v>0.0305900518200802</v>
      </c>
      <c r="U27" s="53" t="n">
        <f aca="false">U18*Ratio!U16</f>
        <v>0.0454671328549567</v>
      </c>
      <c r="V27" s="94" t="n">
        <f aca="false">V18*Ratio!V16</f>
        <v>0.0458435799414485</v>
      </c>
      <c r="W27" s="94" t="n">
        <f aca="false">W18*Ratio!W16</f>
        <v>0.0480666595202068</v>
      </c>
      <c r="X27" s="66" t="n">
        <f aca="false">X18*Ratio!X16</f>
        <v>0.0445444409430212</v>
      </c>
      <c r="Y27" s="67" t="n">
        <f aca="false">Y18*Ratio!Y16</f>
        <v>0.0437783696224678</v>
      </c>
      <c r="Z27" s="53" t="n">
        <f aca="false">Z18*Ratio!Z16</f>
        <v>0.0448628901751167</v>
      </c>
      <c r="AA27" s="94" t="n">
        <f aca="false">AA18*Ratio!AA16</f>
        <v>0.0425090830382443</v>
      </c>
      <c r="AB27" s="53" t="n">
        <f aca="false">AB18*Ratio!AB16</f>
        <v>0.0442977060059676</v>
      </c>
      <c r="AC27" s="68" t="n">
        <f aca="false">AC18*Ratio!AC16</f>
        <v>0.0392787410720836</v>
      </c>
      <c r="AD27" s="67" t="n">
        <f aca="false">AD18*Ratio!AD16</f>
        <v>0.0340518091362528</v>
      </c>
      <c r="AE27" s="53" t="n">
        <f aca="false">AE18*Ratio!AE16</f>
        <v>0.0360969394823074</v>
      </c>
      <c r="AF27" s="94" t="n">
        <f aca="false">AF18*Ratio!AF16</f>
        <v>0.0356158188847286</v>
      </c>
      <c r="AG27" s="53" t="n">
        <f aca="false">AG18*Ratio!AG16</f>
        <v>0.0445413582641909</v>
      </c>
      <c r="AH27" s="53" t="n">
        <f aca="false">AH18*Ratio!AH16</f>
        <v>0.0551172956254356</v>
      </c>
      <c r="AI27" s="66" t="n">
        <f aca="false">AI18*Ratio!AI16</f>
        <v>0.0549013675976427</v>
      </c>
      <c r="AJ27" s="67" t="n">
        <f aca="false">AJ18*Ratio!AJ16</f>
        <v>0.064450773113215</v>
      </c>
      <c r="AK27" s="53" t="n">
        <f aca="false">AK18*Ratio!AK16</f>
        <v>0.0625521282105226</v>
      </c>
      <c r="AL27" s="94" t="n">
        <f aca="false">AL18*Ratio!AL16</f>
        <v>0.0625229672436489</v>
      </c>
      <c r="AM27" s="53" t="n">
        <f aca="false">AM18*Ratio!AM16</f>
        <v>0.0756226331278311</v>
      </c>
      <c r="AN27" s="68" t="n">
        <f aca="false">AN18*Ratio!AN16</f>
        <v>0.0779213799961957</v>
      </c>
      <c r="AO27" s="67" t="n">
        <f aca="false">AO18*Ratio!AO16</f>
        <v>0.0619149058657639</v>
      </c>
      <c r="AP27" s="53" t="n">
        <f aca="false">AP18*Ratio!AP16</f>
        <v>0.0611283370469324</v>
      </c>
      <c r="AQ27" s="94" t="n">
        <f aca="false">AQ18*Ratio!AQ16</f>
        <v>0.0654296189122292</v>
      </c>
    </row>
    <row r="28" customFormat="false" ht="12.8" hidden="false" customHeight="false" outlineLevel="0" collapsed="false">
      <c r="A28" s="139" t="s">
        <v>190</v>
      </c>
      <c r="B28" s="65" t="n">
        <f aca="false">B19*Ratio!B18</f>
        <v>0.0215849307410107</v>
      </c>
      <c r="C28" s="65" t="n">
        <f aca="false">C19*Ratio!C18</f>
        <v>0.0218901944005179</v>
      </c>
      <c r="D28" s="53" t="n">
        <f aca="false">D19*Ratio!D18</f>
        <v>0.0216707131583686</v>
      </c>
      <c r="E28" s="94" t="n">
        <f aca="false">E19*Ratio!E18</f>
        <v>0.021721137263636</v>
      </c>
      <c r="F28" s="53" t="n">
        <f aca="false">F19*Ratio!F18</f>
        <v>0.0234179388273729</v>
      </c>
      <c r="G28" s="94" t="n">
        <f aca="false">G19*Ratio!G18</f>
        <v>0.0238047611085369</v>
      </c>
      <c r="H28" s="53" t="n">
        <f aca="false">H19*Ratio!H18</f>
        <v>0.0253235825427023</v>
      </c>
      <c r="I28" s="66" t="n">
        <f aca="false">I19*Ratio!I18</f>
        <v>0.0256653136902489</v>
      </c>
      <c r="J28" s="67" t="n">
        <f aca="false">J19*Ratio!J18</f>
        <v>0.0229779882406484</v>
      </c>
      <c r="K28" s="94" t="n">
        <f aca="false">K19*Ratio!K18</f>
        <v>0.0165996628158716</v>
      </c>
      <c r="L28" s="53" t="n">
        <f aca="false">L19*Ratio!L18</f>
        <v>0.0237724875834195</v>
      </c>
      <c r="M28" s="94" t="n">
        <f aca="false">M19*Ratio!M18</f>
        <v>0.0238496946412517</v>
      </c>
      <c r="N28" s="94" t="n">
        <f aca="false">N19*Ratio!N18</f>
        <v>0.0239788277906858</v>
      </c>
      <c r="O28" s="53" t="n">
        <f aca="false">O19*Ratio!O18</f>
        <v>0.0234436159354213</v>
      </c>
      <c r="P28" s="68" t="n">
        <f aca="false">P19*Ratio!P18</f>
        <v>0.029072050910168</v>
      </c>
      <c r="Q28" s="67" t="n">
        <f aca="false">Q19*Ratio!Q18</f>
        <v>0.0299326770017015</v>
      </c>
      <c r="R28" s="53" t="n">
        <f aca="false">R19*Ratio!R18</f>
        <v>0.033390740159433</v>
      </c>
      <c r="S28" s="94" t="n">
        <f aca="false">S19*Ratio!S18</f>
        <v>0.0321861646274954</v>
      </c>
      <c r="T28" s="53" t="n">
        <f aca="false">T19*Ratio!T18</f>
        <v>0.0325209384578156</v>
      </c>
      <c r="U28" s="53" t="n">
        <f aca="false">U19*Ratio!U18</f>
        <v>0.0325353806489467</v>
      </c>
      <c r="V28" s="94" t="n">
        <f aca="false">V19*Ratio!V18</f>
        <v>0.0412394074462902</v>
      </c>
      <c r="W28" s="94" t="n">
        <f aca="false">W19*Ratio!W18</f>
        <v>0.0432392182082558</v>
      </c>
      <c r="X28" s="66" t="n">
        <f aca="false">X19*Ratio!X18</f>
        <v>0.0400707438612487</v>
      </c>
      <c r="Y28" s="67" t="n">
        <f aca="false">Y19*Ratio!Y18</f>
        <v>0.0393603263034006</v>
      </c>
      <c r="Z28" s="53" t="n">
        <f aca="false">Z19*Ratio!Z18</f>
        <v>0.0434226224521972</v>
      </c>
      <c r="AA28" s="94" t="n">
        <f aca="false">AA19*Ratio!AA18</f>
        <v>0.0349300807256747</v>
      </c>
      <c r="AB28" s="53" t="n">
        <f aca="false">AB19*Ratio!AB18</f>
        <v>0.0387586428977003</v>
      </c>
      <c r="AC28" s="68" t="n">
        <f aca="false">AC19*Ratio!AC18</f>
        <v>0.0353141128081883</v>
      </c>
      <c r="AD28" s="67" t="n">
        <f aca="false">AD19*Ratio!AD18</f>
        <v>0.0345654808744481</v>
      </c>
      <c r="AE28" s="53" t="n">
        <f aca="false">AE19*Ratio!AE18</f>
        <v>0.0354036073775031</v>
      </c>
      <c r="AF28" s="94" t="n">
        <f aca="false">AF19*Ratio!AF18</f>
        <v>0.0349317279056642</v>
      </c>
      <c r="AG28" s="53" t="n">
        <f aca="false">AG19*Ratio!AG18</f>
        <v>0.034811555966016</v>
      </c>
      <c r="AH28" s="53" t="n">
        <f aca="false">AH19*Ratio!AH18</f>
        <v>0.0579854744634441</v>
      </c>
      <c r="AI28" s="66" t="n">
        <f aca="false">AI19*Ratio!AI18</f>
        <v>0.0471680951478036</v>
      </c>
      <c r="AJ28" s="67" t="n">
        <f aca="false">AJ19*Ratio!AJ18</f>
        <v>0.059886064289634</v>
      </c>
      <c r="AK28" s="53" t="n">
        <f aca="false">AK19*Ratio!AK18</f>
        <v>0.0583489288243079</v>
      </c>
      <c r="AL28" s="94" t="n">
        <f aca="false">AL19*Ratio!AL18</f>
        <v>0.0658953185998113</v>
      </c>
      <c r="AM28" s="53" t="n">
        <f aca="false">AM19*Ratio!AM18</f>
        <v>0.0728137835281068</v>
      </c>
      <c r="AN28" s="68" t="n">
        <f aca="false">AN19*Ratio!AN18</f>
        <v>0.0913874430924877</v>
      </c>
      <c r="AO28" s="67" t="n">
        <f aca="false">AO19*Ratio!AO18</f>
        <v>0.101623646832824</v>
      </c>
      <c r="AP28" s="53" t="n">
        <f aca="false">AP19*Ratio!AP18</f>
        <v>0.102436520270063</v>
      </c>
      <c r="AQ28" s="94" t="n">
        <f aca="false">AQ19*Ratio!AQ18</f>
        <v>0.0966801912552111</v>
      </c>
    </row>
    <row r="29" customFormat="false" ht="12.8" hidden="false" customHeight="false" outlineLevel="0" collapsed="false">
      <c r="A29" s="139" t="s">
        <v>194</v>
      </c>
      <c r="B29" s="65" t="n">
        <f aca="false">B20</f>
        <v>0.0196236392967299</v>
      </c>
      <c r="C29" s="65" t="n">
        <f aca="false">C20</f>
        <v>0.0198896302676356</v>
      </c>
      <c r="D29" s="53" t="n">
        <f aca="false">D20</f>
        <v>0.0196902076093824</v>
      </c>
      <c r="E29" s="94" t="n">
        <f aca="false">E20</f>
        <v>0.0197360234112888</v>
      </c>
      <c r="F29" s="53" t="n">
        <f aca="false">F20</f>
        <v>0.0212777527866786</v>
      </c>
      <c r="G29" s="94" t="n">
        <f aca="false">G20</f>
        <v>0.0218821942577462</v>
      </c>
      <c r="H29" s="53" t="n">
        <f aca="false">H20</f>
        <v>0.0217232028785961</v>
      </c>
      <c r="I29" s="66" t="n">
        <f aca="false">I20</f>
        <v>0.0207584699176403</v>
      </c>
      <c r="J29" s="67" t="n">
        <f aca="false">J20</f>
        <v>0.0227464416908599</v>
      </c>
      <c r="K29" s="94" t="n">
        <f aca="false">K20</f>
        <v>0.022693955250815</v>
      </c>
      <c r="L29" s="53" t="n">
        <f aca="false">L20</f>
        <v>0.0228475096650066</v>
      </c>
      <c r="M29" s="94" t="n">
        <f aca="false">M20</f>
        <v>0.0229217126273107</v>
      </c>
      <c r="N29" s="94" t="n">
        <f aca="false">N20</f>
        <v>0.0230458212579038</v>
      </c>
      <c r="O29" s="53" t="n">
        <f aca="false">O20</f>
        <v>0.0226834013191696</v>
      </c>
      <c r="P29" s="68" t="n">
        <f aca="false">P20</f>
        <v>0.0225213878059041</v>
      </c>
      <c r="Q29" s="67" t="n">
        <f aca="false">Q20</f>
        <v>0.0231880932276576</v>
      </c>
      <c r="R29" s="53" t="n">
        <f aca="false">R20</f>
        <v>0.0243259743629112</v>
      </c>
      <c r="S29" s="94" t="n">
        <f aca="false">S20</f>
        <v>0.0234455693550581</v>
      </c>
      <c r="T29" s="53" t="n">
        <f aca="false">T20</f>
        <v>0.023689430751651</v>
      </c>
      <c r="U29" s="53" t="n">
        <f aca="false">U20</f>
        <v>0.0223761384229266</v>
      </c>
      <c r="V29" s="94" t="n">
        <f aca="false">V20</f>
        <v>0.0225614026256006</v>
      </c>
      <c r="W29" s="94" t="n">
        <f aca="false">W20</f>
        <v>0.0236554662547756</v>
      </c>
      <c r="X29" s="66" t="n">
        <f aca="false">X20</f>
        <v>0.0219220459687345</v>
      </c>
      <c r="Y29" s="67" t="n">
        <f aca="false">Y20</f>
        <v>0.0215450325783098</v>
      </c>
      <c r="Z29" s="53" t="n">
        <f aca="false">Z20</f>
        <v>0.0226433455021287</v>
      </c>
      <c r="AA29" s="94" t="n">
        <f aca="false">AA20</f>
        <v>0.0219782622231642</v>
      </c>
      <c r="AB29" s="53" t="n">
        <f aca="false">AB20</f>
        <v>0.0277609948834317</v>
      </c>
      <c r="AC29" s="68" t="n">
        <f aca="false">AC20</f>
        <v>0.029654138992138</v>
      </c>
      <c r="AD29" s="67" t="n">
        <f aca="false">AD20</f>
        <v>0.0317241454487147</v>
      </c>
      <c r="AE29" s="53" t="n">
        <f aca="false">AE20</f>
        <v>0.0306512463802968</v>
      </c>
      <c r="AF29" s="94" t="n">
        <f aca="false">AF20</f>
        <v>0.0302427090863733</v>
      </c>
      <c r="AG29" s="53" t="n">
        <f aca="false">AG20</f>
        <v>0.0319741131821451</v>
      </c>
      <c r="AH29" s="53" t="n">
        <f aca="false">AH20</f>
        <v>0.0360425995033747</v>
      </c>
      <c r="AI29" s="66" t="n">
        <f aca="false">AI20</f>
        <v>0.0293187350535716</v>
      </c>
      <c r="AJ29" s="67" t="n">
        <f aca="false">AJ20</f>
        <v>0.0316903935343129</v>
      </c>
      <c r="AK29" s="53" t="n">
        <f aca="false">AK20</f>
        <v>0.0332665887945368</v>
      </c>
      <c r="AL29" s="94" t="n">
        <f aca="false">AL20</f>
        <v>0.0361539679448579</v>
      </c>
      <c r="AM29" s="53" t="n">
        <f aca="false">AM20</f>
        <v>0.0383404549612953</v>
      </c>
      <c r="AN29" s="68" t="n">
        <f aca="false">AN20</f>
        <v>0.0395059129350341</v>
      </c>
      <c r="AO29" s="67" t="n">
        <f aca="false">AO20</f>
        <v>0.0447068985276393</v>
      </c>
      <c r="AP29" s="53" t="n">
        <f aca="false">AP20</f>
        <v>0.0441389407495116</v>
      </c>
      <c r="AQ29" s="94" t="n">
        <f aca="false">AQ20</f>
        <v>0.0454873330021663</v>
      </c>
    </row>
    <row r="30" customFormat="false" ht="12.8" hidden="false" customHeight="false" outlineLevel="0" collapsed="false">
      <c r="A30" s="139" t="s">
        <v>195</v>
      </c>
      <c r="B30" s="65" t="n">
        <f aca="false">B21</f>
        <v>0.0188096117292032</v>
      </c>
      <c r="C30" s="65" t="n">
        <f aca="false">C21</f>
        <v>0.018866686330199</v>
      </c>
      <c r="D30" s="53" t="n">
        <f aca="false">D21</f>
        <v>0.0186775201823234</v>
      </c>
      <c r="E30" s="94" t="n">
        <f aca="false">E21</f>
        <v>0.0187004091807867</v>
      </c>
      <c r="F30" s="53" t="n">
        <f aca="false">F21</f>
        <v>0.0221753467010824</v>
      </c>
      <c r="G30" s="94" t="n">
        <f aca="false">G21</f>
        <v>0.0207546973290177</v>
      </c>
      <c r="H30" s="53" t="n">
        <f aca="false">H21</f>
        <v>0.0205833147884609</v>
      </c>
      <c r="I30" s="66" t="n">
        <f aca="false">I21</f>
        <v>0.0208652502222449</v>
      </c>
      <c r="J30" s="67" t="n">
        <f aca="false">J21</f>
        <v>0.0244589975617226</v>
      </c>
      <c r="K30" s="94" t="n">
        <f aca="false">K21</f>
        <v>0.0120055491056157</v>
      </c>
      <c r="L30" s="53" t="n">
        <f aca="false">L21</f>
        <v>0.0256594439396872</v>
      </c>
      <c r="M30" s="94" t="n">
        <f aca="false">M21</f>
        <v>0.0257427793569522</v>
      </c>
      <c r="N30" s="94" t="n">
        <f aca="false">N21</f>
        <v>0.0258821625324417</v>
      </c>
      <c r="O30" s="53" t="n">
        <f aca="false">O21</f>
        <v>0.0258273289738708</v>
      </c>
      <c r="P30" s="68" t="n">
        <f aca="false">P21</f>
        <v>0.0256428603288715</v>
      </c>
      <c r="Q30" s="67" t="n">
        <f aca="false">Q21</f>
        <v>0.0292821864219234</v>
      </c>
      <c r="R30" s="53" t="n">
        <f aca="false">R21</f>
        <v>0.0307191155907582</v>
      </c>
      <c r="S30" s="94" t="n">
        <f aca="false">S21</f>
        <v>0.0296073301880673</v>
      </c>
      <c r="T30" s="53" t="n">
        <f aca="false">T21</f>
        <v>0.0299152811181431</v>
      </c>
      <c r="U30" s="53" t="n">
        <f aca="false">U21</f>
        <v>0.0281410339857937</v>
      </c>
      <c r="V30" s="94" t="n">
        <f aca="false">V21</f>
        <v>0.0283740288897964</v>
      </c>
      <c r="W30" s="94" t="n">
        <f aca="false">W21</f>
        <v>0.0297499625379226</v>
      </c>
      <c r="X30" s="66" t="n">
        <f aca="false">X21</f>
        <v>0.0275699510337407</v>
      </c>
      <c r="Y30" s="67" t="n">
        <f aca="false">Y21</f>
        <v>0.0270958054759812</v>
      </c>
      <c r="Z30" s="53" t="n">
        <f aca="false">Z21</f>
        <v>0.031645891129501</v>
      </c>
      <c r="AA30" s="94" t="n">
        <f aca="false">AA21</f>
        <v>0.0307163839135207</v>
      </c>
      <c r="AB30" s="53" t="n">
        <f aca="false">AB21</f>
        <v>0.0340800247013567</v>
      </c>
      <c r="AC30" s="68" t="n">
        <f aca="false">AC21</f>
        <v>0.035419832431279</v>
      </c>
      <c r="AD30" s="67" t="n">
        <f aca="false">AD21</f>
        <v>0.037892312979207</v>
      </c>
      <c r="AE30" s="53" t="n">
        <f aca="false">AE21</f>
        <v>0.0430388768024929</v>
      </c>
      <c r="AF30" s="94" t="n">
        <f aca="false">AF21</f>
        <v>0.042465230104925</v>
      </c>
      <c r="AG30" s="53" t="n">
        <f aca="false">AG21</f>
        <v>0.0448963771665713</v>
      </c>
      <c r="AH30" s="53" t="n">
        <f aca="false">AH21</f>
        <v>0.050609132836585</v>
      </c>
      <c r="AI30" s="66" t="n">
        <f aca="false">AI21</f>
        <v>0.0411736818047944</v>
      </c>
      <c r="AJ30" s="67" t="n">
        <f aca="false">AJ21</f>
        <v>0.041293378902679</v>
      </c>
      <c r="AK30" s="53" t="n">
        <f aca="false">AK21</f>
        <v>0.0396116316418595</v>
      </c>
      <c r="AL30" s="94" t="n">
        <f aca="false">AL21</f>
        <v>0.0399417845288211</v>
      </c>
      <c r="AM30" s="53" t="n">
        <f aca="false">AM21</f>
        <v>0.0411032214951497</v>
      </c>
      <c r="AN30" s="68" t="n">
        <f aca="false">AN21</f>
        <v>0.042459035077591</v>
      </c>
      <c r="AO30" s="67" t="n">
        <f aca="false">AO21</f>
        <v>0.0386335862873994</v>
      </c>
      <c r="AP30" s="53" t="n">
        <f aca="false">AP21</f>
        <v>0.0371640380272037</v>
      </c>
      <c r="AQ30" s="94" t="n">
        <f aca="false">AQ21</f>
        <v>0.0365404774991615</v>
      </c>
    </row>
    <row r="31" customFormat="false" ht="12.8" hidden="false" customHeight="false" outlineLevel="0" collapsed="false">
      <c r="A31" s="139" t="s">
        <v>196</v>
      </c>
      <c r="B31" s="65" t="n">
        <f aca="false">B22</f>
        <v>0.0177022186021442</v>
      </c>
      <c r="C31" s="65" t="n">
        <f aca="false">C22</f>
        <v>0.0180219084034843</v>
      </c>
      <c r="D31" s="53" t="n">
        <f aca="false">D22</f>
        <v>0.0178412123909261</v>
      </c>
      <c r="E31" s="94" t="n">
        <f aca="false">E22</f>
        <v>0.0178827258918951</v>
      </c>
      <c r="F31" s="53" t="n">
        <f aca="false">F22</f>
        <v>0.0192796802451114</v>
      </c>
      <c r="G31" s="94" t="n">
        <f aca="false">G22</f>
        <v>0.0198273620612271</v>
      </c>
      <c r="H31" s="53" t="n">
        <f aca="false">H22</f>
        <v>0.0196179799686746</v>
      </c>
      <c r="I31" s="66" t="n">
        <f aca="false">I22</f>
        <v>0.0198606490097044</v>
      </c>
      <c r="J31" s="67" t="n">
        <f aca="false">J22</f>
        <v>0.0217626393676528</v>
      </c>
      <c r="K31" s="94" t="n">
        <f aca="false">K22</f>
        <v>0.0120055491056157</v>
      </c>
      <c r="L31" s="53" t="n">
        <f aca="false">L22</f>
        <v>0.0225151161508021</v>
      </c>
      <c r="M31" s="94" t="n">
        <f aca="false">M22</f>
        <v>0.0225882395826118</v>
      </c>
      <c r="N31" s="94" t="n">
        <f aca="false">N22</f>
        <v>0.022710542637697</v>
      </c>
      <c r="O31" s="53" t="n">
        <f aca="false">O22</f>
        <v>0.0223533953102373</v>
      </c>
      <c r="P31" s="68" t="n">
        <f aca="false">P22</f>
        <v>0.0222615530278595</v>
      </c>
      <c r="Q31" s="67" t="n">
        <f aca="false">Q22</f>
        <v>0.0217209024043156</v>
      </c>
      <c r="R31" s="53" t="n">
        <f aca="false">R22</f>
        <v>0.0233061807516325</v>
      </c>
      <c r="S31" s="94" t="n">
        <f aca="false">S22</f>
        <v>0.0224626840866459</v>
      </c>
      <c r="T31" s="53" t="n">
        <f aca="false">T22</f>
        <v>0.0233447886767597</v>
      </c>
      <c r="U31" s="53" t="n">
        <f aca="false">U22</f>
        <v>0.0220444774140539</v>
      </c>
      <c r="V31" s="94" t="n">
        <f aca="false">V22</f>
        <v>0.0222269956151076</v>
      </c>
      <c r="W31" s="94" t="n">
        <f aca="false">W22</f>
        <v>0.0233048429409972</v>
      </c>
      <c r="X31" s="66" t="n">
        <f aca="false">X22</f>
        <v>0.0215971155564747</v>
      </c>
      <c r="Y31" s="67" t="n">
        <f aca="false">Y22</f>
        <v>0.0212256902902859</v>
      </c>
      <c r="Z31" s="53" t="n">
        <f aca="false">Z22</f>
        <v>0.0223201205508824</v>
      </c>
      <c r="AA31" s="94" t="n">
        <f aca="false">AA22</f>
        <v>0.02166453107708</v>
      </c>
      <c r="AB31" s="53" t="n">
        <f aca="false">AB22</f>
        <v>0.0244343846479354</v>
      </c>
      <c r="AC31" s="68" t="n">
        <f aca="false">AC22</f>
        <v>0.0288391038249801</v>
      </c>
      <c r="AD31" s="67" t="n">
        <f aca="false">AD22</f>
        <v>0.02288923215781</v>
      </c>
      <c r="AE31" s="53" t="n">
        <f aca="false">AE22</f>
        <v>0.021417713664307</v>
      </c>
      <c r="AF31" s="94" t="n">
        <f aca="false">AF22</f>
        <v>0.0199399940373549</v>
      </c>
      <c r="AG31" s="53" t="n">
        <f aca="false">AG22</f>
        <v>0.0210815646303643</v>
      </c>
      <c r="AH31" s="53" t="n">
        <f aca="false">AH22</f>
        <v>0.0275662967850255</v>
      </c>
      <c r="AI31" s="66" t="n">
        <f aca="false">AI22</f>
        <v>0.0224237142432696</v>
      </c>
      <c r="AJ31" s="67" t="n">
        <f aca="false">AJ22</f>
        <v>0.0122859654771936</v>
      </c>
      <c r="AK31" s="53" t="n">
        <f aca="false">AK22</f>
        <v>0.014432397965576</v>
      </c>
      <c r="AL31" s="94" t="n">
        <f aca="false">AL22</f>
        <v>0.0176492685334701</v>
      </c>
      <c r="AM31" s="53" t="n">
        <f aca="false">AM22</f>
        <v>0.0237623532556627</v>
      </c>
      <c r="AN31" s="68" t="n">
        <f aca="false">AN22</f>
        <v>0.0244846718641551</v>
      </c>
      <c r="AO31" s="67" t="n">
        <f aca="false">AO22</f>
        <v>0.0254582959461067</v>
      </c>
      <c r="AP31" s="53" t="n">
        <f aca="false">AP22</f>
        <v>0.0305148053810878</v>
      </c>
      <c r="AQ31" s="94" t="n">
        <f aca="false">AQ22</f>
        <v>0.0314469964683327</v>
      </c>
    </row>
    <row r="32" customFormat="false" ht="12.8" hidden="false" customHeight="false" outlineLevel="0" collapsed="false">
      <c r="B32" s="65"/>
      <c r="C32" s="65"/>
      <c r="D32" s="53"/>
      <c r="E32" s="94"/>
      <c r="F32" s="53"/>
      <c r="G32" s="94"/>
      <c r="H32" s="53"/>
      <c r="I32" s="66"/>
      <c r="J32" s="67"/>
      <c r="K32" s="94"/>
      <c r="L32" s="53"/>
      <c r="M32" s="94"/>
      <c r="N32" s="94"/>
      <c r="O32" s="53"/>
      <c r="P32" s="68"/>
      <c r="Q32" s="67"/>
      <c r="R32" s="53"/>
      <c r="S32" s="94"/>
      <c r="T32" s="53"/>
      <c r="U32" s="53"/>
      <c r="V32" s="94"/>
      <c r="W32" s="94"/>
      <c r="X32" s="66"/>
      <c r="Y32" s="67"/>
      <c r="Z32" s="53"/>
      <c r="AA32" s="94"/>
      <c r="AB32" s="53"/>
      <c r="AC32" s="68"/>
      <c r="AD32" s="67"/>
      <c r="AE32" s="53"/>
      <c r="AF32" s="94"/>
      <c r="AG32" s="53"/>
      <c r="AH32" s="53"/>
      <c r="AI32" s="66"/>
      <c r="AJ32" s="67"/>
      <c r="AK32" s="53"/>
      <c r="AL32" s="94"/>
      <c r="AM32" s="53"/>
      <c r="AN32" s="68"/>
      <c r="AO32" s="67"/>
      <c r="AP32" s="53"/>
      <c r="AQ32" s="94"/>
    </row>
    <row r="33" customFormat="false" ht="12.8" hidden="false" customHeight="false" outlineLevel="0" collapsed="false">
      <c r="A33" s="1" t="s">
        <v>101</v>
      </c>
      <c r="B33" s="65"/>
      <c r="C33" s="65"/>
      <c r="D33" s="53"/>
      <c r="E33" s="94"/>
      <c r="F33" s="53"/>
      <c r="G33" s="94"/>
      <c r="H33" s="53"/>
      <c r="I33" s="66"/>
      <c r="J33" s="67"/>
      <c r="K33" s="94"/>
      <c r="L33" s="53"/>
      <c r="M33" s="94"/>
      <c r="N33" s="94"/>
      <c r="O33" s="53"/>
      <c r="P33" s="68"/>
      <c r="Q33" s="67"/>
      <c r="R33" s="53"/>
      <c r="S33" s="94"/>
      <c r="T33" s="53"/>
      <c r="U33" s="53"/>
      <c r="V33" s="94"/>
      <c r="W33" s="94"/>
      <c r="X33" s="66"/>
      <c r="Y33" s="67"/>
      <c r="Z33" s="53"/>
      <c r="AA33" s="94"/>
      <c r="AB33" s="53"/>
      <c r="AC33" s="68"/>
      <c r="AD33" s="67"/>
      <c r="AE33" s="53"/>
      <c r="AF33" s="94"/>
      <c r="AG33" s="53"/>
      <c r="AH33" s="53"/>
      <c r="AI33" s="66"/>
      <c r="AJ33" s="67"/>
      <c r="AK33" s="53"/>
      <c r="AL33" s="94"/>
      <c r="AM33" s="53"/>
      <c r="AN33" s="68"/>
      <c r="AO33" s="67"/>
      <c r="AP33" s="53"/>
      <c r="AQ33" s="94"/>
    </row>
    <row r="34" customFormat="false" ht="12.8" hidden="false" customHeight="false" outlineLevel="0" collapsed="false">
      <c r="A34" s="139" t="s">
        <v>30</v>
      </c>
      <c r="B34" s="65" t="n">
        <f aca="false">B16*Ratio!B36</f>
        <v>14.6689405251928</v>
      </c>
      <c r="C34" s="65" t="n">
        <f aca="false">C16*Ratio!C36</f>
        <v>13.343782585346</v>
      </c>
      <c r="D34" s="53" t="n">
        <f aca="false">D16*Ratio!D36</f>
        <v>13.3828668025105</v>
      </c>
      <c r="E34" s="94" t="n">
        <f aca="false">E16*Ratio!E36</f>
        <v>11.603857981215</v>
      </c>
      <c r="F34" s="53" t="n">
        <f aca="false">F16*Ratio!F36</f>
        <v>11.5725096650577</v>
      </c>
      <c r="G34" s="94" t="n">
        <f aca="false">G16*Ratio!G36</f>
        <v>11.8455991371864</v>
      </c>
      <c r="H34" s="53" t="n">
        <f aca="false">H16*Ratio!H36</f>
        <v>14.1322247672748</v>
      </c>
      <c r="I34" s="66" t="n">
        <f aca="false">I16*Ratio!I36</f>
        <v>13.2567982438445</v>
      </c>
      <c r="J34" s="67" t="n">
        <f aca="false">J16*Ratio!J36</f>
        <v>12.1730912139862</v>
      </c>
      <c r="K34" s="94" t="n">
        <f aca="false">K16*Ratio!K36</f>
        <v>12.5787413246083</v>
      </c>
      <c r="L34" s="53" t="n">
        <f aca="false">L16*Ratio!L36</f>
        <v>12.006383591523</v>
      </c>
      <c r="M34" s="94" t="n">
        <f aca="false">M16*Ratio!M36</f>
        <v>12.0154769864446</v>
      </c>
      <c r="N34" s="94" t="n">
        <f aca="false">N16*Ratio!N36</f>
        <v>11.9448653525562</v>
      </c>
      <c r="O34" s="53" t="n">
        <f aca="false">O16*Ratio!O36</f>
        <v>11.5298621957277</v>
      </c>
      <c r="P34" s="68" t="n">
        <f aca="false">P16*Ratio!P36</f>
        <v>12.1032478373131</v>
      </c>
      <c r="Q34" s="67" t="n">
        <f aca="false">Q16*Ratio!Q36</f>
        <v>12.207064513399</v>
      </c>
      <c r="R34" s="53" t="n">
        <f aca="false">R16*Ratio!R36</f>
        <v>12.0304025691969</v>
      </c>
      <c r="S34" s="94" t="n">
        <f aca="false">S16*Ratio!S36</f>
        <v>12.6721831042763</v>
      </c>
      <c r="T34" s="53" t="n">
        <f aca="false">T16*Ratio!T36</f>
        <v>12.3897491609746</v>
      </c>
      <c r="U34" s="53" t="n">
        <f aca="false">U16*Ratio!U36</f>
        <v>17.4487019343966</v>
      </c>
      <c r="V34" s="94" t="n">
        <f aca="false">V16*Ratio!V36</f>
        <v>16.019417887141</v>
      </c>
      <c r="W34" s="94" t="n">
        <f aca="false">W16*Ratio!W36</f>
        <v>15.2316951637003</v>
      </c>
      <c r="X34" s="66" t="n">
        <f aca="false">X16*Ratio!X36</f>
        <v>17.2891985026354</v>
      </c>
      <c r="Y34" s="67" t="n">
        <f aca="false">Y16*Ratio!Y36</f>
        <v>15.7573154039672</v>
      </c>
      <c r="Z34" s="53" t="n">
        <f aca="false">Z16*Ratio!Z36</f>
        <v>14.6616368322475</v>
      </c>
      <c r="AA34" s="94" t="n">
        <f aca="false">AA16*Ratio!AA36</f>
        <v>15.3231508211532</v>
      </c>
      <c r="AB34" s="53" t="n">
        <f aca="false">AB16*Ratio!AB36</f>
        <v>13.1013082107518</v>
      </c>
      <c r="AC34" s="68" t="n">
        <f aca="false">AC16*Ratio!AC36</f>
        <v>14.7421125109143</v>
      </c>
      <c r="AD34" s="67" t="n">
        <f aca="false">AD16*Ratio!AD36</f>
        <v>13.996906988709</v>
      </c>
      <c r="AE34" s="53" t="n">
        <f aca="false">AE16*Ratio!AE36</f>
        <v>13.960849494153</v>
      </c>
      <c r="AF34" s="94" t="n">
        <f aca="false">AF16*Ratio!AF36</f>
        <v>14.6844201885629</v>
      </c>
      <c r="AG34" s="53" t="n">
        <f aca="false">AG16*Ratio!AG36</f>
        <v>12.7890646551344</v>
      </c>
      <c r="AH34" s="53" t="n">
        <f aca="false">AH16*Ratio!AH36</f>
        <v>11.6729656764215</v>
      </c>
      <c r="AI34" s="66" t="n">
        <f aca="false">AI16*Ratio!AI36</f>
        <v>17.9927146001822</v>
      </c>
      <c r="AJ34" s="67" t="n">
        <f aca="false">AJ16*Ratio!AJ36</f>
        <v>17.0695465117893</v>
      </c>
      <c r="AK34" s="53" t="n">
        <f aca="false">AK16*Ratio!AK36</f>
        <v>16.8438681673008</v>
      </c>
      <c r="AL34" s="94" t="n">
        <f aca="false">AL16*Ratio!AL36</f>
        <v>16.3377497250548</v>
      </c>
      <c r="AM34" s="53" t="n">
        <f aca="false">AM16*Ratio!AM36</f>
        <v>13.5201468314634</v>
      </c>
      <c r="AN34" s="68" t="n">
        <f aca="false">AN16*Ratio!AN36</f>
        <v>15.8845016572406</v>
      </c>
      <c r="AO34" s="67" t="n">
        <f aca="false">AO16*Ratio!AO36</f>
        <v>16.2265417170125</v>
      </c>
      <c r="AP34" s="53" t="n">
        <f aca="false">AP16*Ratio!AP36</f>
        <v>15.7142573778825</v>
      </c>
      <c r="AQ34" s="94" t="n">
        <f aca="false">AQ16*Ratio!AQ36</f>
        <v>15.3170646316042</v>
      </c>
    </row>
    <row r="35" customFormat="false" ht="12.8" hidden="false" customHeight="false" outlineLevel="0" collapsed="false">
      <c r="A35" s="139" t="s">
        <v>29</v>
      </c>
      <c r="B35" s="65" t="n">
        <f aca="false">B17*Ratio!B43</f>
        <v>1.23946483349065</v>
      </c>
      <c r="C35" s="65" t="n">
        <f aca="false">C17*Ratio!C43</f>
        <v>1.1437269904638</v>
      </c>
      <c r="D35" s="53" t="n">
        <f aca="false">D17*Ratio!D43</f>
        <v>1.13225945317502</v>
      </c>
      <c r="E35" s="94" t="n">
        <f aca="false">E17*Ratio!E43</f>
        <v>1.22824338486323</v>
      </c>
      <c r="F35" s="53" t="n">
        <f aca="false">F17*Ratio!F43</f>
        <v>0.80665105506914</v>
      </c>
      <c r="G35" s="94" t="n">
        <f aca="false">G17*Ratio!G43</f>
        <v>2.63279455753994</v>
      </c>
      <c r="H35" s="53" t="n">
        <f aca="false">H17*Ratio!H43</f>
        <v>2.36025088957693</v>
      </c>
      <c r="I35" s="66" t="n">
        <f aca="false">I17*Ratio!I43</f>
        <v>2.16716583865866</v>
      </c>
      <c r="J35" s="67" t="n">
        <f aca="false">J17*Ratio!J43</f>
        <v>2.11301423077331</v>
      </c>
      <c r="K35" s="94" t="n">
        <f aca="false">K17*Ratio!K43</f>
        <v>1.92829581588584</v>
      </c>
      <c r="L35" s="53" t="n">
        <f aca="false">L17*Ratio!L43</f>
        <v>1.8261523338972</v>
      </c>
      <c r="M35" s="94" t="n">
        <f aca="false">M17*Ratio!M43</f>
        <v>1.83208321716547</v>
      </c>
      <c r="N35" s="94" t="n">
        <f aca="false">N17*Ratio!N43</f>
        <v>1.63167043607163</v>
      </c>
      <c r="O35" s="53" t="n">
        <f aca="false">O17*Ratio!O43</f>
        <v>1.60481202771673</v>
      </c>
      <c r="P35" s="68" t="n">
        <f aca="false">P17*Ratio!P43</f>
        <v>1.02490858979375</v>
      </c>
      <c r="Q35" s="67" t="n">
        <f aca="false">Q17*Ratio!Q43</f>
        <v>1.20292795568165</v>
      </c>
      <c r="R35" s="53" t="n">
        <f aca="false">R17*Ratio!R43</f>
        <v>1.36337494492661</v>
      </c>
      <c r="S35" s="94" t="n">
        <f aca="false">S17*Ratio!S43</f>
        <v>1.31403171570226</v>
      </c>
      <c r="T35" s="53" t="n">
        <f aca="false">T17*Ratio!T43</f>
        <v>1.18608223050271</v>
      </c>
      <c r="U35" s="53" t="n">
        <f aca="false">U17*Ratio!U43</f>
        <v>0.853587218783301</v>
      </c>
      <c r="V35" s="94" t="n">
        <f aca="false">V17*Ratio!V43</f>
        <v>1.0573175658747</v>
      </c>
      <c r="W35" s="94" t="n">
        <f aca="false">W17*Ratio!W43</f>
        <v>1.108589763464</v>
      </c>
      <c r="X35" s="66" t="n">
        <f aca="false">X17*Ratio!X43</f>
        <v>1.02735475569922</v>
      </c>
      <c r="Y35" s="67" t="n">
        <f aca="false">Y17*Ratio!Y43</f>
        <v>1.23743808279777</v>
      </c>
      <c r="Z35" s="53" t="n">
        <f aca="false">Z17*Ratio!Z43</f>
        <v>1.40866128730812</v>
      </c>
      <c r="AA35" s="94" t="n">
        <f aca="false">AA17*Ratio!AA43</f>
        <v>1.32462743074398</v>
      </c>
      <c r="AB35" s="53" t="n">
        <f aca="false">AB17*Ratio!AB43</f>
        <v>1.57503158129914</v>
      </c>
      <c r="AC35" s="68" t="n">
        <f aca="false">AC17*Ratio!AC43</f>
        <v>1.75966926307513</v>
      </c>
      <c r="AD35" s="67" t="n">
        <f aca="false">AD17*Ratio!AD43</f>
        <v>2.04019351973091</v>
      </c>
      <c r="AE35" s="53" t="n">
        <f aca="false">AE17*Ratio!AE43</f>
        <v>1.58314952113847</v>
      </c>
      <c r="AF35" s="94" t="n">
        <f aca="false">AF17*Ratio!AF43</f>
        <v>1.41735471647462</v>
      </c>
      <c r="AG35" s="53" t="n">
        <f aca="false">AG17*Ratio!AG43</f>
        <v>1.40190100192593</v>
      </c>
      <c r="AH35" s="53" t="n">
        <f aca="false">AH17*Ratio!AH43</f>
        <v>2.19568133537101</v>
      </c>
      <c r="AI35" s="66" t="n">
        <f aca="false">AI17*Ratio!AI43</f>
        <v>1.764743807832</v>
      </c>
      <c r="AJ35" s="67" t="n">
        <f aca="false">AJ17*Ratio!AJ43</f>
        <v>1.63007421419439</v>
      </c>
      <c r="AK35" s="53" t="n">
        <f aca="false">AK17*Ratio!AK43</f>
        <v>1.74624026011118</v>
      </c>
      <c r="AL35" s="94" t="n">
        <f aca="false">AL17*Ratio!AL43</f>
        <v>1.88997847391835</v>
      </c>
      <c r="AM35" s="53" t="n">
        <f aca="false">AM17*Ratio!AM43</f>
        <v>1.83442919923672</v>
      </c>
      <c r="AN35" s="68" t="n">
        <f aca="false">AN17*Ratio!AN43</f>
        <v>1.54295396700293</v>
      </c>
      <c r="AO35" s="67" t="n">
        <f aca="false">AO17*Ratio!AO43</f>
        <v>1.36255205244749</v>
      </c>
      <c r="AP35" s="53" t="n">
        <f aca="false">AP17*Ratio!AP43</f>
        <v>1.23099927498224</v>
      </c>
      <c r="AQ35" s="94" t="n">
        <f aca="false">AQ17*Ratio!AQ43</f>
        <v>1.21243749666116</v>
      </c>
    </row>
    <row r="36" customFormat="false" ht="12.8" hidden="false" customHeight="false" outlineLevel="0" collapsed="false">
      <c r="A36" s="139" t="s">
        <v>188</v>
      </c>
      <c r="B36" s="65" t="n">
        <f aca="false">B18*Ratio!B46</f>
        <v>0.295548440501439</v>
      </c>
      <c r="C36" s="65" t="n">
        <f aca="false">C18*Ratio!C46</f>
        <v>0.299554487262182</v>
      </c>
      <c r="D36" s="53" t="n">
        <f aca="false">D18*Ratio!D46</f>
        <v>0.296551015033807</v>
      </c>
      <c r="E36" s="94" t="n">
        <f aca="false">E18*Ratio!E46</f>
        <v>0.297241039376336</v>
      </c>
      <c r="F36" s="53" t="n">
        <f aca="false">F18*Ratio!F46</f>
        <v>0.320460774802661</v>
      </c>
      <c r="G36" s="94" t="n">
        <f aca="false">G18*Ratio!G46</f>
        <v>0.43334312005717</v>
      </c>
      <c r="H36" s="53" t="n">
        <f aca="false">H18*Ratio!H46</f>
        <v>0.430194540920564</v>
      </c>
      <c r="I36" s="66" t="n">
        <f aca="false">I18*Ratio!I46</f>
        <v>0.383989441536545</v>
      </c>
      <c r="J36" s="67" t="n">
        <f aca="false">J18*Ratio!J46</f>
        <v>0.420900839357103</v>
      </c>
      <c r="K36" s="94" t="n">
        <f aca="false">K18*Ratio!K46</f>
        <v>0.272790101871452</v>
      </c>
      <c r="L36" s="53" t="n">
        <f aca="false">L18*Ratio!L46</f>
        <v>0.388272041019111</v>
      </c>
      <c r="M36" s="94" t="n">
        <f aca="false">M18*Ratio!M46</f>
        <v>0.389533050907974</v>
      </c>
      <c r="N36" s="94" t="n">
        <f aca="false">N18*Ratio!N46</f>
        <v>0.383392311239063</v>
      </c>
      <c r="O36" s="53" t="n">
        <f aca="false">O18*Ratio!O46</f>
        <v>0.37762792387567</v>
      </c>
      <c r="P36" s="68" t="n">
        <f aca="false">P18*Ratio!P46</f>
        <v>0.532089620042165</v>
      </c>
      <c r="Q36" s="67" t="n">
        <f aca="false">Q18*Ratio!Q46</f>
        <v>0.506347133752199</v>
      </c>
      <c r="R36" s="53" t="n">
        <f aca="false">R18*Ratio!R46</f>
        <v>0.47265810174058</v>
      </c>
      <c r="S36" s="94" t="n">
        <f aca="false">S18*Ratio!S46</f>
        <v>0.455551672474208</v>
      </c>
      <c r="T36" s="53" t="n">
        <f aca="false">T18*Ratio!T46</f>
        <v>0.42891597582117</v>
      </c>
      <c r="U36" s="53" t="n">
        <f aca="false">U18*Ratio!U46</f>
        <v>1.14244782778274</v>
      </c>
      <c r="V36" s="94" t="n">
        <f aca="false">V18*Ratio!V46</f>
        <v>1.15190677382206</v>
      </c>
      <c r="W36" s="94" t="n">
        <f aca="false">W18*Ratio!W46</f>
        <v>1.20776585875364</v>
      </c>
      <c r="X36" s="66" t="n">
        <f aca="false">X18*Ratio!X46</f>
        <v>1.11926344591581</v>
      </c>
      <c r="Y36" s="67" t="n">
        <f aca="false">Y18*Ratio!Y46</f>
        <v>1.10001445304694</v>
      </c>
      <c r="Z36" s="53" t="n">
        <f aca="false">Z18*Ratio!Z46</f>
        <v>1.12726508601542</v>
      </c>
      <c r="AA36" s="94" t="n">
        <f aca="false">AA18*Ratio!AA46</f>
        <v>1.06812122358808</v>
      </c>
      <c r="AB36" s="53" t="n">
        <f aca="false">AB18*Ratio!AB46</f>
        <v>1.11306376330609</v>
      </c>
      <c r="AC36" s="68" t="n">
        <f aca="false">AC18*Ratio!AC46</f>
        <v>0.513875972806006</v>
      </c>
      <c r="AD36" s="67" t="n">
        <f aca="false">AD18*Ratio!AD46</f>
        <v>0.445493059810231</v>
      </c>
      <c r="AE36" s="53" t="n">
        <f aca="false">AE18*Ratio!AE46</f>
        <v>0.472249094179185</v>
      </c>
      <c r="AF36" s="94" t="n">
        <f aca="false">AF18*Ratio!AF46</f>
        <v>0.465954688901172</v>
      </c>
      <c r="AG36" s="53" t="n">
        <f aca="false">AG18*Ratio!AG46</f>
        <v>0.509328464038785</v>
      </c>
      <c r="AH36" s="53" t="n">
        <f aca="false">AH18*Ratio!AH46</f>
        <v>0.630263840549379</v>
      </c>
      <c r="AI36" s="66" t="n">
        <f aca="false">AI18*Ratio!AI46</f>
        <v>0.627794713090661</v>
      </c>
      <c r="AJ36" s="67" t="n">
        <f aca="false">AJ18*Ratio!AJ46</f>
        <v>0.736991743295287</v>
      </c>
      <c r="AK36" s="53" t="n">
        <f aca="false">AK18*Ratio!AK46</f>
        <v>0.715280822709805</v>
      </c>
      <c r="AL36" s="94" t="n">
        <f aca="false">AL18*Ratio!AL46</f>
        <v>0.638056830620696</v>
      </c>
      <c r="AM36" s="53" t="n">
        <f aca="false">AM18*Ratio!AM46</f>
        <v>0.771741005648399</v>
      </c>
      <c r="AN36" s="68" t="n">
        <f aca="false">AN18*Ratio!AN46</f>
        <v>0.795200083262425</v>
      </c>
      <c r="AO36" s="67" t="n">
        <f aca="false">AO18*Ratio!AO46</f>
        <v>0.631851467492548</v>
      </c>
      <c r="AP36" s="53" t="n">
        <f aca="false">AP18*Ratio!AP46</f>
        <v>0.623824407521883</v>
      </c>
      <c r="AQ36" s="94" t="n">
        <f aca="false">AQ18*Ratio!AQ46</f>
        <v>0.667719673462836</v>
      </c>
    </row>
    <row r="37" customFormat="false" ht="12.8" hidden="false" customHeight="false" outlineLevel="0" collapsed="false">
      <c r="A37" s="139" t="s">
        <v>190</v>
      </c>
      <c r="B37" s="65" t="n">
        <f aca="false">B19*Ratio!B48</f>
        <v>0.376143380593699</v>
      </c>
      <c r="C37" s="65" t="n">
        <f aca="false">C19*Ratio!C48</f>
        <v>0.381462967032829</v>
      </c>
      <c r="D37" s="53" t="n">
        <f aca="false">D19*Ratio!D48</f>
        <v>0.377638242395557</v>
      </c>
      <c r="E37" s="94" t="n">
        <f aca="false">E19*Ratio!E48</f>
        <v>0.378516943080136</v>
      </c>
      <c r="F37" s="53" t="n">
        <f aca="false">F19*Ratio!F48</f>
        <v>0.408085751247216</v>
      </c>
      <c r="G37" s="94" t="n">
        <f aca="false">G19*Ratio!G48</f>
        <v>0.656167856413685</v>
      </c>
      <c r="H37" s="53" t="n">
        <f aca="false">H19*Ratio!H48</f>
        <v>0.614008313235694</v>
      </c>
      <c r="I37" s="66" t="n">
        <f aca="false">I19*Ratio!I48</f>
        <v>0.622294098437348</v>
      </c>
      <c r="J37" s="67" t="n">
        <f aca="false">J19*Ratio!J48</f>
        <v>0.557135854589263</v>
      </c>
      <c r="K37" s="94" t="n">
        <f aca="false">K19*Ratio!K48</f>
        <v>0.402483769769448</v>
      </c>
      <c r="L37" s="53" t="n">
        <f aca="false">L19*Ratio!L48</f>
        <v>0.57639968507214</v>
      </c>
      <c r="M37" s="94" t="n">
        <f aca="false">M19*Ratio!M48</f>
        <v>0.578271686210583</v>
      </c>
      <c r="N37" s="94" t="n">
        <f aca="false">N19*Ratio!N48</f>
        <v>0.581402713470773</v>
      </c>
      <c r="O37" s="53" t="n">
        <f aca="false">O19*Ratio!O48</f>
        <v>0.56842569776138</v>
      </c>
      <c r="P37" s="68" t="n">
        <f aca="false">P19*Ratio!P48</f>
        <v>0.534850599558926</v>
      </c>
      <c r="Q37" s="67" t="n">
        <f aca="false">Q19*Ratio!Q48</f>
        <v>0.550683895341019</v>
      </c>
      <c r="R37" s="53" t="n">
        <f aca="false">R19*Ratio!R48</f>
        <v>0.614303320022834</v>
      </c>
      <c r="S37" s="94" t="n">
        <f aca="false">S19*Ratio!S48</f>
        <v>0.592142243480226</v>
      </c>
      <c r="T37" s="53" t="n">
        <f aca="false">T19*Ratio!T48</f>
        <v>0.598301216729711</v>
      </c>
      <c r="U37" s="53" t="n">
        <f aca="false">U19*Ratio!U48</f>
        <v>0.636339898157834</v>
      </c>
      <c r="V37" s="94" t="n">
        <f aca="false">V19*Ratio!V48</f>
        <v>0.806576711599386</v>
      </c>
      <c r="W37" s="94" t="n">
        <f aca="false">W19*Ratio!W48</f>
        <v>0.845689804829642</v>
      </c>
      <c r="X37" s="66" t="n">
        <f aca="false">X19*Ratio!X48</f>
        <v>0.783719524996587</v>
      </c>
      <c r="Y37" s="67" t="n">
        <f aca="false">Y19*Ratio!Y48</f>
        <v>0.769824896214205</v>
      </c>
      <c r="Z37" s="53" t="n">
        <f aca="false">Z19*Ratio!Z48</f>
        <v>0.849276897882914</v>
      </c>
      <c r="AA37" s="94" t="n">
        <f aca="false">AA19*Ratio!AA48</f>
        <v>0.68317639346077</v>
      </c>
      <c r="AB37" s="53" t="n">
        <f aca="false">AB19*Ratio!AB48</f>
        <v>0.758056933169981</v>
      </c>
      <c r="AC37" s="68" t="n">
        <f aca="false">AC19*Ratio!AC48</f>
        <v>3.32948768731313</v>
      </c>
      <c r="AD37" s="67" t="n">
        <f aca="false">AD19*Ratio!AD48</f>
        <v>3.2589051182633</v>
      </c>
      <c r="AE37" s="53" t="n">
        <f aca="false">AE19*Ratio!AE48</f>
        <v>3.33792542064183</v>
      </c>
      <c r="AF37" s="94" t="n">
        <f aca="false">AF19*Ratio!AF48</f>
        <v>3.29343564682486</v>
      </c>
      <c r="AG37" s="53" t="n">
        <f aca="false">AG19*Ratio!AG48</f>
        <v>3.28210558749157</v>
      </c>
      <c r="AH37" s="53" t="n">
        <f aca="false">AH19*Ratio!AH48</f>
        <v>0.990630791920096</v>
      </c>
      <c r="AI37" s="66" t="n">
        <f aca="false">AI19*Ratio!AI48</f>
        <v>0.805825387857934</v>
      </c>
      <c r="AJ37" s="67" t="n">
        <f aca="false">AJ19*Ratio!AJ48</f>
        <v>1.02310069618588</v>
      </c>
      <c r="AK37" s="53" t="n">
        <f aca="false">AK19*Ratio!AK48</f>
        <v>0.996840089759959</v>
      </c>
      <c r="AL37" s="94" t="n">
        <f aca="false">AL19*Ratio!AL48</f>
        <v>0.654217949960621</v>
      </c>
      <c r="AM37" s="53" t="n">
        <f aca="false">AM19*Ratio!AM48</f>
        <v>1.2439594002912</v>
      </c>
      <c r="AN37" s="68" t="n">
        <f aca="false">AN19*Ratio!AN48</f>
        <v>0.907307331423712</v>
      </c>
      <c r="AO37" s="67" t="n">
        <f aca="false">AO19*Ratio!AO48</f>
        <v>1.00893379546818</v>
      </c>
      <c r="AP37" s="53" t="n">
        <f aca="false">AP19*Ratio!AP48</f>
        <v>1.01700411677457</v>
      </c>
      <c r="AQ37" s="94" t="n">
        <f aca="false">AQ19*Ratio!AQ48</f>
        <v>0.95985447629304</v>
      </c>
    </row>
    <row r="38" customFormat="false" ht="12.8" hidden="false" customHeight="false" outlineLevel="0" collapsed="false">
      <c r="A38" s="139" t="s">
        <v>194</v>
      </c>
      <c r="B38" s="65" t="n">
        <f aca="false">B20*Ratio!B53</f>
        <v>0.432178100637698</v>
      </c>
      <c r="C38" s="65" t="n">
        <f aca="false">C20*Ratio!C53</f>
        <v>0.438036110502972</v>
      </c>
      <c r="D38" s="53" t="n">
        <f aca="false">D20*Ratio!D53</f>
        <v>0.433644157289566</v>
      </c>
      <c r="E38" s="94" t="n">
        <f aca="false">E20*Ratio!E53</f>
        <v>0.434653174319877</v>
      </c>
      <c r="F38" s="53" t="n">
        <f aca="false">F20*Ratio!F53</f>
        <v>0.380787226761723</v>
      </c>
      <c r="G38" s="94" t="n">
        <f aca="false">G20*Ratio!G53</f>
        <v>0.391604327318118</v>
      </c>
      <c r="H38" s="53" t="n">
        <f aca="false">H20*Ratio!H53</f>
        <v>0.388759013390818</v>
      </c>
      <c r="I38" s="66" t="n">
        <f aca="false">I20*Ratio!I53</f>
        <v>0.350269241398929</v>
      </c>
      <c r="J38" s="67" t="n">
        <f aca="false">J20*Ratio!J53</f>
        <v>0.383813397962047</v>
      </c>
      <c r="K38" s="94" t="n">
        <f aca="false">K20*Ratio!K53</f>
        <v>0.371774529110428</v>
      </c>
      <c r="L38" s="53" t="n">
        <f aca="false">L20*Ratio!L53</f>
        <v>0.37429007209965</v>
      </c>
      <c r="M38" s="94" t="n">
        <f aca="false">M20*Ratio!M53</f>
        <v>0.375505672071727</v>
      </c>
      <c r="N38" s="94" t="n">
        <f aca="false">N20*Ratio!N53</f>
        <v>0.377538831438939</v>
      </c>
      <c r="O38" s="53" t="n">
        <f aca="false">O20*Ratio!O53</f>
        <v>0.371601633600395</v>
      </c>
      <c r="P38" s="68" t="n">
        <f aca="false">P20*Ratio!P53</f>
        <v>0.261677097336359</v>
      </c>
      <c r="Q38" s="67" t="n">
        <f aca="false">Q20*Ratio!Q53</f>
        <v>0.269423579970842</v>
      </c>
      <c r="R38" s="53" t="n">
        <f aca="false">R20*Ratio!R53</f>
        <v>0.28264467607527</v>
      </c>
      <c r="S38" s="94" t="n">
        <f aca="false">S20*Ratio!S53</f>
        <v>0.272415207584213</v>
      </c>
      <c r="T38" s="53" t="n">
        <f aca="false">T20*Ratio!T53</f>
        <v>0.275248644979935</v>
      </c>
      <c r="U38" s="53" t="n">
        <f aca="false">U20*Ratio!U53</f>
        <v>0.205364004712069</v>
      </c>
      <c r="V38" s="94" t="n">
        <f aca="false">V20*Ratio!V53</f>
        <v>0.207064324842014</v>
      </c>
      <c r="W38" s="94" t="n">
        <f aca="false">W20*Ratio!W53</f>
        <v>0.21710543578129</v>
      </c>
      <c r="X38" s="66" t="n">
        <f aca="false">X20*Ratio!X53</f>
        <v>0.201196429273455</v>
      </c>
      <c r="Y38" s="67" t="n">
        <f aca="false">Y20*Ratio!Y53</f>
        <v>0.197736271035948</v>
      </c>
      <c r="Z38" s="53" t="n">
        <f aca="false">Z20*Ratio!Z53</f>
        <v>0.207816381205063</v>
      </c>
      <c r="AA38" s="94" t="n">
        <f aca="false">AA20*Ratio!AA53</f>
        <v>0.201712371520566</v>
      </c>
      <c r="AB38" s="53" t="n">
        <f aca="false">AB20*Ratio!AB53</f>
        <v>0.290015852366659</v>
      </c>
      <c r="AC38" s="68" t="n">
        <f aca="false">AC20*Ratio!AC53</f>
        <v>0.273798361254978</v>
      </c>
      <c r="AD38" s="67" t="n">
        <f aca="false">AD20*Ratio!AD53</f>
        <v>0.292910849253641</v>
      </c>
      <c r="AE38" s="53" t="n">
        <f aca="false">AE20*Ratio!AE53</f>
        <v>0.258056400937069</v>
      </c>
      <c r="AF38" s="94" t="n">
        <f aca="false">AF20*Ratio!AF53</f>
        <v>0.254616878040987</v>
      </c>
      <c r="AG38" s="53" t="n">
        <f aca="false">AG20*Ratio!AG53</f>
        <v>0.269193770085736</v>
      </c>
      <c r="AH38" s="53" t="n">
        <f aca="false">AH20*Ratio!AH53</f>
        <v>0.260841898212673</v>
      </c>
      <c r="AI38" s="66" t="n">
        <f aca="false">AI20*Ratio!AI53</f>
        <v>0.212180991658274</v>
      </c>
      <c r="AJ38" s="67" t="n">
        <f aca="false">AJ20*Ratio!AJ53</f>
        <v>0.229344789734792</v>
      </c>
      <c r="AK38" s="53" t="n">
        <f aca="false">AK20*Ratio!AK53</f>
        <v>0.24075178504855</v>
      </c>
      <c r="AL38" s="94" t="n">
        <f aca="false">AL20*Ratio!AL53</f>
        <v>0.26164787658487</v>
      </c>
      <c r="AM38" s="53" t="n">
        <f aca="false">AM20*Ratio!AM53</f>
        <v>0.2774715805253</v>
      </c>
      <c r="AN38" s="68" t="n">
        <f aca="false">AN20*Ratio!AN53</f>
        <v>0.604625433280997</v>
      </c>
      <c r="AO38" s="67" t="n">
        <f aca="false">AO20*Ratio!AO53</f>
        <v>0.744691246992858</v>
      </c>
      <c r="AP38" s="53" t="n">
        <f aca="false">AP20*Ratio!AP53</f>
        <v>0.735230667083211</v>
      </c>
      <c r="AQ38" s="94" t="n">
        <f aca="false">AQ20*Ratio!AQ53</f>
        <v>0.75769109133841</v>
      </c>
    </row>
    <row r="39" customFormat="false" ht="12.8" hidden="false" customHeight="false" outlineLevel="0" collapsed="false">
      <c r="A39" s="139" t="s">
        <v>195</v>
      </c>
      <c r="B39" s="65" t="n">
        <f aca="false">B21*Ratio!B54</f>
        <v>0.123264881696208</v>
      </c>
      <c r="C39" s="65" t="n">
        <f aca="false">C21*Ratio!C54</f>
        <v>0.12235558623209</v>
      </c>
      <c r="D39" s="53" t="n">
        <f aca="false">D21*Ratio!D54</f>
        <v>0.121128792373672</v>
      </c>
      <c r="E39" s="94" t="n">
        <f aca="false">E21*Ratio!E54</f>
        <v>0.121143975373889</v>
      </c>
      <c r="F39" s="53" t="n">
        <f aca="false">F21*Ratio!F54</f>
        <v>0.158006274119396</v>
      </c>
      <c r="G39" s="94" t="n">
        <f aca="false">G21*Ratio!G54</f>
        <v>0.769848630256423</v>
      </c>
      <c r="H39" s="53" t="n">
        <f aca="false">H21*Ratio!H54</f>
        <v>0.762728853068419</v>
      </c>
      <c r="I39" s="66" t="n">
        <f aca="false">I21*Ratio!I54</f>
        <v>0.77333079925475</v>
      </c>
      <c r="J39" s="67" t="n">
        <f aca="false">J21*Ratio!J54</f>
        <v>0.969789083227175</v>
      </c>
      <c r="K39" s="94" t="n">
        <f aca="false">K21*Ratio!K54</f>
        <v>0.482688138007499</v>
      </c>
      <c r="L39" s="53" t="n">
        <f aca="false">L21*Ratio!L54</f>
        <v>1.03164870749327</v>
      </c>
      <c r="M39" s="94" t="n">
        <f aca="false">M21*Ratio!M54</f>
        <v>1.03499924290284</v>
      </c>
      <c r="N39" s="94" t="n">
        <f aca="false">N21*Ratio!N54</f>
        <v>1.04060320194334</v>
      </c>
      <c r="O39" s="53" t="n">
        <f aca="false">O21*Ratio!O54</f>
        <v>1.05275433667347</v>
      </c>
      <c r="P39" s="68" t="n">
        <f aca="false">P21*Ratio!P54</f>
        <v>0.167034832484078</v>
      </c>
      <c r="Q39" s="67" t="n">
        <f aca="false">Q21*Ratio!Q54</f>
        <v>0.21154912127762</v>
      </c>
      <c r="R39" s="53" t="n">
        <f aca="false">R21*Ratio!R54</f>
        <v>0.221930214363538</v>
      </c>
      <c r="S39" s="94" t="n">
        <f aca="false">S21*Ratio!S54</f>
        <v>0.213898122032739</v>
      </c>
      <c r="T39" s="53" t="n">
        <f aca="false">T21*Ratio!T54</f>
        <v>0.216122913163958</v>
      </c>
      <c r="U39" s="53" t="n">
        <f aca="false">U21*Ratio!U54</f>
        <v>0.715753208141492</v>
      </c>
      <c r="V39" s="94" t="n">
        <f aca="false">V21*Ratio!V54</f>
        <v>0.721679317683336</v>
      </c>
      <c r="W39" s="94" t="n">
        <f aca="false">W21*Ratio!W54</f>
        <v>0.756675505930482</v>
      </c>
      <c r="X39" s="66" t="n">
        <f aca="false">X21*Ratio!X54</f>
        <v>0.701227997189642</v>
      </c>
      <c r="Y39" s="67" t="n">
        <f aca="false">Y21*Ratio!Y54</f>
        <v>0.689168340665873</v>
      </c>
      <c r="Z39" s="53" t="n">
        <f aca="false">Z21*Ratio!Z54</f>
        <v>0.894463056784444</v>
      </c>
      <c r="AA39" s="94" t="n">
        <f aca="false">AA21*Ratio!AA54</f>
        <v>0.86819077194637</v>
      </c>
      <c r="AB39" s="53" t="n">
        <f aca="false">AB21*Ratio!AB54</f>
        <v>0.96312053801938</v>
      </c>
      <c r="AC39" s="68" t="n">
        <f aca="false">AC21*Ratio!AC54</f>
        <v>1.38635853489258</v>
      </c>
      <c r="AD39" s="67" t="n">
        <f aca="false">AD21*Ratio!AD54</f>
        <v>1.48313325895787</v>
      </c>
      <c r="AE39" s="53" t="n">
        <f aca="false">AE21*Ratio!AE54</f>
        <v>1.80577054525827</v>
      </c>
      <c r="AF39" s="94" t="n">
        <f aca="false">AF21*Ratio!AF54</f>
        <v>1.78170220549637</v>
      </c>
      <c r="AG39" s="53" t="n">
        <f aca="false">AG21*Ratio!AG54</f>
        <v>1.88370518701605</v>
      </c>
      <c r="AH39" s="53" t="n">
        <f aca="false">AH21*Ratio!AH54</f>
        <v>1.3436798070984</v>
      </c>
      <c r="AI39" s="66" t="n">
        <f aca="false">AI21*Ratio!AI54</f>
        <v>1.09332249499642</v>
      </c>
      <c r="AJ39" s="67" t="n">
        <f aca="false">AJ21*Ratio!AJ54</f>
        <v>1.01738964940511</v>
      </c>
      <c r="AK39" s="53" t="n">
        <f aca="false">AK21*Ratio!AK54</f>
        <v>0.89184893582372</v>
      </c>
      <c r="AL39" s="94" t="n">
        <f aca="false">AL21*Ratio!AL54</f>
        <v>0.834359211778533</v>
      </c>
      <c r="AM39" s="53" t="n">
        <f aca="false">AM21*Ratio!AM54</f>
        <v>0.833198665089458</v>
      </c>
      <c r="AN39" s="68" t="n">
        <f aca="false">AN21*Ratio!AN54</f>
        <v>1.0101185148055</v>
      </c>
      <c r="AO39" s="67" t="n">
        <f aca="false">AO21*Ratio!AO54</f>
        <v>0.804316722394861</v>
      </c>
      <c r="AP39" s="53" t="n">
        <f aca="false">AP21*Ratio!AP54</f>
        <v>0.753868289720418</v>
      </c>
      <c r="AQ39" s="94" t="n">
        <f aca="false">AQ21*Ratio!AQ54</f>
        <v>0.707179321881849</v>
      </c>
    </row>
    <row r="40" customFormat="false" ht="12.8" hidden="false" customHeight="false" outlineLevel="0" collapsed="false">
      <c r="A40" s="139" t="s">
        <v>196</v>
      </c>
      <c r="B40" s="65" t="n">
        <f aca="false">B22*Ratio!B55</f>
        <v>0.459695373937805</v>
      </c>
      <c r="C40" s="65" t="n">
        <f aca="false">C22*Ratio!C55</f>
        <v>0.470077141199229</v>
      </c>
      <c r="D40" s="53" t="n">
        <f aca="false">D22*Ratio!D55</f>
        <v>0.465363929750821</v>
      </c>
      <c r="E40" s="94" t="n">
        <f aca="false">E22*Ratio!E55</f>
        <v>0.117023452640075</v>
      </c>
      <c r="F40" s="53" t="n">
        <f aca="false">F22*Ratio!F55</f>
        <v>0.126165035561057</v>
      </c>
      <c r="G40" s="94" t="n">
        <f aca="false">G22*Ratio!G55</f>
        <v>0.129749031505383</v>
      </c>
      <c r="H40" s="53" t="n">
        <f aca="false">H22*Ratio!H55</f>
        <v>0.12795281203661</v>
      </c>
      <c r="I40" s="66" t="n">
        <f aca="false">I22*Ratio!I55</f>
        <v>0.12939178463986</v>
      </c>
      <c r="J40" s="67" t="n">
        <f aca="false">J22*Ratio!J55</f>
        <v>0.141783218910839</v>
      </c>
      <c r="K40" s="94" t="n">
        <f aca="false">K22*Ratio!K55</f>
        <v>0.0782159446852946</v>
      </c>
      <c r="L40" s="53" t="n">
        <f aca="false">L22*Ratio!L55</f>
        <v>0.146685592132589</v>
      </c>
      <c r="M40" s="94" t="n">
        <f aca="false">M22*Ratio!M55</f>
        <v>0.147161990025539</v>
      </c>
      <c r="N40" s="94" t="n">
        <f aca="false">N22*Ratio!N55</f>
        <v>0.147958792313151</v>
      </c>
      <c r="O40" s="53" t="n">
        <f aca="false">O22*Ratio!O55</f>
        <v>0.145631983654643</v>
      </c>
      <c r="P40" s="68" t="n">
        <f aca="false">P22*Ratio!P55</f>
        <v>0.243431997037397</v>
      </c>
      <c r="Q40" s="67" t="n">
        <f aca="false">Q22*Ratio!Q55</f>
        <v>0.225088125417964</v>
      </c>
      <c r="R40" s="53" t="n">
        <f aca="false">R22*Ratio!R55</f>
        <v>0.247020996580501</v>
      </c>
      <c r="S40" s="94" t="n">
        <f aca="false">S22*Ratio!S55</f>
        <v>0.238080819336629</v>
      </c>
      <c r="T40" s="53" t="n">
        <f aca="false">T22*Ratio!T55</f>
        <v>0.254499634254018</v>
      </c>
      <c r="U40" s="53" t="n">
        <f aca="false">U22*Ratio!U55</f>
        <v>0.199925397884066</v>
      </c>
      <c r="V40" s="94" t="n">
        <f aca="false">V22*Ratio!V55</f>
        <v>0.201580688834328</v>
      </c>
      <c r="W40" s="94" t="n">
        <f aca="false">W22*Ratio!W55</f>
        <v>0.21135588338484</v>
      </c>
      <c r="X40" s="66" t="n">
        <f aca="false">X22*Ratio!X55</f>
        <v>0.195868191369492</v>
      </c>
      <c r="Y40" s="67" t="n">
        <f aca="false">Y22*Ratio!Y55</f>
        <v>0.192499667692009</v>
      </c>
      <c r="Z40" s="53" t="n">
        <f aca="false">Z22*Ratio!Z55</f>
        <v>0.202537745633259</v>
      </c>
      <c r="AA40" s="94" t="n">
        <f aca="false">AA22*Ratio!AA55</f>
        <v>0.196588780716957</v>
      </c>
      <c r="AB40" s="53" t="n">
        <f aca="false">AB22*Ratio!AB55</f>
        <v>0.225355834304384</v>
      </c>
      <c r="AC40" s="68" t="n">
        <f aca="false">AC22*Ratio!AC55</f>
        <v>15.3556722500227</v>
      </c>
      <c r="AD40" s="67" t="n">
        <f aca="false">AD22*Ratio!AD55</f>
        <v>9.04197178469763</v>
      </c>
      <c r="AE40" s="53" t="n">
        <f aca="false">AE22*Ratio!AE55</f>
        <v>7.47153233292296</v>
      </c>
      <c r="AF40" s="94" t="n">
        <f aca="false">AF22*Ratio!AF55</f>
        <v>6.56358266464092</v>
      </c>
      <c r="AG40" s="53" t="n">
        <f aca="false">AG22*Ratio!AG55</f>
        <v>6.93934972558908</v>
      </c>
      <c r="AH40" s="53" t="n">
        <f aca="false">AH22*Ratio!AH55</f>
        <v>-2.79312837746935</v>
      </c>
      <c r="AI40" s="66" t="n">
        <f aca="false">AI22*Ratio!AI55</f>
        <v>-2.272061172002</v>
      </c>
      <c r="AJ40" s="67" t="n">
        <f aca="false">AJ22*Ratio!AJ55</f>
        <v>-0.631017054520835</v>
      </c>
      <c r="AK40" s="53" t="n">
        <f aca="false">AK22*Ratio!AK55</f>
        <v>-0.829504735705183</v>
      </c>
      <c r="AL40" s="94" t="n">
        <f aca="false">AL22*Ratio!AL55</f>
        <v>-1.14142558076274</v>
      </c>
      <c r="AM40" s="53" t="n">
        <f aca="false">AM22*Ratio!AM55</f>
        <v>-1.95106519612393</v>
      </c>
      <c r="AN40" s="68" t="n">
        <f aca="false">AN22*Ratio!AN55</f>
        <v>0.133067486127445</v>
      </c>
      <c r="AO40" s="67" t="n">
        <f aca="false">AO22*Ratio!AO55</f>
        <v>0.1383588663729</v>
      </c>
      <c r="AP40" s="53" t="n">
        <f aca="false">AP22*Ratio!AP55</f>
        <v>0.201336343981025</v>
      </c>
      <c r="AQ40" s="94" t="n">
        <f aca="false">AQ22*Ratio!AQ55</f>
        <v>0.207486930329313</v>
      </c>
    </row>
    <row r="41" customFormat="false" ht="12.8" hidden="false" customHeight="false" outlineLevel="0" collapsed="false">
      <c r="B41" s="65"/>
      <c r="C41" s="65"/>
      <c r="D41" s="53"/>
      <c r="E41" s="94"/>
      <c r="F41" s="53"/>
      <c r="G41" s="94"/>
      <c r="H41" s="53"/>
      <c r="I41" s="66"/>
      <c r="J41" s="67"/>
      <c r="K41" s="94"/>
      <c r="L41" s="53"/>
      <c r="M41" s="94"/>
      <c r="N41" s="94"/>
      <c r="O41" s="53"/>
      <c r="P41" s="68"/>
      <c r="Q41" s="67"/>
      <c r="R41" s="53"/>
      <c r="S41" s="94"/>
      <c r="T41" s="53"/>
      <c r="U41" s="53"/>
      <c r="V41" s="94"/>
      <c r="W41" s="94"/>
      <c r="X41" s="66"/>
      <c r="Y41" s="67"/>
      <c r="Z41" s="53"/>
      <c r="AA41" s="94"/>
      <c r="AB41" s="53"/>
      <c r="AC41" s="68"/>
      <c r="AD41" s="67"/>
      <c r="AE41" s="53"/>
      <c r="AF41" s="94"/>
      <c r="AG41" s="53"/>
      <c r="AH41" s="53"/>
      <c r="AI41" s="66"/>
      <c r="AJ41" s="67"/>
      <c r="AK41" s="53"/>
      <c r="AL41" s="94"/>
      <c r="AM41" s="53"/>
      <c r="AN41" s="68"/>
      <c r="AO41" s="67"/>
      <c r="AP41" s="53"/>
      <c r="AQ41" s="94"/>
    </row>
    <row r="42" customFormat="false" ht="12.8" hidden="false" customHeight="false" outlineLevel="0" collapsed="false">
      <c r="A42" s="1" t="s">
        <v>102</v>
      </c>
      <c r="B42" s="65"/>
      <c r="C42" s="65"/>
      <c r="D42" s="53"/>
      <c r="E42" s="94"/>
      <c r="F42" s="53"/>
      <c r="G42" s="94"/>
      <c r="H42" s="53"/>
      <c r="I42" s="66"/>
      <c r="J42" s="67"/>
      <c r="K42" s="94"/>
      <c r="L42" s="53"/>
      <c r="M42" s="94"/>
      <c r="N42" s="94"/>
      <c r="O42" s="53"/>
      <c r="P42" s="68"/>
      <c r="Q42" s="67"/>
      <c r="R42" s="53"/>
      <c r="S42" s="94"/>
      <c r="T42" s="53"/>
      <c r="U42" s="53"/>
      <c r="V42" s="94"/>
      <c r="W42" s="94"/>
      <c r="X42" s="66"/>
      <c r="Y42" s="67"/>
      <c r="Z42" s="53"/>
      <c r="AA42" s="94"/>
      <c r="AB42" s="53"/>
      <c r="AC42" s="68"/>
      <c r="AD42" s="67"/>
      <c r="AE42" s="53"/>
      <c r="AF42" s="94"/>
      <c r="AG42" s="53"/>
      <c r="AH42" s="53"/>
      <c r="AI42" s="66"/>
      <c r="AJ42" s="67"/>
      <c r="AK42" s="53"/>
      <c r="AL42" s="94"/>
      <c r="AM42" s="53"/>
      <c r="AN42" s="68"/>
      <c r="AO42" s="67"/>
      <c r="AP42" s="53"/>
      <c r="AQ42" s="94"/>
    </row>
    <row r="43" customFormat="false" ht="12.8" hidden="false" customHeight="false" outlineLevel="0" collapsed="false">
      <c r="A43" s="139" t="s">
        <v>30</v>
      </c>
      <c r="B43" s="65" t="n">
        <f aca="false">B16*Ratio!B66</f>
        <v>1.93882379638591</v>
      </c>
      <c r="C43" s="65" t="n">
        <f aca="false">C16*Ratio!C66</f>
        <v>1.76367496792538</v>
      </c>
      <c r="D43" s="53" t="n">
        <f aca="false">D16*Ratio!D66</f>
        <v>1.76884080864655</v>
      </c>
      <c r="E43" s="94" t="n">
        <f aca="false">E16*Ratio!E66</f>
        <v>1.5337055832508</v>
      </c>
      <c r="F43" s="53" t="n">
        <f aca="false">F16*Ratio!F66</f>
        <v>1.52956221234832</v>
      </c>
      <c r="G43" s="94" t="n">
        <f aca="false">G16*Ratio!G66</f>
        <v>1.56565700502923</v>
      </c>
      <c r="H43" s="53" t="n">
        <f aca="false">H16*Ratio!H66</f>
        <v>1.65346456325487</v>
      </c>
      <c r="I43" s="66" t="n">
        <f aca="false">I16*Ratio!I66</f>
        <v>1.55104001524051</v>
      </c>
      <c r="J43" s="67" t="n">
        <f aca="false">J16*Ratio!J66</f>
        <v>1.42424673248929</v>
      </c>
      <c r="K43" s="94" t="n">
        <f aca="false">K16*Ratio!K66</f>
        <v>1.47170763082904</v>
      </c>
      <c r="L43" s="53" t="n">
        <f aca="false">L16*Ratio!L66</f>
        <v>1.40474200830704</v>
      </c>
      <c r="M43" s="94" t="n">
        <f aca="false">M16*Ratio!M66</f>
        <v>1.40580593182299</v>
      </c>
      <c r="N43" s="94" t="n">
        <f aca="false">N16*Ratio!N66</f>
        <v>1.39754439931054</v>
      </c>
      <c r="O43" s="53" t="n">
        <f aca="false">O16*Ratio!O66</f>
        <v>1.34898919835989</v>
      </c>
      <c r="P43" s="68" t="n">
        <f aca="false">P16*Ratio!P66</f>
        <v>1.53504075330058</v>
      </c>
      <c r="Q43" s="67" t="n">
        <f aca="false">Q16*Ratio!Q66</f>
        <v>1.54820770078493</v>
      </c>
      <c r="R43" s="53" t="n">
        <f aca="false">R16*Ratio!R66</f>
        <v>1.52580187322916</v>
      </c>
      <c r="S43" s="94" t="n">
        <f aca="false">S16*Ratio!S66</f>
        <v>1.60719814712722</v>
      </c>
      <c r="T43" s="53" t="n">
        <f aca="false">T16*Ratio!T66</f>
        <v>1.57137738075847</v>
      </c>
      <c r="U43" s="53" t="n">
        <f aca="false">U16*Ratio!U66</f>
        <v>1.86751400782383</v>
      </c>
      <c r="V43" s="94" t="n">
        <f aca="false">V16*Ratio!V66</f>
        <v>1.71453942040497</v>
      </c>
      <c r="W43" s="94" t="n">
        <f aca="false">W16*Ratio!W66</f>
        <v>1.63023038550727</v>
      </c>
      <c r="X43" s="66" t="n">
        <f aca="false">X16*Ratio!X66</f>
        <v>1.85044254346906</v>
      </c>
      <c r="Y43" s="67" t="n">
        <f aca="false">Y16*Ratio!Y66</f>
        <v>1.68648690047239</v>
      </c>
      <c r="Z43" s="53" t="n">
        <f aca="false">Z16*Ratio!Z66</f>
        <v>1.56921771400497</v>
      </c>
      <c r="AA43" s="94" t="n">
        <f aca="false">AA16*Ratio!AA66</f>
        <v>1.64001877676011</v>
      </c>
      <c r="AB43" s="53" t="n">
        <f aca="false">AB16*Ratio!AB66</f>
        <v>1.4022175802181</v>
      </c>
      <c r="AC43" s="68" t="n">
        <f aca="false">AC16*Ratio!AC66</f>
        <v>1.4537706879527</v>
      </c>
      <c r="AD43" s="67" t="n">
        <f aca="false">AD16*Ratio!AD66</f>
        <v>1.38028339473875</v>
      </c>
      <c r="AE43" s="53" t="n">
        <f aca="false">AE16*Ratio!AE66</f>
        <v>1.37672764052594</v>
      </c>
      <c r="AF43" s="94" t="n">
        <f aca="false">AF16*Ratio!AF66</f>
        <v>1.44808144856504</v>
      </c>
      <c r="AG43" s="53" t="n">
        <f aca="false">AG16*Ratio!AG66</f>
        <v>1.26117388591367</v>
      </c>
      <c r="AH43" s="53" t="n">
        <f aca="false">AH16*Ratio!AH66</f>
        <v>1.07721567496501</v>
      </c>
      <c r="AI43" s="66" t="n">
        <f aca="false">AI16*Ratio!AI66</f>
        <v>1.66042073109478</v>
      </c>
      <c r="AJ43" s="67" t="n">
        <f aca="false">AJ16*Ratio!AJ66</f>
        <v>1.57522805915427</v>
      </c>
      <c r="AK43" s="53" t="n">
        <f aca="false">AK16*Ratio!AK66</f>
        <v>1.55440179640989</v>
      </c>
      <c r="AL43" s="94" t="n">
        <f aca="false">AL16*Ratio!AL66</f>
        <v>1.50769569493668</v>
      </c>
      <c r="AM43" s="53" t="n">
        <f aca="false">AM16*Ratio!AM66</f>
        <v>1.24767899592982</v>
      </c>
      <c r="AN43" s="68" t="n">
        <f aca="false">AN16*Ratio!AN66</f>
        <v>1.44827173436821</v>
      </c>
      <c r="AO43" s="67" t="n">
        <f aca="false">AO16*Ratio!AO66</f>
        <v>1.47945728625258</v>
      </c>
      <c r="AP43" s="53" t="n">
        <f aca="false">AP16*Ratio!AP66</f>
        <v>1.43274968759252</v>
      </c>
      <c r="AQ43" s="94" t="n">
        <f aca="false">AQ16*Ratio!AQ66</f>
        <v>1.39653558154477</v>
      </c>
    </row>
    <row r="44" customFormat="false" ht="12.8" hidden="false" customHeight="false" outlineLevel="0" collapsed="false">
      <c r="A44" s="139" t="s">
        <v>29</v>
      </c>
      <c r="B44" s="65" t="n">
        <f aca="false">B17*Ratio!B73</f>
        <v>0.164793084965039</v>
      </c>
      <c r="C44" s="65" t="n">
        <f aca="false">C17*Ratio!C73</f>
        <v>0.152064257108051</v>
      </c>
      <c r="D44" s="53" t="n">
        <f aca="false">D17*Ratio!D73</f>
        <v>0.150539590335983</v>
      </c>
      <c r="E44" s="94" t="n">
        <f aca="false">E17*Ratio!E73</f>
        <v>0.163301136918492</v>
      </c>
      <c r="F44" s="53" t="n">
        <f aca="false">F17*Ratio!F73</f>
        <v>0.107248315775754</v>
      </c>
      <c r="G44" s="94" t="n">
        <f aca="false">G17*Ratio!G73</f>
        <v>0.14064298918658</v>
      </c>
      <c r="H44" s="53" t="n">
        <f aca="false">H17*Ratio!H73</f>
        <v>0.126083799204811</v>
      </c>
      <c r="I44" s="66" t="n">
        <f aca="false">I17*Ratio!I73</f>
        <v>0.115769261501663</v>
      </c>
      <c r="J44" s="67" t="n">
        <f aca="false">J17*Ratio!J73</f>
        <v>0.112876501039042</v>
      </c>
      <c r="K44" s="94" t="n">
        <f aca="false">K17*Ratio!K73</f>
        <v>0.103008906185057</v>
      </c>
      <c r="L44" s="53" t="n">
        <f aca="false">L17*Ratio!L73</f>
        <v>0.0975524361419743</v>
      </c>
      <c r="M44" s="94" t="n">
        <f aca="false">M17*Ratio!M73</f>
        <v>0.0978692619075763</v>
      </c>
      <c r="N44" s="94" t="n">
        <f aca="false">N17*Ratio!N73</f>
        <v>0.0871632793524582</v>
      </c>
      <c r="O44" s="53" t="n">
        <f aca="false">O17*Ratio!O73</f>
        <v>0.0857285123194557</v>
      </c>
      <c r="P44" s="68" t="n">
        <f aca="false">P17*Ratio!P73</f>
        <v>0.0879618561838416</v>
      </c>
      <c r="Q44" s="67" t="n">
        <f aca="false">Q17*Ratio!Q73</f>
        <v>0.103240207849644</v>
      </c>
      <c r="R44" s="53" t="n">
        <f aca="false">R17*Ratio!R73</f>
        <v>0.117010426124364</v>
      </c>
      <c r="S44" s="94" t="n">
        <f aca="false">S17*Ratio!S73</f>
        <v>0.112775587938891</v>
      </c>
      <c r="T44" s="53" t="n">
        <f aca="false">T17*Ratio!T73</f>
        <v>0.101794438665681</v>
      </c>
      <c r="U44" s="53" t="n">
        <f aca="false">U17*Ratio!U73</f>
        <v>0.091463506611002</v>
      </c>
      <c r="V44" s="94" t="n">
        <f aca="false">V17*Ratio!V73</f>
        <v>0.113293603803199</v>
      </c>
      <c r="W44" s="94" t="n">
        <f aca="false">W17*Ratio!W73</f>
        <v>0.11878751805118</v>
      </c>
      <c r="X44" s="66" t="n">
        <f aca="false">X17*Ratio!X73</f>
        <v>0.110083031261501</v>
      </c>
      <c r="Y44" s="67" t="n">
        <f aca="false">Y17*Ratio!Y73</f>
        <v>0.132593862438576</v>
      </c>
      <c r="Z44" s="53" t="n">
        <f aca="false">Z17*Ratio!Z73</f>
        <v>0.150940756994954</v>
      </c>
      <c r="AA44" s="94" t="n">
        <f aca="false">AA17*Ratio!AA73</f>
        <v>0.141936368191713</v>
      </c>
      <c r="AB44" s="53" t="n">
        <f aca="false">AB17*Ratio!AB73</f>
        <v>0.168767652887341</v>
      </c>
      <c r="AC44" s="68" t="n">
        <f aca="false">AC17*Ratio!AC73</f>
        <v>0.160083665808076</v>
      </c>
      <c r="AD44" s="67" t="n">
        <f aca="false">AD17*Ratio!AD73</f>
        <v>0.185604002098467</v>
      </c>
      <c r="AE44" s="53" t="n">
        <f aca="false">AE17*Ratio!AE73</f>
        <v>0.144025007530819</v>
      </c>
      <c r="AF44" s="94" t="n">
        <f aca="false">AF17*Ratio!AF73</f>
        <v>0.128942036736557</v>
      </c>
      <c r="AG44" s="53" t="n">
        <f aca="false">AG17*Ratio!AG73</f>
        <v>0.127536154774975</v>
      </c>
      <c r="AH44" s="53" t="n">
        <f aca="false">AH17*Ratio!AH73</f>
        <v>0.150301536378243</v>
      </c>
      <c r="AI44" s="66" t="n">
        <f aca="false">AI17*Ratio!AI73</f>
        <v>0.120802459518253</v>
      </c>
      <c r="AJ44" s="67" t="n">
        <f aca="false">AJ17*Ratio!AJ73</f>
        <v>0.111583887359763</v>
      </c>
      <c r="AK44" s="53" t="n">
        <f aca="false">AK17*Ratio!AK73</f>
        <v>0.119535831430613</v>
      </c>
      <c r="AL44" s="94" t="n">
        <f aca="false">AL17*Ratio!AL73</f>
        <v>0.129375180166449</v>
      </c>
      <c r="AM44" s="53" t="n">
        <f aca="false">AM17*Ratio!AM73</f>
        <v>0.125572651450262</v>
      </c>
      <c r="AN44" s="68" t="n">
        <f aca="false">AN17*Ratio!AN73</f>
        <v>0.134772873158459</v>
      </c>
      <c r="AO44" s="67" t="n">
        <f aca="false">AO17*Ratio!AO73</f>
        <v>0.119015251824396</v>
      </c>
      <c r="AP44" s="53" t="n">
        <f aca="false">AP17*Ratio!AP73</f>
        <v>0.107524471042772</v>
      </c>
      <c r="AQ44" s="94" t="n">
        <f aca="false">AQ17*Ratio!AQ73</f>
        <v>0.105903149701525</v>
      </c>
    </row>
    <row r="45" customFormat="false" ht="12.8" hidden="false" customHeight="false" outlineLevel="0" collapsed="false">
      <c r="A45" s="139" t="s">
        <v>188</v>
      </c>
      <c r="B45" s="65" t="n">
        <f aca="false">B18*Ratio!B76</f>
        <v>0.0284715645757319</v>
      </c>
      <c r="C45" s="65" t="n">
        <f aca="false">C18*Ratio!C76</f>
        <v>0.0288574858103302</v>
      </c>
      <c r="D45" s="53" t="n">
        <f aca="false">D18*Ratio!D76</f>
        <v>0.0285681472729435</v>
      </c>
      <c r="E45" s="94" t="n">
        <f aca="false">E18*Ratio!E76</f>
        <v>0.0286346205474896</v>
      </c>
      <c r="F45" s="53" t="n">
        <f aca="false">F18*Ratio!F76</f>
        <v>0.030871486340117</v>
      </c>
      <c r="G45" s="94" t="n">
        <f aca="false">G18*Ratio!G76</f>
        <v>0.0357412082133121</v>
      </c>
      <c r="H45" s="53" t="n">
        <f aca="false">H18*Ratio!H76</f>
        <v>0.0354815201802295</v>
      </c>
      <c r="I45" s="66" t="n">
        <f aca="false">I18*Ratio!I76</f>
        <v>0.0316706229923772</v>
      </c>
      <c r="J45" s="67" t="n">
        <f aca="false">J18*Ratio!J76</f>
        <v>0.0347149956704871</v>
      </c>
      <c r="K45" s="94" t="n">
        <f aca="false">K18*Ratio!K76</f>
        <v>0.0224991406999421</v>
      </c>
      <c r="L45" s="53" t="n">
        <f aca="false">L18*Ratio!L76</f>
        <v>0.0320238425837727</v>
      </c>
      <c r="M45" s="94" t="n">
        <f aca="false">M18*Ratio!M76</f>
        <v>0.0321278479663687</v>
      </c>
      <c r="N45" s="94" t="n">
        <f aca="false">N18*Ratio!N76</f>
        <v>0.0316213729701547</v>
      </c>
      <c r="O45" s="53" t="n">
        <f aca="false">O18*Ratio!O76</f>
        <v>0.0311459387023855</v>
      </c>
      <c r="P45" s="68" t="n">
        <f aca="false">P18*Ratio!P76</f>
        <v>0.0339527881866286</v>
      </c>
      <c r="Q45" s="67" t="n">
        <f aca="false">Q18*Ratio!Q76</f>
        <v>0.0323101529021231</v>
      </c>
      <c r="R45" s="53" t="n">
        <f aca="false">R18*Ratio!R76</f>
        <v>0.0301604463019221</v>
      </c>
      <c r="S45" s="94" t="n">
        <f aca="false">S18*Ratio!S76</f>
        <v>0.0290688802430603</v>
      </c>
      <c r="T45" s="53" t="n">
        <f aca="false">T18*Ratio!T76</f>
        <v>0.0273692489542706</v>
      </c>
      <c r="U45" s="53" t="n">
        <f aca="false">U18*Ratio!U76</f>
        <v>0.0334436470199222</v>
      </c>
      <c r="V45" s="94" t="n">
        <f aca="false">V18*Ratio!V76</f>
        <v>0.0337205451371286</v>
      </c>
      <c r="W45" s="94" t="n">
        <f aca="false">W18*Ratio!W76</f>
        <v>0.0353557458647919</v>
      </c>
      <c r="X45" s="66" t="n">
        <f aca="false">X18*Ratio!X76</f>
        <v>0.0327649549477973</v>
      </c>
      <c r="Y45" s="67" t="n">
        <f aca="false">Y18*Ratio!Y76</f>
        <v>0.0322014661762839</v>
      </c>
      <c r="Z45" s="53" t="n">
        <f aca="false">Z18*Ratio!Z76</f>
        <v>0.0329991923637774</v>
      </c>
      <c r="AA45" s="94" t="n">
        <f aca="false">AA18*Ratio!AA76</f>
        <v>0.0312678341255164</v>
      </c>
      <c r="AB45" s="53" t="n">
        <f aca="false">AB18*Ratio!AB76</f>
        <v>0.0325834674506942</v>
      </c>
      <c r="AC45" s="68" t="n">
        <f aca="false">AC18*Ratio!AC76</f>
        <v>0.0331777652605174</v>
      </c>
      <c r="AD45" s="67" t="n">
        <f aca="false">AD18*Ratio!AD76</f>
        <v>0.0287627072401637</v>
      </c>
      <c r="AE45" s="53" t="n">
        <f aca="false">AE18*Ratio!AE76</f>
        <v>0.0304901774364217</v>
      </c>
      <c r="AF45" s="94" t="n">
        <f aca="false">AF18*Ratio!AF76</f>
        <v>0.030083786961249</v>
      </c>
      <c r="AG45" s="53" t="n">
        <f aca="false">AG18*Ratio!AG76</f>
        <v>0.0376658618726589</v>
      </c>
      <c r="AH45" s="53" t="n">
        <f aca="false">AH18*Ratio!AH76</f>
        <v>0.04660927561994</v>
      </c>
      <c r="AI45" s="66" t="n">
        <f aca="false">AI18*Ratio!AI76</f>
        <v>0.0464266786901148</v>
      </c>
      <c r="AJ45" s="67" t="n">
        <f aca="false">AJ18*Ratio!AJ76</f>
        <v>0.0545020181753214</v>
      </c>
      <c r="AK45" s="53" t="n">
        <f aca="false">AK18*Ratio!AK76</f>
        <v>0.0528964520355134</v>
      </c>
      <c r="AL45" s="94" t="n">
        <f aca="false">AL18*Ratio!AL76</f>
        <v>0.0546145591836446</v>
      </c>
      <c r="AM45" s="53" t="n">
        <f aca="false">AM18*Ratio!AM76</f>
        <v>0.0660572739052545</v>
      </c>
      <c r="AN45" s="68" t="n">
        <f aca="false">AN18*Ratio!AN76</f>
        <v>0.0680652567701955</v>
      </c>
      <c r="AO45" s="67" t="n">
        <f aca="false">AO18*Ratio!AO76</f>
        <v>0.0540834103023003</v>
      </c>
      <c r="AP45" s="53" t="n">
        <f aca="false">AP18*Ratio!AP76</f>
        <v>0.0533963330377061</v>
      </c>
      <c r="AQ45" s="94" t="n">
        <f aca="false">AQ18*Ratio!AQ76</f>
        <v>0.0571535541574642</v>
      </c>
    </row>
    <row r="46" customFormat="false" ht="12.8" hidden="false" customHeight="false" outlineLevel="0" collapsed="false">
      <c r="A46" s="139" t="s">
        <v>190</v>
      </c>
      <c r="B46" s="65" t="n">
        <f aca="false">B19*Ratio!B78</f>
        <v>0.0186152333161495</v>
      </c>
      <c r="C46" s="65" t="n">
        <f aca="false">C19*Ratio!C78</f>
        <v>0.0188784981981568</v>
      </c>
      <c r="D46" s="53" t="n">
        <f aca="false">D19*Ratio!D78</f>
        <v>0.0186892136190145</v>
      </c>
      <c r="E46" s="94" t="n">
        <f aca="false">E19*Ratio!E78</f>
        <v>0.0187327002762373</v>
      </c>
      <c r="F46" s="53" t="n">
        <f aca="false">F19*Ratio!F78</f>
        <v>0.0201960525278225</v>
      </c>
      <c r="G46" s="94" t="n">
        <f aca="false">G19*Ratio!G78</f>
        <v>0.0218409180586186</v>
      </c>
      <c r="H46" s="53" t="n">
        <f aca="false">H19*Ratio!H78</f>
        <v>0.020437613829466</v>
      </c>
      <c r="I46" s="66" t="n">
        <f aca="false">I19*Ratio!I78</f>
        <v>0.0207134108741883</v>
      </c>
      <c r="J46" s="67" t="n">
        <f aca="false">J19*Ratio!J78</f>
        <v>0.0185445818911479</v>
      </c>
      <c r="K46" s="94" t="n">
        <f aca="false">K19*Ratio!K78</f>
        <v>0.0133968998169217</v>
      </c>
      <c r="L46" s="53" t="n">
        <f aca="false">L19*Ratio!L78</f>
        <v>0.019185789379383</v>
      </c>
      <c r="M46" s="94" t="n">
        <f aca="false">M19*Ratio!M78</f>
        <v>0.0192480999955931</v>
      </c>
      <c r="N46" s="94" t="n">
        <f aca="false">N19*Ratio!N78</f>
        <v>0.0193523180080432</v>
      </c>
      <c r="O46" s="53" t="n">
        <f aca="false">O19*Ratio!O78</f>
        <v>0.0189203707037309</v>
      </c>
      <c r="P46" s="68" t="n">
        <f aca="false">P19*Ratio!P78</f>
        <v>0.021728735108424</v>
      </c>
      <c r="Q46" s="67" t="n">
        <f aca="false">Q19*Ratio!Q78</f>
        <v>0.0223719754641908</v>
      </c>
      <c r="R46" s="53" t="n">
        <f aca="false">R19*Ratio!R78</f>
        <v>0.0249565656802278</v>
      </c>
      <c r="S46" s="94" t="n">
        <f aca="false">S19*Ratio!S78</f>
        <v>0.024056254149664</v>
      </c>
      <c r="T46" s="53" t="n">
        <f aca="false">T19*Ratio!T78</f>
        <v>0.0243064673837677</v>
      </c>
      <c r="U46" s="53" t="n">
        <f aca="false">U19*Ratio!U78</f>
        <v>0.0248870405155429</v>
      </c>
      <c r="V46" s="94" t="n">
        <f aca="false">V19*Ratio!V78</f>
        <v>0.0315449453327983</v>
      </c>
      <c r="W46" s="94" t="n">
        <f aca="false">W19*Ratio!W78</f>
        <v>0.0330746453228941</v>
      </c>
      <c r="X46" s="66" t="n">
        <f aca="false">X19*Ratio!X78</f>
        <v>0.0306510084121337</v>
      </c>
      <c r="Y46" s="67" t="n">
        <f aca="false">Y19*Ratio!Y78</f>
        <v>0.0301075941292063</v>
      </c>
      <c r="Z46" s="53" t="n">
        <f aca="false">Z19*Ratio!Z78</f>
        <v>0.0332149353320672</v>
      </c>
      <c r="AA46" s="94" t="n">
        <f aca="false">AA19*Ratio!AA78</f>
        <v>0.0267188001766684</v>
      </c>
      <c r="AB46" s="53" t="n">
        <f aca="false">AB19*Ratio!AB78</f>
        <v>0.0296473530317757</v>
      </c>
      <c r="AC46" s="68" t="n">
        <f aca="false">AC19*Ratio!AC78</f>
        <v>0.0332800012564007</v>
      </c>
      <c r="AD46" s="67" t="n">
        <f aca="false">AD19*Ratio!AD78</f>
        <v>0.0325744909174951</v>
      </c>
      <c r="AE46" s="53" t="n">
        <f aca="false">AE19*Ratio!AE78</f>
        <v>0.0333643408912491</v>
      </c>
      <c r="AF46" s="94" t="n">
        <f aca="false">AF19*Ratio!AF78</f>
        <v>0.0329196419262499</v>
      </c>
      <c r="AG46" s="53" t="n">
        <f aca="false">AG19*Ratio!AG78</f>
        <v>0.032806391953804</v>
      </c>
      <c r="AH46" s="53" t="n">
        <f aca="false">AH19*Ratio!AH78</f>
        <v>0.0538753708234261</v>
      </c>
      <c r="AI46" s="66" t="n">
        <f aca="false">AI19*Ratio!AI78</f>
        <v>0.0438247447423168</v>
      </c>
      <c r="AJ46" s="67" t="n">
        <f aca="false">AJ19*Ratio!AJ78</f>
        <v>0.05564124378759</v>
      </c>
      <c r="AK46" s="53" t="n">
        <f aca="false">AK19*Ratio!AK78</f>
        <v>0.054213062954949</v>
      </c>
      <c r="AL46" s="94" t="n">
        <f aca="false">AL19*Ratio!AL78</f>
        <v>0.0584713509581784</v>
      </c>
      <c r="AM46" s="53" t="n">
        <f aca="false">AM19*Ratio!AM78</f>
        <v>0.0676526255054881</v>
      </c>
      <c r="AN46" s="68" t="n">
        <f aca="false">AN19*Ratio!AN78</f>
        <v>0.0810914549284341</v>
      </c>
      <c r="AO46" s="67" t="n">
        <f aca="false">AO19*Ratio!AO78</f>
        <v>0.0901744167244841</v>
      </c>
      <c r="AP46" s="53" t="n">
        <f aca="false">AP19*Ratio!AP78</f>
        <v>0.0908957093601875</v>
      </c>
      <c r="AQ46" s="94" t="n">
        <f aca="false">AQ19*Ratio!AQ78</f>
        <v>0.0857879059348451</v>
      </c>
    </row>
    <row r="47" customFormat="false" ht="12.8" hidden="false" customHeight="false" outlineLevel="0" collapsed="false">
      <c r="A47" s="139" t="s">
        <v>194</v>
      </c>
      <c r="B47" s="65" t="n">
        <f aca="false">B20*Ratio!B83</f>
        <v>0.0157232665233014</v>
      </c>
      <c r="C47" s="65" t="n">
        <f aca="false">C20*Ratio!C83</f>
        <v>0.0159363894239572</v>
      </c>
      <c r="D47" s="53" t="n">
        <f aca="false">D20*Ratio!D83</f>
        <v>0.0157766037919912</v>
      </c>
      <c r="E47" s="94" t="n">
        <f aca="false">E20*Ratio!E83</f>
        <v>0.0158133132959451</v>
      </c>
      <c r="F47" s="53" t="n">
        <f aca="false">F20*Ratio!F83</f>
        <v>0.0174857268178625</v>
      </c>
      <c r="G47" s="94" t="n">
        <f aca="false">G20*Ratio!G83</f>
        <v>0.017982447432414</v>
      </c>
      <c r="H47" s="53" t="n">
        <f aca="false">H20*Ratio!H83</f>
        <v>0.0178517907860057</v>
      </c>
      <c r="I47" s="66" t="n">
        <f aca="false">I20*Ratio!I83</f>
        <v>0.0160843427440756</v>
      </c>
      <c r="J47" s="67" t="n">
        <f aca="false">J20*Ratio!J83</f>
        <v>0.0176246884194974</v>
      </c>
      <c r="K47" s="94" t="n">
        <f aca="false">K20*Ratio!K83</f>
        <v>0.0170718642774544</v>
      </c>
      <c r="L47" s="53" t="n">
        <f aca="false">L20*Ratio!L83</f>
        <v>0.0171873778619888</v>
      </c>
      <c r="M47" s="94" t="n">
        <f aca="false">M20*Ratio!M83</f>
        <v>0.0172431981404479</v>
      </c>
      <c r="N47" s="94" t="n">
        <f aca="false">N20*Ratio!N83</f>
        <v>0.0173365606977337</v>
      </c>
      <c r="O47" s="53" t="n">
        <f aca="false">O20*Ratio!O83</f>
        <v>0.0170639249259111</v>
      </c>
      <c r="P47" s="68" t="n">
        <f aca="false">P20*Ratio!P83</f>
        <v>0.0172531293715276</v>
      </c>
      <c r="Q47" s="67" t="n">
        <f aca="false">Q20*Ratio!Q83</f>
        <v>0.0177638774210415</v>
      </c>
      <c r="R47" s="53" t="n">
        <f aca="false">R20*Ratio!R83</f>
        <v>0.0186355826021407</v>
      </c>
      <c r="S47" s="94" t="n">
        <f aca="false">S20*Ratio!S83</f>
        <v>0.0179611240993726</v>
      </c>
      <c r="T47" s="53" t="n">
        <f aca="false">T20*Ratio!T83</f>
        <v>0.0181479408382166</v>
      </c>
      <c r="U47" s="53" t="n">
        <f aca="false">U20*Ratio!U83</f>
        <v>0.0186914361543156</v>
      </c>
      <c r="V47" s="94" t="n">
        <f aca="false">V20*Ratio!V83</f>
        <v>0.0188461927057147</v>
      </c>
      <c r="W47" s="94" t="n">
        <f aca="false">W20*Ratio!W83</f>
        <v>0.0197600957253944</v>
      </c>
      <c r="X47" s="66" t="n">
        <f aca="false">X20*Ratio!X83</f>
        <v>0.0183121195825612</v>
      </c>
      <c r="Y47" s="67" t="n">
        <f aca="false">Y20*Ratio!Y83</f>
        <v>0.0179971893840053</v>
      </c>
      <c r="Z47" s="53" t="n">
        <f aca="false">Z20*Ratio!Z83</f>
        <v>0.0189146419625068</v>
      </c>
      <c r="AA47" s="94" t="n">
        <f aca="false">AA20*Ratio!AA83</f>
        <v>0.0183590786471972</v>
      </c>
      <c r="AB47" s="53" t="n">
        <f aca="false">AB20*Ratio!AB83</f>
        <v>0.0263961193971217</v>
      </c>
      <c r="AC47" s="68" t="n">
        <f aca="false">AC20*Ratio!AC83</f>
        <v>0.0294255332244271</v>
      </c>
      <c r="AD47" s="67" t="n">
        <f aca="false">AD20*Ratio!AD83</f>
        <v>0.0314795818609067</v>
      </c>
      <c r="AE47" s="53" t="n">
        <f aca="false">AE20*Ratio!AE83</f>
        <v>0.0277337204092259</v>
      </c>
      <c r="AF47" s="94" t="n">
        <f aca="false">AF20*Ratio!AF83</f>
        <v>0.0273640695654775</v>
      </c>
      <c r="AG47" s="53" t="n">
        <f aca="false">AG20*Ratio!AG83</f>
        <v>0.028930670691962</v>
      </c>
      <c r="AH47" s="53" t="n">
        <f aca="false">AH20*Ratio!AH83</f>
        <v>0.03416628049957</v>
      </c>
      <c r="AI47" s="66" t="n">
        <f aca="false">AI20*Ratio!AI83</f>
        <v>0.0277924494774332</v>
      </c>
      <c r="AJ47" s="67" t="n">
        <f aca="false">AJ20*Ratio!AJ83</f>
        <v>0.0300406432819507</v>
      </c>
      <c r="AK47" s="53" t="n">
        <f aca="false">AK20*Ratio!AK83</f>
        <v>0.0315347843851156</v>
      </c>
      <c r="AL47" s="94" t="n">
        <f aca="false">AL20*Ratio!AL83</f>
        <v>0.0342718512814488</v>
      </c>
      <c r="AM47" s="53" t="n">
        <f aca="false">AM20*Ratio!AM83</f>
        <v>0.0363445133463832</v>
      </c>
      <c r="AN47" s="68" t="n">
        <f aca="false">AN20*Ratio!AN83</f>
        <v>0.0411274153652265</v>
      </c>
      <c r="AO47" s="67" t="n">
        <f aca="false">AO20*Ratio!AO83</f>
        <v>0.0506548758091853</v>
      </c>
      <c r="AP47" s="53" t="n">
        <f aca="false">AP20*Ratio!AP83</f>
        <v>0.0500113547494962</v>
      </c>
      <c r="AQ47" s="94" t="n">
        <f aca="false">AQ20*Ratio!AQ83</f>
        <v>0.0515391422800506</v>
      </c>
    </row>
    <row r="48" customFormat="false" ht="12.8" hidden="false" customHeight="false" outlineLevel="0" collapsed="false">
      <c r="A48" s="139" t="s">
        <v>195</v>
      </c>
      <c r="B48" s="65" t="n">
        <f aca="false">B21*Ratio!B84</f>
        <v>0.0133575973449721</v>
      </c>
      <c r="C48" s="65" t="n">
        <f aca="false">C21*Ratio!C84</f>
        <v>0.013259061553511</v>
      </c>
      <c r="D48" s="53" t="n">
        <f aca="false">D21*Ratio!D84</f>
        <v>0.0131261200525698</v>
      </c>
      <c r="E48" s="94" t="n">
        <f aca="false">E21*Ratio!E84</f>
        <v>0.0131277653581962</v>
      </c>
      <c r="F48" s="53" t="n">
        <f aca="false">F21*Ratio!F84</f>
        <v>0.0171223478952246</v>
      </c>
      <c r="G48" s="94" t="n">
        <f aca="false">G21*Ratio!G84</f>
        <v>0.0163354879997469</v>
      </c>
      <c r="H48" s="53" t="n">
        <f aca="false">H21*Ratio!H84</f>
        <v>0.0161844128010072</v>
      </c>
      <c r="I48" s="66" t="n">
        <f aca="false">I21*Ratio!I84</f>
        <v>0.016409376459958</v>
      </c>
      <c r="J48" s="67" t="n">
        <f aca="false">J21*Ratio!J84</f>
        <v>0.0205780426290639</v>
      </c>
      <c r="K48" s="94" t="n">
        <f aca="false">K21*Ratio!K84</f>
        <v>0.0102422034360383</v>
      </c>
      <c r="L48" s="53" t="n">
        <f aca="false">L21*Ratio!L84</f>
        <v>0.0218906476141906</v>
      </c>
      <c r="M48" s="94" t="n">
        <f aca="false">M21*Ratio!M84</f>
        <v>0.0219617429293275</v>
      </c>
      <c r="N48" s="94" t="n">
        <f aca="false">N21*Ratio!N84</f>
        <v>0.0220806538451353</v>
      </c>
      <c r="O48" s="53" t="n">
        <f aca="false">O21*Ratio!O84</f>
        <v>0.0223384898764876</v>
      </c>
      <c r="P48" s="68" t="n">
        <f aca="false">P21*Ratio!P84</f>
        <v>0.0218261553733695</v>
      </c>
      <c r="Q48" s="67" t="n">
        <f aca="false">Q21*Ratio!Q84</f>
        <v>0.0276427612219462</v>
      </c>
      <c r="R48" s="53" t="n">
        <f aca="false">R21*Ratio!R84</f>
        <v>0.0289992408691495</v>
      </c>
      <c r="S48" s="94" t="n">
        <f aca="false">S21*Ratio!S84</f>
        <v>0.0279497011259825</v>
      </c>
      <c r="T48" s="53" t="n">
        <f aca="false">T21*Ratio!T84</f>
        <v>0.028240410771277</v>
      </c>
      <c r="U48" s="53" t="n">
        <f aca="false">U21*Ratio!U84</f>
        <v>0.0302322416089686</v>
      </c>
      <c r="V48" s="94" t="n">
        <f aca="false">V21*Ratio!V84</f>
        <v>0.0304825507566362</v>
      </c>
      <c r="W48" s="94" t="n">
        <f aca="false">W21*Ratio!W84</f>
        <v>0.0319607323511384</v>
      </c>
      <c r="X48" s="66" t="n">
        <f aca="false">X21*Ratio!X84</f>
        <v>0.0296187205210816</v>
      </c>
      <c r="Y48" s="67" t="n">
        <f aca="false">Y21*Ratio!Y84</f>
        <v>0.0291093404084945</v>
      </c>
      <c r="Z48" s="53" t="n">
        <f aca="false">Z21*Ratio!Z84</f>
        <v>0.0377806525146001</v>
      </c>
      <c r="AA48" s="94" t="n">
        <f aca="false">AA21*Ratio!AA84</f>
        <v>0.0366709542920707</v>
      </c>
      <c r="AB48" s="53" t="n">
        <f aca="false">AB21*Ratio!AB84</f>
        <v>0.0406806319172038</v>
      </c>
      <c r="AC48" s="68" t="n">
        <f aca="false">AC21*Ratio!AC84</f>
        <v>0.0423229380012903</v>
      </c>
      <c r="AD48" s="67" t="n">
        <f aca="false">AD21*Ratio!AD84</f>
        <v>0.0452772896669109</v>
      </c>
      <c r="AE48" s="53" t="n">
        <f aca="false">AE21*Ratio!AE84</f>
        <v>0.0551268037149161</v>
      </c>
      <c r="AF48" s="94" t="n">
        <f aca="false">AF21*Ratio!AF84</f>
        <v>0.05439204223302</v>
      </c>
      <c r="AG48" s="53" t="n">
        <f aca="false">AG21*Ratio!AG84</f>
        <v>0.0575060028385559</v>
      </c>
      <c r="AH48" s="53" t="n">
        <f aca="false">AH21*Ratio!AH84</f>
        <v>0.0646623860171961</v>
      </c>
      <c r="AI48" s="66" t="n">
        <f aca="false">AI21*Ratio!AI84</f>
        <v>0.052614351156626</v>
      </c>
      <c r="AJ48" s="67" t="n">
        <f aca="false">AJ21*Ratio!AJ84</f>
        <v>0.0489602075525685</v>
      </c>
      <c r="AK48" s="53" t="n">
        <f aca="false">AK21*Ratio!AK84</f>
        <v>0.0429187666976942</v>
      </c>
      <c r="AL48" s="94" t="n">
        <f aca="false">AL21*Ratio!AL84</f>
        <v>0.0401521680567132</v>
      </c>
      <c r="AM48" s="53" t="n">
        <f aca="false">AM21*Ratio!AM84</f>
        <v>0.0400963186515175</v>
      </c>
      <c r="AN48" s="68" t="n">
        <f aca="false">AN21*Ratio!AN84</f>
        <v>0.0429219126632328</v>
      </c>
      <c r="AO48" s="67" t="n">
        <f aca="false">AO21*Ratio!AO84</f>
        <v>0.0341769917155288</v>
      </c>
      <c r="AP48" s="53" t="n">
        <f aca="false">AP21*Ratio!AP84</f>
        <v>0.0320333390752578</v>
      </c>
      <c r="AQ48" s="94" t="n">
        <f aca="false">AQ21*Ratio!AQ84</f>
        <v>0.0300494334537581</v>
      </c>
    </row>
    <row r="49" customFormat="false" ht="12.8" hidden="false" customHeight="false" outlineLevel="0" collapsed="false">
      <c r="A49" s="139" t="s">
        <v>196</v>
      </c>
      <c r="B49" s="65" t="n">
        <f aca="false">B22*Ratio!B85</f>
        <v>0.00315203844467717</v>
      </c>
      <c r="C49" s="65" t="n">
        <f aca="false">C22*Ratio!C85</f>
        <v>0.00322322412847334</v>
      </c>
      <c r="D49" s="53" t="n">
        <f aca="false">D22*Ratio!D85</f>
        <v>0.00319090658836843</v>
      </c>
      <c r="E49" s="94" t="n">
        <f aca="false">E22*Ratio!E85</f>
        <v>0.00417438834190928</v>
      </c>
      <c r="F49" s="53" t="n">
        <f aca="false">F22*Ratio!F85</f>
        <v>0.00450048124304179</v>
      </c>
      <c r="G49" s="94" t="n">
        <f aca="false">G22*Ratio!G85</f>
        <v>0.00462832733329055</v>
      </c>
      <c r="H49" s="53" t="n">
        <f aca="false">H22*Ratio!H85</f>
        <v>0.00456425370154582</v>
      </c>
      <c r="I49" s="66" t="n">
        <f aca="false">I22*Ratio!I85</f>
        <v>0.00461558384369952</v>
      </c>
      <c r="J49" s="67" t="n">
        <f aca="false">J22*Ratio!J85</f>
        <v>0.00505760343544243</v>
      </c>
      <c r="K49" s="94" t="n">
        <f aca="false">K22*Ratio!K85</f>
        <v>0.00279007088134658</v>
      </c>
      <c r="L49" s="53" t="n">
        <f aca="false">L22*Ratio!L85</f>
        <v>0.00523247786584829</v>
      </c>
      <c r="M49" s="94" t="n">
        <f aca="false">M22*Ratio!M85</f>
        <v>0.00524947163731526</v>
      </c>
      <c r="N49" s="94" t="n">
        <f aca="false">N22*Ratio!N85</f>
        <v>0.00527789467650248</v>
      </c>
      <c r="O49" s="53" t="n">
        <f aca="false">O22*Ratio!O85</f>
        <v>0.00519489419481439</v>
      </c>
      <c r="P49" s="68" t="n">
        <f aca="false">P22*Ratio!P85</f>
        <v>0.00538312891388008</v>
      </c>
      <c r="Q49" s="67" t="n">
        <f aca="false">Q22*Ratio!Q85</f>
        <v>0.0049774820518864</v>
      </c>
      <c r="R49" s="53" t="n">
        <f aca="false">R22*Ratio!R85</f>
        <v>0.0054624941881559</v>
      </c>
      <c r="S49" s="94" t="n">
        <f aca="false">S22*Ratio!S85</f>
        <v>0.00526479574587057</v>
      </c>
      <c r="T49" s="53" t="n">
        <f aca="false">T22*Ratio!T85</f>
        <v>0.00562787290248555</v>
      </c>
      <c r="U49" s="53" t="n">
        <f aca="false">U22*Ratio!U85</f>
        <v>0.00526715244507975</v>
      </c>
      <c r="V49" s="94" t="n">
        <f aca="false">V22*Ratio!V85</f>
        <v>0.00531076206080775</v>
      </c>
      <c r="W49" s="94" t="n">
        <f aca="false">W22*Ratio!W85</f>
        <v>0.0055682953228284</v>
      </c>
      <c r="X49" s="66" t="n">
        <f aca="false">X22*Ratio!X85</f>
        <v>0.00516026294809937</v>
      </c>
      <c r="Y49" s="67" t="n">
        <f aca="false">Y22*Ratio!Y85</f>
        <v>0.00507151720637797</v>
      </c>
      <c r="Z49" s="53" t="n">
        <f aca="false">Z22*Ratio!Z85</f>
        <v>0.00533597628627344</v>
      </c>
      <c r="AA49" s="94" t="n">
        <f aca="false">AA22*Ratio!AA85</f>
        <v>0.00517924729918016</v>
      </c>
      <c r="AB49" s="53" t="n">
        <f aca="false">AB22*Ratio!AB85</f>
        <v>0.0059371322815005</v>
      </c>
      <c r="AC49" s="68" t="n">
        <f aca="false">AC22*Ratio!AC85</f>
        <v>0.00790562758980714</v>
      </c>
      <c r="AD49" s="67" t="n">
        <f aca="false">AD22*Ratio!AD85</f>
        <v>0.00465511769484776</v>
      </c>
      <c r="AE49" s="53" t="n">
        <f aca="false">AE22*Ratio!AE85</f>
        <v>0.00384660151555426</v>
      </c>
      <c r="AF49" s="94" t="n">
        <f aca="false">AF22*Ratio!AF85</f>
        <v>0.00337915783540434</v>
      </c>
      <c r="AG49" s="53" t="n">
        <f aca="false">AG22*Ratio!AG85</f>
        <v>0.00357261562715735</v>
      </c>
      <c r="AH49" s="53" t="n">
        <f aca="false">AH22*Ratio!AH85</f>
        <v>0.00547007124141648</v>
      </c>
      <c r="AI49" s="66" t="n">
        <f aca="false">AI22*Ratio!AI85</f>
        <v>0.00444961161683787</v>
      </c>
      <c r="AJ49" s="67" t="n">
        <f aca="false">AJ22*Ratio!AJ85</f>
        <v>0.00123578574856094</v>
      </c>
      <c r="AK49" s="53" t="n">
        <f aca="false">AK22*Ratio!AK85</f>
        <v>0.00162450463645024</v>
      </c>
      <c r="AL49" s="94" t="n">
        <f aca="false">AL22*Ratio!AL85</f>
        <v>0.00223537138282356</v>
      </c>
      <c r="AM49" s="53" t="n">
        <f aca="false">AM22*Ratio!AM85</f>
        <v>0.00382097210623582</v>
      </c>
      <c r="AN49" s="68" t="n">
        <f aca="false">AN22*Ratio!AN85</f>
        <v>0.00388652220164911</v>
      </c>
      <c r="AO49" s="67" t="n">
        <f aca="false">AO22*Ratio!AO85</f>
        <v>0.00404106834511222</v>
      </c>
      <c r="AP49" s="53" t="n">
        <f aca="false">AP22*Ratio!AP85</f>
        <v>0.00588046106267971</v>
      </c>
      <c r="AQ49" s="94" t="n">
        <f aca="false">AQ22*Ratio!AQ85</f>
        <v>0.00606010216879399</v>
      </c>
    </row>
    <row r="51" customFormat="false" ht="12.8" hidden="false" customHeight="false" outlineLevel="0" collapsed="false">
      <c r="A51" s="1" t="s">
        <v>103</v>
      </c>
    </row>
    <row r="52" customFormat="false" ht="12.8" hidden="false" customHeight="false" outlineLevel="0" collapsed="false">
      <c r="A52" s="139" t="s">
        <v>30</v>
      </c>
      <c r="B52" s="97" t="n">
        <f aca="false">B16*Ratio!B96</f>
        <v>10.5540563437004</v>
      </c>
      <c r="C52" s="72" t="n">
        <f aca="false">C16*Ratio!C96</f>
        <v>10.4691376818295</v>
      </c>
      <c r="D52" s="31" t="n">
        <f aca="false">D16*Ratio!D96</f>
        <v>10.6161742541749</v>
      </c>
      <c r="E52" s="96" t="n">
        <f aca="false">E16*Ratio!E96</f>
        <v>10.4910882948608</v>
      </c>
      <c r="F52" s="31" t="n">
        <f aca="false">F16*Ratio!F96</f>
        <v>9.90312624898108</v>
      </c>
      <c r="G52" s="96" t="n">
        <f aca="false">G16*Ratio!G96</f>
        <v>9.72490669445459</v>
      </c>
      <c r="H52" s="31" t="n">
        <f aca="false">H16*Ratio!H96</f>
        <v>10.4894017081165</v>
      </c>
      <c r="I52" s="74" t="n">
        <f aca="false">I16*Ratio!I96</f>
        <v>10.4880249050302</v>
      </c>
      <c r="J52" s="75" t="n">
        <f aca="false">J16*Ratio!J96</f>
        <v>9.39075425652558</v>
      </c>
      <c r="K52" s="72" t="n">
        <f aca="false">K16*Ratio!K96</f>
        <v>9.34685818578178</v>
      </c>
      <c r="L52" s="31" t="n">
        <f aca="false">L16*Ratio!L96</f>
        <v>9.16380359263886</v>
      </c>
      <c r="M52" s="96" t="n">
        <f aca="false">M16*Ratio!M96</f>
        <v>9.12312918695667</v>
      </c>
      <c r="N52" s="96" t="n">
        <f aca="false">N16*Ratio!N96</f>
        <v>9.15366321549277</v>
      </c>
      <c r="O52" s="31" t="n">
        <f aca="false">O16*Ratio!O96</f>
        <v>9.34807736005281</v>
      </c>
      <c r="P52" s="76" t="n">
        <f aca="false">P16*Ratio!P96</f>
        <v>10.0191553262387</v>
      </c>
      <c r="Q52" s="75" t="n">
        <f aca="false">Q16*Ratio!Q96</f>
        <v>9.51488298117882</v>
      </c>
      <c r="R52" s="31" t="n">
        <f aca="false">R16*Ratio!R96</f>
        <v>8.83497893688973</v>
      </c>
      <c r="S52" s="96" t="n">
        <f aca="false">S16*Ratio!S96</f>
        <v>9.3214508537816</v>
      </c>
      <c r="T52" s="31" t="n">
        <f aca="false">T16*Ratio!T96</f>
        <v>9.29670692994053</v>
      </c>
      <c r="U52" s="31" t="n">
        <f aca="false">U16*Ratio!U96</f>
        <v>10.7984340174729</v>
      </c>
      <c r="V52" s="96" t="n">
        <f aca="false">V16*Ratio!V96</f>
        <v>10.3624234527518</v>
      </c>
      <c r="W52" s="96" t="n">
        <f aca="false">W16*Ratio!W96</f>
        <v>9.65691393621351</v>
      </c>
      <c r="X52" s="74" t="n">
        <f aca="false">X16*Ratio!X96</f>
        <v>10.8085030414675</v>
      </c>
      <c r="Y52" s="75" t="n">
        <f aca="false">Y16*Ratio!Y96</f>
        <v>10.884242344736</v>
      </c>
      <c r="Z52" s="31" t="n">
        <f aca="false">Z16*Ratio!Z96</f>
        <v>9.93298638568296</v>
      </c>
      <c r="AA52" s="96" t="n">
        <f aca="false">AA16*Ratio!AA96</f>
        <v>10.5434020465678</v>
      </c>
      <c r="AB52" s="31" t="n">
        <f aca="false">AB16*Ratio!AB96</f>
        <v>8.87778251479171</v>
      </c>
      <c r="AC52" s="76" t="n">
        <f aca="false">AC16*Ratio!AC96</f>
        <v>9.05835766951348</v>
      </c>
      <c r="AD52" s="75" t="n">
        <f aca="false">AD16*Ratio!AD96</f>
        <v>8.35826853088899</v>
      </c>
      <c r="AE52" s="31" t="n">
        <f aca="false">AE16*Ratio!AE96</f>
        <v>7.99400376804755</v>
      </c>
      <c r="AF52" s="96" t="n">
        <f aca="false">AF16*Ratio!AF96</f>
        <v>8.28466694066459</v>
      </c>
      <c r="AG52" s="31" t="n">
        <f aca="false">AG16*Ratio!AG96</f>
        <v>7.61740813777918</v>
      </c>
      <c r="AH52" s="31" t="n">
        <f aca="false">AH16*Ratio!AH96</f>
        <v>6.59758129476558</v>
      </c>
      <c r="AI52" s="74" t="n">
        <f aca="false">AI16*Ratio!AI96</f>
        <v>9.38564765379791</v>
      </c>
      <c r="AJ52" s="75" t="n">
        <f aca="false">AJ16*Ratio!AJ96</f>
        <v>8.53100805898302</v>
      </c>
      <c r="AK52" s="31" t="n">
        <f aca="false">AK16*Ratio!AK96</f>
        <v>7.98362193543692</v>
      </c>
      <c r="AL52" s="96" t="n">
        <f aca="false">AL16*Ratio!AL96</f>
        <v>6.99851738805056</v>
      </c>
      <c r="AM52" s="31" t="n">
        <f aca="false">AM16*Ratio!AM96</f>
        <v>6.15093583444767</v>
      </c>
      <c r="AN52" s="76" t="n">
        <f aca="false">AN16*Ratio!AN96</f>
        <v>6.36300324579143</v>
      </c>
      <c r="AO52" s="75" t="n">
        <f aca="false">AO16*Ratio!AO96</f>
        <v>6.19299777134319</v>
      </c>
      <c r="AP52" s="31" t="n">
        <f aca="false">AP16*Ratio!AP96</f>
        <v>6.32425507376166</v>
      </c>
      <c r="AQ52" s="96" t="n">
        <f aca="false">AQ16*Ratio!AQ96</f>
        <v>6.08660571655163</v>
      </c>
    </row>
    <row r="53" customFormat="false" ht="12.8" hidden="false" customHeight="false" outlineLevel="0" collapsed="false">
      <c r="A53" s="139" t="s">
        <v>29</v>
      </c>
      <c r="B53" s="97" t="n">
        <f aca="false">B17*Ratio!B103</f>
        <v>1.08592155406865</v>
      </c>
      <c r="C53" s="72" t="n">
        <f aca="false">C17*Ratio!C103</f>
        <v>1.00714474458581</v>
      </c>
      <c r="D53" s="31" t="n">
        <f aca="false">D17*Ratio!D103</f>
        <v>0.997046644243651</v>
      </c>
      <c r="E53" s="96" t="n">
        <f aca="false">E17*Ratio!E103</f>
        <v>1.0769374087233</v>
      </c>
      <c r="F53" s="31" t="n">
        <f aca="false">F17*Ratio!F103</f>
        <v>0.728498067252959</v>
      </c>
      <c r="G53" s="96" t="n">
        <f aca="false">G17*Ratio!G103</f>
        <v>1.47137557961968</v>
      </c>
      <c r="H53" s="31" t="n">
        <f aca="false">H17*Ratio!H103</f>
        <v>1.33068442081507</v>
      </c>
      <c r="I53" s="74" t="n">
        <f aca="false">I17*Ratio!I103</f>
        <v>1.23269143643202</v>
      </c>
      <c r="J53" s="75" t="n">
        <f aca="false">J17*Ratio!J103</f>
        <v>1.21511050314137</v>
      </c>
      <c r="K53" s="72" t="n">
        <f aca="false">K17*Ratio!K103</f>
        <v>1.12355904023131</v>
      </c>
      <c r="L53" s="31" t="n">
        <f aca="false">L17*Ratio!L103</f>
        <v>1.06911093554494</v>
      </c>
      <c r="M53" s="96" t="n">
        <f aca="false">M17*Ratio!M103</f>
        <v>1.07258313884465</v>
      </c>
      <c r="N53" s="96" t="n">
        <f aca="false">N17*Ratio!N103</f>
        <v>0.967563261520866</v>
      </c>
      <c r="O53" s="31" t="n">
        <f aca="false">O17*Ratio!O103</f>
        <v>0.951713367551223</v>
      </c>
      <c r="P53" s="76" t="n">
        <f aca="false">P17*Ratio!P103</f>
        <v>0.953859249885595</v>
      </c>
      <c r="Q53" s="75" t="n">
        <f aca="false">Q17*Ratio!Q103</f>
        <v>1.10672546297227</v>
      </c>
      <c r="R53" s="31" t="n">
        <f aca="false">R17*Ratio!R103</f>
        <v>1.24620692536424</v>
      </c>
      <c r="S53" s="96" t="n">
        <f aca="false">S17*Ratio!S103</f>
        <v>1.20110423794282</v>
      </c>
      <c r="T53" s="31" t="n">
        <f aca="false">T17*Ratio!T103</f>
        <v>1.09456888489893</v>
      </c>
      <c r="U53" s="31" t="n">
        <f aca="false">U17*Ratio!U103</f>
        <v>0.827705343335338</v>
      </c>
      <c r="V53" s="96" t="n">
        <f aca="false">V17*Ratio!V103</f>
        <v>1.00794712844576</v>
      </c>
      <c r="W53" s="96" t="n">
        <f aca="false">W17*Ratio!W103</f>
        <v>1.0568252195673</v>
      </c>
      <c r="X53" s="74" t="n">
        <f aca="false">X17*Ratio!X103</f>
        <v>0.979383403174099</v>
      </c>
      <c r="Y53" s="75" t="n">
        <f aca="false">Y17*Ratio!Y103</f>
        <v>1.16157989887696</v>
      </c>
      <c r="Z53" s="31" t="n">
        <f aca="false">Z17*Ratio!Z103</f>
        <v>1.31478080472439</v>
      </c>
      <c r="AA53" s="96" t="n">
        <f aca="false">AA17*Ratio!AA103</f>
        <v>1.23912189054896</v>
      </c>
      <c r="AB53" s="31" t="n">
        <f aca="false">AB17*Ratio!AB103</f>
        <v>1.46623896282204</v>
      </c>
      <c r="AC53" s="76" t="n">
        <f aca="false">AC17*Ratio!AC103</f>
        <v>1.69492020428717</v>
      </c>
      <c r="AD53" s="75" t="n">
        <f aca="false">AD17*Ratio!AD103</f>
        <v>1.95547383973399</v>
      </c>
      <c r="AE53" s="31" t="n">
        <f aca="false">AE17*Ratio!AE103</f>
        <v>1.54815477175499</v>
      </c>
      <c r="AF53" s="96" t="n">
        <f aca="false">AF17*Ratio!AF103</f>
        <v>1.39552966024712</v>
      </c>
      <c r="AG53" s="31" t="n">
        <f aca="false">AG17*Ratio!AG103</f>
        <v>1.38702756306243</v>
      </c>
      <c r="AH53" s="31" t="n">
        <f aca="false">AH17*Ratio!AH103</f>
        <v>2.04157532919446</v>
      </c>
      <c r="AI53" s="74" t="n">
        <f aca="false">AI17*Ratio!AI103</f>
        <v>1.64187444701286</v>
      </c>
      <c r="AJ53" s="75" t="n">
        <f aca="false">AJ17*Ratio!AJ103</f>
        <v>1.52907713335915</v>
      </c>
      <c r="AK53" s="31" t="n">
        <f aca="false">AK17*Ratio!AK103</f>
        <v>1.63625697487658</v>
      </c>
      <c r="AL53" s="96" t="n">
        <f aca="false">AL17*Ratio!AL103</f>
        <v>1.77133468654351</v>
      </c>
      <c r="AM53" s="31" t="n">
        <f aca="false">AM17*Ratio!AM103</f>
        <v>1.72762832677608</v>
      </c>
      <c r="AN53" s="76" t="n">
        <f aca="false">AN17*Ratio!AN103</f>
        <v>1.55569768879178</v>
      </c>
      <c r="AO53" s="75" t="n">
        <f aca="false">AO17*Ratio!AO103</f>
        <v>1.38617984803927</v>
      </c>
      <c r="AP53" s="31" t="n">
        <f aca="false">AP17*Ratio!AP103</f>
        <v>1.25881403285077</v>
      </c>
      <c r="AQ53" s="96" t="n">
        <f aca="false">AQ17*Ratio!AQ103</f>
        <v>1.24319414689057</v>
      </c>
    </row>
    <row r="54" customFormat="false" ht="12.8" hidden="false" customHeight="false" outlineLevel="0" collapsed="false">
      <c r="A54" s="139" t="s">
        <v>188</v>
      </c>
      <c r="B54" s="97" t="n">
        <f aca="false">B18*Ratio!B106</f>
        <v>0.317586461457882</v>
      </c>
      <c r="C54" s="72" t="n">
        <f aca="false">C18*Ratio!C106</f>
        <v>0.321891225215122</v>
      </c>
      <c r="D54" s="31" t="n">
        <f aca="false">D18*Ratio!D106</f>
        <v>0.318663794491825</v>
      </c>
      <c r="E54" s="96" t="n">
        <f aca="false">E18*Ratio!E106</f>
        <v>0.319405271553561</v>
      </c>
      <c r="F54" s="31" t="n">
        <f aca="false">F18*Ratio!F106</f>
        <v>0.344356422023255</v>
      </c>
      <c r="G54" s="96" t="n">
        <f aca="false">G18*Ratio!G106</f>
        <v>0.426915050875144</v>
      </c>
      <c r="H54" s="31" t="n">
        <f aca="false">H18*Ratio!H106</f>
        <v>0.423813176724907</v>
      </c>
      <c r="I54" s="74" t="n">
        <f aca="false">I18*Ratio!I106</f>
        <v>0.389643083415105</v>
      </c>
      <c r="J54" s="75" t="n">
        <f aca="false">J18*Ratio!J106</f>
        <v>0.427064808104453</v>
      </c>
      <c r="K54" s="72" t="n">
        <f aca="false">K18*Ratio!K106</f>
        <v>0.284516352817483</v>
      </c>
      <c r="L54" s="31" t="n">
        <f aca="false">L18*Ratio!L106</f>
        <v>0.404962439083712</v>
      </c>
      <c r="M54" s="96" t="n">
        <f aca="false">M18*Ratio!M106</f>
        <v>0.406277655185707</v>
      </c>
      <c r="N54" s="96" t="n">
        <f aca="false">N18*Ratio!N106</f>
        <v>0.401959577995836</v>
      </c>
      <c r="O54" s="31" t="n">
        <f aca="false">O18*Ratio!O106</f>
        <v>0.395847944963676</v>
      </c>
      <c r="P54" s="76" t="n">
        <f aca="false">P18*Ratio!P106</f>
        <v>0.452681745676162</v>
      </c>
      <c r="Q54" s="75" t="n">
        <f aca="false">Q18*Ratio!Q106</f>
        <v>0.43823380421689</v>
      </c>
      <c r="R54" s="31" t="n">
        <f aca="false">R18*Ratio!R106</f>
        <v>0.41990678984367</v>
      </c>
      <c r="S54" s="96" t="n">
        <f aca="false">S18*Ratio!S106</f>
        <v>0.404709534634296</v>
      </c>
      <c r="T54" s="31" t="n">
        <f aca="false">T18*Ratio!T106</f>
        <v>0.387273296298586</v>
      </c>
      <c r="U54" s="31" t="n">
        <f aca="false">U18*Ratio!U106</f>
        <v>0.660458913072508</v>
      </c>
      <c r="V54" s="96" t="n">
        <f aca="false">V18*Ratio!V106</f>
        <v>0.665927211114674</v>
      </c>
      <c r="W54" s="96" t="n">
        <f aca="false">W18*Ratio!W106</f>
        <v>0.698219828442101</v>
      </c>
      <c r="X54" s="74" t="n">
        <f aca="false">X18*Ratio!X106</f>
        <v>0.647055822554314</v>
      </c>
      <c r="Y54" s="75" t="n">
        <f aca="false">Y18*Ratio!Y106</f>
        <v>0.635927814256038</v>
      </c>
      <c r="Z54" s="31" t="n">
        <f aca="false">Z18*Ratio!Z106</f>
        <v>0.655321896241068</v>
      </c>
      <c r="AA54" s="96" t="n">
        <f aca="false">AA18*Ratio!AA106</f>
        <v>0.624269777612904</v>
      </c>
      <c r="AB54" s="31" t="n">
        <f aca="false">AB18*Ratio!AB106</f>
        <v>0.65979377979119</v>
      </c>
      <c r="AC54" s="76" t="n">
        <f aca="false">AC18*Ratio!AC106</f>
        <v>0.449822856494027</v>
      </c>
      <c r="AD54" s="75" t="n">
        <f aca="false">AD18*Ratio!AD106</f>
        <v>0.410541901468805</v>
      </c>
      <c r="AE54" s="31" t="n">
        <f aca="false">AE18*Ratio!AE106</f>
        <v>0.435150239693024</v>
      </c>
      <c r="AF54" s="96" t="n">
        <f aca="false">AF18*Ratio!AF106</f>
        <v>0.429350309107211</v>
      </c>
      <c r="AG54" s="31" t="n">
        <f aca="false">AG18*Ratio!AG106</f>
        <v>0.489153570986508</v>
      </c>
      <c r="AH54" s="31" t="n">
        <f aca="false">AH18*Ratio!AH106</f>
        <v>0.591810905903495</v>
      </c>
      <c r="AI54" s="74" t="n">
        <f aca="false">AI18*Ratio!AI106</f>
        <v>0.562387498339828</v>
      </c>
      <c r="AJ54" s="75" t="n">
        <f aca="false">AJ18*Ratio!AJ106</f>
        <v>0.648132208598547</v>
      </c>
      <c r="AK54" s="31" t="n">
        <f aca="false">AK18*Ratio!AK106</f>
        <v>0.640160335946735</v>
      </c>
      <c r="AL54" s="96" t="n">
        <f aca="false">AL18*Ratio!AL106</f>
        <v>0.628719251306953</v>
      </c>
      <c r="AM54" s="31" t="n">
        <f aca="false">AM18*Ratio!AM106</f>
        <v>0.869527453045489</v>
      </c>
      <c r="AN54" s="76" t="n">
        <f aca="false">AN18*Ratio!AN106</f>
        <v>0.895959004381008</v>
      </c>
      <c r="AO54" s="75" t="n">
        <f aca="false">AO18*Ratio!AO106</f>
        <v>0.756625577287389</v>
      </c>
      <c r="AP54" s="31" t="n">
        <f aca="false">AP18*Ratio!AP106</f>
        <v>0.747013383288178</v>
      </c>
      <c r="AQ54" s="96" t="n">
        <f aca="false">AQ18*Ratio!AQ106</f>
        <v>0.792525655959528</v>
      </c>
    </row>
    <row r="55" customFormat="false" ht="12.8" hidden="false" customHeight="false" outlineLevel="0" collapsed="false">
      <c r="A55" s="139" t="s">
        <v>190</v>
      </c>
      <c r="B55" s="97" t="n">
        <f aca="false">B19*Ratio!B108</f>
        <v>0.158182315403313</v>
      </c>
      <c r="C55" s="72" t="n">
        <f aca="false">C19*Ratio!C108</f>
        <v>0.160419181404617</v>
      </c>
      <c r="D55" s="31" t="n">
        <f aca="false">D19*Ratio!D108</f>
        <v>0.158810744286378</v>
      </c>
      <c r="E55" s="96" t="n">
        <f aca="false">E19*Ratio!E108</f>
        <v>0.159180270181949</v>
      </c>
      <c r="F55" s="31" t="n">
        <f aca="false">F19*Ratio!F108</f>
        <v>0.171615039507447</v>
      </c>
      <c r="G55" s="96" t="n">
        <f aca="false">G19*Ratio!G108</f>
        <v>0.219855921737104</v>
      </c>
      <c r="H55" s="31" t="n">
        <f aca="false">H19*Ratio!H108</f>
        <v>0.205751704596821</v>
      </c>
      <c r="I55" s="74" t="n">
        <f aca="false">I19*Ratio!I108</f>
        <v>0.208528237735565</v>
      </c>
      <c r="J55" s="75" t="n">
        <f aca="false">J19*Ratio!J108</f>
        <v>0.186766107730643</v>
      </c>
      <c r="K55" s="72" t="n">
        <f aca="false">K19*Ratio!K108</f>
        <v>0.134922795733572</v>
      </c>
      <c r="L55" s="31" t="n">
        <f aca="false">L19*Ratio!L108</f>
        <v>0.193223833632923</v>
      </c>
      <c r="M55" s="96" t="n">
        <f aca="false">M19*Ratio!M108</f>
        <v>0.193851376023911</v>
      </c>
      <c r="N55" s="96" t="n">
        <f aca="false">N19*Ratio!N108</f>
        <v>0.194900975990898</v>
      </c>
      <c r="O55" s="31" t="n">
        <f aca="false">O19*Ratio!O108</f>
        <v>0.190553328754381</v>
      </c>
      <c r="P55" s="76" t="n">
        <f aca="false">P19*Ratio!P108</f>
        <v>0.191828489526825</v>
      </c>
      <c r="Q55" s="75" t="n">
        <f aca="false">Q19*Ratio!Q108</f>
        <v>0.197507229004008</v>
      </c>
      <c r="R55" s="31" t="n">
        <f aca="false">R19*Ratio!R108</f>
        <v>0.220372047558771</v>
      </c>
      <c r="S55" s="96" t="n">
        <f aca="false">S19*Ratio!S108</f>
        <v>0.212422184121303</v>
      </c>
      <c r="T55" s="31" t="n">
        <f aca="false">T19*Ratio!T108</f>
        <v>0.214631623768626</v>
      </c>
      <c r="U55" s="31" t="n">
        <f aca="false">U19*Ratio!U108</f>
        <v>0.190289186607678</v>
      </c>
      <c r="V55" s="96" t="n">
        <f aca="false">V19*Ratio!V108</f>
        <v>0.241154043978797</v>
      </c>
      <c r="W55" s="96" t="n">
        <f aca="false">W19*Ratio!W108</f>
        <v>0.252848257894659</v>
      </c>
      <c r="X55" s="74" t="n">
        <f aca="false">X19*Ratio!X108</f>
        <v>0.234320096377814</v>
      </c>
      <c r="Y55" s="75" t="n">
        <f aca="false">Y19*Ratio!Y108</f>
        <v>0.230165905800365</v>
      </c>
      <c r="Z55" s="31" t="n">
        <f aca="false">Z19*Ratio!Z108</f>
        <v>0.253912046705077</v>
      </c>
      <c r="AA55" s="96" t="n">
        <f aca="false">AA19*Ratio!AA108</f>
        <v>0.204280630510687</v>
      </c>
      <c r="AB55" s="31" t="n">
        <f aca="false">AB19*Ratio!AB108</f>
        <v>0.226671115557438</v>
      </c>
      <c r="AC55" s="76" t="n">
        <f aca="false">AC19*Ratio!AC108</f>
        <v>0.337328050083704</v>
      </c>
      <c r="AD55" s="75" t="n">
        <f aca="false">AD19*Ratio!AD108</f>
        <v>0.331770867197205</v>
      </c>
      <c r="AE55" s="31" t="n">
        <f aca="false">AE19*Ratio!AE108</f>
        <v>0.340457787577644</v>
      </c>
      <c r="AF55" s="96" t="n">
        <f aca="false">AF19*Ratio!AF108</f>
        <v>0.335919972002171</v>
      </c>
      <c r="AG55" s="31" t="n">
        <f aca="false">AG19*Ratio!AG108</f>
        <v>0.335890917343513</v>
      </c>
      <c r="AH55" s="31" t="n">
        <f aca="false">AH19*Ratio!AH108</f>
        <v>0.559047276313372</v>
      </c>
      <c r="AI55" s="74" t="n">
        <f aca="false">AI19*Ratio!AI108</f>
        <v>0.454755184212446</v>
      </c>
      <c r="AJ55" s="75" t="n">
        <f aca="false">AJ19*Ratio!AJ108</f>
        <v>0.574138663694097</v>
      </c>
      <c r="AK55" s="31" t="n">
        <f aca="false">AK19*Ratio!AK108</f>
        <v>0.560829171870496</v>
      </c>
      <c r="AL55" s="96" t="n">
        <f aca="false">AL19*Ratio!AL108</f>
        <v>0.609506433845029</v>
      </c>
      <c r="AM55" s="31" t="n">
        <f aca="false">AM19*Ratio!AM108</f>
        <v>0.697962678284855</v>
      </c>
      <c r="AN55" s="76" t="n">
        <f aca="false">AN19*Ratio!AN108</f>
        <v>0.542059604260188</v>
      </c>
      <c r="AO55" s="75" t="n">
        <f aca="false">AO19*Ratio!AO108</f>
        <v>0.600359771067063</v>
      </c>
      <c r="AP55" s="31" t="n">
        <f aca="false">AP19*Ratio!AP108</f>
        <v>0.604426201807677</v>
      </c>
      <c r="AQ55" s="96" t="n">
        <f aca="false">AQ19*Ratio!AQ108</f>
        <v>0.573453249573486</v>
      </c>
    </row>
    <row r="56" customFormat="false" ht="12.8" hidden="false" customHeight="false" outlineLevel="0" collapsed="false">
      <c r="A56" s="139" t="s">
        <v>194</v>
      </c>
      <c r="B56" s="97" t="n">
        <f aca="false">B20*Ratio!B113</f>
        <v>0.221791719454876</v>
      </c>
      <c r="C56" s="72" t="n">
        <f aca="false">C20*Ratio!C113</f>
        <v>0.22479802189983</v>
      </c>
      <c r="D56" s="31" t="n">
        <f aca="false">D20*Ratio!D113</f>
        <v>0.222544092666652</v>
      </c>
      <c r="E56" s="96" t="n">
        <f aca="false">E20*Ratio!E113</f>
        <v>0.223061915346195</v>
      </c>
      <c r="F56" s="31" t="n">
        <f aca="false">F20*Ratio!F113</f>
        <v>0.209557897661583</v>
      </c>
      <c r="G56" s="96" t="n">
        <f aca="false">G20*Ratio!G113</f>
        <v>0.215510851679158</v>
      </c>
      <c r="H56" s="31" t="n">
        <f aca="false">H20*Ratio!H113</f>
        <v>0.21394499557137</v>
      </c>
      <c r="I56" s="74" t="n">
        <f aca="false">I20*Ratio!I113</f>
        <v>0.193993351980697</v>
      </c>
      <c r="J56" s="75" t="n">
        <f aca="false">J20*Ratio!J113</f>
        <v>0.212571470187866</v>
      </c>
      <c r="K56" s="72" t="n">
        <f aca="false">K20*Ratio!K113</f>
        <v>0.206589559528651</v>
      </c>
      <c r="L56" s="31" t="n">
        <f aca="false">L20*Ratio!L113</f>
        <v>0.207987409239771</v>
      </c>
      <c r="M56" s="96" t="n">
        <f aca="false">M20*Ratio!M113</f>
        <v>0.208662900009392</v>
      </c>
      <c r="N56" s="96" t="n">
        <f aca="false">N20*Ratio!N113</f>
        <v>0.209792696338175</v>
      </c>
      <c r="O56" s="31" t="n">
        <f aca="false">O20*Ratio!O113</f>
        <v>0.206493484073058</v>
      </c>
      <c r="P56" s="76" t="n">
        <f aca="false">P20*Ratio!P113</f>
        <v>0.150482664269719</v>
      </c>
      <c r="Q56" s="75" t="n">
        <f aca="false">Q20*Ratio!Q113</f>
        <v>0.154937434509155</v>
      </c>
      <c r="R56" s="31" t="n">
        <f aca="false">R20*Ratio!R113</f>
        <v>0.162540491049495</v>
      </c>
      <c r="S56" s="96" t="n">
        <f aca="false">S20*Ratio!S113</f>
        <v>0.156657829982605</v>
      </c>
      <c r="T56" s="31" t="n">
        <f aca="false">T20*Ratio!T113</f>
        <v>0.158287254997977</v>
      </c>
      <c r="U56" s="31" t="n">
        <f aca="false">U20*Ratio!U113</f>
        <v>0.130287257188011</v>
      </c>
      <c r="V56" s="96" t="n">
        <f aca="false">V20*Ratio!V113</f>
        <v>0.131365976150386</v>
      </c>
      <c r="W56" s="96" t="n">
        <f aca="false">W20*Ratio!W113</f>
        <v>0.137736268769255</v>
      </c>
      <c r="X56" s="74" t="n">
        <f aca="false">X20*Ratio!X113</f>
        <v>0.12764325940572</v>
      </c>
      <c r="Y56" s="75" t="n">
        <f aca="false">Y20*Ratio!Y113</f>
        <v>0.12544806202031</v>
      </c>
      <c r="Z56" s="31" t="n">
        <f aca="false">Z20*Ratio!Z113</f>
        <v>0.131843096573363</v>
      </c>
      <c r="AA56" s="96" t="n">
        <f aca="false">AA20*Ratio!AA113</f>
        <v>0.127970584052207</v>
      </c>
      <c r="AB56" s="31" t="n">
        <f aca="false">AB20*Ratio!AB113</f>
        <v>0.183577650306358</v>
      </c>
      <c r="AC56" s="76" t="n">
        <f aca="false">AC20*Ratio!AC113</f>
        <v>0.219411047182214</v>
      </c>
      <c r="AD56" s="75" t="n">
        <f aca="false">AD20*Ratio!AD113</f>
        <v>0.234727030034789</v>
      </c>
      <c r="AE56" s="31" t="n">
        <f aca="false">AE20*Ratio!AE113</f>
        <v>0.209280822350867</v>
      </c>
      <c r="AF56" s="96" t="n">
        <f aca="false">AF20*Ratio!AF113</f>
        <v>0.206491408185697</v>
      </c>
      <c r="AG56" s="31" t="n">
        <f aca="false">AG20*Ratio!AG113</f>
        <v>0.218313102758538</v>
      </c>
      <c r="AH56" s="31" t="n">
        <f aca="false">AH20*Ratio!AH113</f>
        <v>0.202892344824335</v>
      </c>
      <c r="AI56" s="74" t="n">
        <f aca="false">AI20*Ratio!AI113</f>
        <v>0.165042116391899</v>
      </c>
      <c r="AJ56" s="75" t="n">
        <f aca="false">AJ20*Ratio!AJ113</f>
        <v>0.178392744729211</v>
      </c>
      <c r="AK56" s="31" t="n">
        <f aca="false">AK20*Ratio!AK113</f>
        <v>0.187265521850014</v>
      </c>
      <c r="AL56" s="96" t="n">
        <f aca="false">AL20*Ratio!AL113</f>
        <v>0.203519264207046</v>
      </c>
      <c r="AM56" s="31" t="n">
        <f aca="false">AM20*Ratio!AM113</f>
        <v>0.215827518434143</v>
      </c>
      <c r="AN56" s="76" t="n">
        <f aca="false">AN20*Ratio!AN113</f>
        <v>0.365401242900616</v>
      </c>
      <c r="AO56" s="75" t="n">
        <f aca="false">AO20*Ratio!AO113</f>
        <v>0.444704287400078</v>
      </c>
      <c r="AP56" s="31" t="n">
        <f aca="false">AP20*Ratio!AP113</f>
        <v>0.439054750811458</v>
      </c>
      <c r="AQ56" s="96" t="n">
        <f aca="false">AQ20*Ratio!AQ113</f>
        <v>0.452467352347256</v>
      </c>
    </row>
    <row r="57" customFormat="false" ht="12.8" hidden="false" customHeight="false" outlineLevel="0" collapsed="false">
      <c r="A57" s="139" t="s">
        <v>195</v>
      </c>
      <c r="B57" s="97" t="n">
        <f aca="false">B21*Ratio!B114</f>
        <v>0.169146663709315</v>
      </c>
      <c r="C57" s="72" t="n">
        <f aca="false">C21*Ratio!C114</f>
        <v>0.169180810844362</v>
      </c>
      <c r="D57" s="31" t="n">
        <f aca="false">D21*Ratio!D114</f>
        <v>0.16748452556555</v>
      </c>
      <c r="E57" s="96" t="n">
        <f aca="false">E21*Ratio!E114</f>
        <v>0.167640026066251</v>
      </c>
      <c r="F57" s="31" t="n">
        <f aca="false">F21*Ratio!F114</f>
        <v>0.204148826193901</v>
      </c>
      <c r="G57" s="96" t="n">
        <f aca="false">G21*Ratio!G114</f>
        <v>0.176888138940586</v>
      </c>
      <c r="H57" s="31" t="n">
        <f aca="false">H21*Ratio!H114</f>
        <v>0.175427479786399</v>
      </c>
      <c r="I57" s="74" t="n">
        <f aca="false">I21*Ratio!I114</f>
        <v>0.177830359163191</v>
      </c>
      <c r="J57" s="75" t="n">
        <f aca="false">J21*Ratio!J114</f>
        <v>0.208459149775045</v>
      </c>
      <c r="K57" s="72" t="n">
        <f aca="false">K21*Ratio!K114</f>
        <v>0.1023208965463</v>
      </c>
      <c r="L57" s="31" t="n">
        <f aca="false">L21*Ratio!L114</f>
        <v>0.218690314428034</v>
      </c>
      <c r="M57" s="96" t="n">
        <f aca="false">M21*Ratio!M114</f>
        <v>0.219400565540549</v>
      </c>
      <c r="N57" s="96" t="n">
        <f aca="false">N21*Ratio!N114</f>
        <v>0.220588500499132</v>
      </c>
      <c r="O57" s="31" t="n">
        <f aca="false">O21*Ratio!O114</f>
        <v>0.220121165034137</v>
      </c>
      <c r="P57" s="76" t="n">
        <f aca="false">P21*Ratio!P114</f>
        <v>0.288595111226057</v>
      </c>
      <c r="Q57" s="75" t="n">
        <f aca="false">Q21*Ratio!Q114</f>
        <v>0.340600842022876</v>
      </c>
      <c r="R57" s="31" t="n">
        <f aca="false">R21*Ratio!R114</f>
        <v>0.357314733457771</v>
      </c>
      <c r="S57" s="96" t="n">
        <f aca="false">S21*Ratio!S114</f>
        <v>0.344382808264447</v>
      </c>
      <c r="T57" s="31" t="n">
        <f aca="false">T21*Ratio!T114</f>
        <v>0.347964793044349</v>
      </c>
      <c r="U57" s="31" t="n">
        <f aca="false">U21*Ratio!U114</f>
        <v>0.387184563968375</v>
      </c>
      <c r="V57" s="96" t="n">
        <f aca="false">V21*Ratio!V114</f>
        <v>0.390390275256691</v>
      </c>
      <c r="W57" s="96" t="n">
        <f aca="false">W21*Ratio!W114</f>
        <v>0.409321358949924</v>
      </c>
      <c r="X57" s="74" t="n">
        <f aca="false">X21*Ratio!X114</f>
        <v>0.379327194410027</v>
      </c>
      <c r="Y57" s="75" t="n">
        <f aca="false">Y21*Ratio!Y114</f>
        <v>0.372803559168646</v>
      </c>
      <c r="Z57" s="31" t="n">
        <f aca="false">Z21*Ratio!Z114</f>
        <v>0.453123537130435</v>
      </c>
      <c r="AA57" s="96" t="n">
        <f aca="false">AA21*Ratio!AA114</f>
        <v>0.439814333867057</v>
      </c>
      <c r="AB57" s="31" t="n">
        <f aca="false">AB21*Ratio!AB114</f>
        <v>0.487948596693391</v>
      </c>
      <c r="AC57" s="76" t="n">
        <f aca="false">AC21*Ratio!AC114</f>
        <v>0.543920474797268</v>
      </c>
      <c r="AD57" s="75" t="n">
        <f aca="false">AD21*Ratio!AD114</f>
        <v>0.581888830411746</v>
      </c>
      <c r="AE57" s="31" t="n">
        <f aca="false">AE21*Ratio!AE114</f>
        <v>0.680427315167123</v>
      </c>
      <c r="AF57" s="96" t="n">
        <f aca="false">AF21*Ratio!AF114</f>
        <v>0.671358191823782</v>
      </c>
      <c r="AG57" s="31" t="n">
        <f aca="false">AG21*Ratio!AG114</f>
        <v>0.709793648109589</v>
      </c>
      <c r="AH57" s="31" t="n">
        <f aca="false">AH21*Ratio!AH114</f>
        <v>0.709285776748167</v>
      </c>
      <c r="AI57" s="74" t="n">
        <f aca="false">AI21*Ratio!AI114</f>
        <v>0.577084587776996</v>
      </c>
      <c r="AJ57" s="75" t="n">
        <f aca="false">AJ21*Ratio!AJ114</f>
        <v>0.560202110291593</v>
      </c>
      <c r="AK57" s="31" t="n">
        <f aca="false">AK21*Ratio!AK114</f>
        <v>0.517655005113453</v>
      </c>
      <c r="AL57" s="96" t="n">
        <f aca="false">AL21*Ratio!AL114</f>
        <v>0.506738060873632</v>
      </c>
      <c r="AM57" s="31" t="n">
        <f aca="false">AM21*Ratio!AM114</f>
        <v>0.515508851958715</v>
      </c>
      <c r="AN57" s="76" t="n">
        <f aca="false">AN21*Ratio!AN114</f>
        <v>0.408029474977479</v>
      </c>
      <c r="AO57" s="75" t="n">
        <f aca="false">AO21*Ratio!AO114</f>
        <v>0.343509766312724</v>
      </c>
      <c r="AP57" s="31" t="n">
        <f aca="false">AP21*Ratio!AP114</f>
        <v>0.325642595747066</v>
      </c>
      <c r="AQ57" s="96" t="n">
        <f aca="false">AQ21*Ratio!AQ114</f>
        <v>0.311947742355412</v>
      </c>
    </row>
    <row r="58" customFormat="false" ht="12.8" hidden="false" customHeight="false" outlineLevel="0" collapsed="false">
      <c r="A58" s="139" t="s">
        <v>196</v>
      </c>
      <c r="B58" s="97" t="n">
        <f aca="false">B22*Ratio!B115</f>
        <v>0.155675957136932</v>
      </c>
      <c r="C58" s="72" t="n">
        <f aca="false">C22*Ratio!C115</f>
        <v>0.158697983985975</v>
      </c>
      <c r="D58" s="31" t="n">
        <f aca="false">D22*Ratio!D115</f>
        <v>0.157106804391379</v>
      </c>
      <c r="E58" s="96" t="n">
        <f aca="false">E22*Ratio!E115</f>
        <v>0.119854921238169</v>
      </c>
      <c r="F58" s="31" t="n">
        <f aca="false">F22*Ratio!F115</f>
        <v>0.129217691488645</v>
      </c>
      <c r="G58" s="96" t="n">
        <f aca="false">G22*Ratio!G115</f>
        <v>0.132888404853651</v>
      </c>
      <c r="H58" s="31" t="n">
        <f aca="false">H22*Ratio!H115</f>
        <v>0.131374028282395</v>
      </c>
      <c r="I58" s="74" t="n">
        <f aca="false">I22*Ratio!I115</f>
        <v>0.13296161769505</v>
      </c>
      <c r="J58" s="75" t="n">
        <f aca="false">J22*Ratio!J115</f>
        <v>0.145694923374519</v>
      </c>
      <c r="K58" s="72" t="n">
        <f aca="false">K22*Ratio!K115</f>
        <v>0.0803738704420007</v>
      </c>
      <c r="L58" s="31" t="n">
        <f aca="false">L22*Ratio!L115</f>
        <v>0.150732549804381</v>
      </c>
      <c r="M58" s="96" t="n">
        <f aca="false">M22*Ratio!M115</f>
        <v>0.151222091197519</v>
      </c>
      <c r="N58" s="96" t="n">
        <f aca="false">N22*Ratio!N115</f>
        <v>0.152040876728909</v>
      </c>
      <c r="O58" s="31" t="n">
        <f aca="false">O22*Ratio!O115</f>
        <v>0.149649872971112</v>
      </c>
      <c r="P58" s="76" t="n">
        <f aca="false">P22*Ratio!P115</f>
        <v>0.16587287639332</v>
      </c>
      <c r="Q58" s="75" t="n">
        <f aca="false">Q22*Ratio!Q115</f>
        <v>0.159982561140979</v>
      </c>
      <c r="R58" s="31" t="n">
        <f aca="false">R22*Ratio!R115</f>
        <v>0.172483202909078</v>
      </c>
      <c r="S58" s="96" t="n">
        <f aca="false">S22*Ratio!S115</f>
        <v>0.16624069548281</v>
      </c>
      <c r="T58" s="31" t="n">
        <f aca="false">T22*Ratio!T115</f>
        <v>0.173827700058512</v>
      </c>
      <c r="U58" s="31" t="n">
        <f aca="false">U22*Ratio!U115</f>
        <v>0.179011278767771</v>
      </c>
      <c r="V58" s="96" t="n">
        <f aca="false">V22*Ratio!V115</f>
        <v>0.180493410367233</v>
      </c>
      <c r="W58" s="96" t="n">
        <f aca="false">W22*Ratio!W115</f>
        <v>0.189246025568758</v>
      </c>
      <c r="X58" s="74" t="n">
        <f aca="false">X22*Ratio!X115</f>
        <v>0.175378495069024</v>
      </c>
      <c r="Y58" s="75" t="n">
        <f aca="false">Y22*Ratio!Y115</f>
        <v>0.172362351360181</v>
      </c>
      <c r="Z58" s="31" t="n">
        <f aca="false">Z22*Ratio!Z115</f>
        <v>0.181270615568087</v>
      </c>
      <c r="AA58" s="96" t="n">
        <f aca="false">AA22*Ratio!AA115</f>
        <v>0.17594631155256</v>
      </c>
      <c r="AB58" s="31" t="n">
        <f aca="false">AB22*Ratio!AB115</f>
        <v>0.199119192043708</v>
      </c>
      <c r="AC58" s="76" t="n">
        <f aca="false">AC22*Ratio!AC115</f>
        <v>0.417261176306165</v>
      </c>
      <c r="AD58" s="75" t="n">
        <f aca="false">AD22*Ratio!AD115</f>
        <v>0.31375239775603</v>
      </c>
      <c r="AE58" s="31" t="n">
        <f aca="false">AE22*Ratio!AE115</f>
        <v>0.288103161987758</v>
      </c>
      <c r="AF58" s="96" t="n">
        <f aca="false">AF22*Ratio!AF115</f>
        <v>0.26605178577137</v>
      </c>
      <c r="AG58" s="31" t="n">
        <f aca="false">AG22*Ratio!AG115</f>
        <v>0.281283329686843</v>
      </c>
      <c r="AH58" s="31" t="n">
        <f aca="false">AH22*Ratio!AH115</f>
        <v>0.287366833389729</v>
      </c>
      <c r="AI58" s="74" t="n">
        <f aca="false">AI22*Ratio!AI115</f>
        <v>0.233757613696772</v>
      </c>
      <c r="AJ58" s="75" t="n">
        <f aca="false">AJ22*Ratio!AJ115</f>
        <v>0.119600378768071</v>
      </c>
      <c r="AK58" s="31" t="n">
        <f aca="false">AK22*Ratio!AK115</f>
        <v>0.141713713914091</v>
      </c>
      <c r="AL58" s="96" t="n">
        <f aca="false">AL22*Ratio!AL115</f>
        <v>0.175054558016143</v>
      </c>
      <c r="AM58" s="31" t="n">
        <f aca="false">AM22*Ratio!AM115</f>
        <v>0.241407504593302</v>
      </c>
      <c r="AN58" s="76" t="n">
        <f aca="false">AN22*Ratio!AN115</f>
        <v>0.037162672886464</v>
      </c>
      <c r="AO58" s="75" t="n">
        <f aca="false">AO22*Ratio!AO115</f>
        <v>0.0386404330734371</v>
      </c>
      <c r="AP58" s="31" t="n">
        <f aca="false">AP22*Ratio!AP115</f>
        <v>0.0528273768544421</v>
      </c>
      <c r="AQ58" s="96" t="n">
        <f aca="false">AQ22*Ratio!AQ115</f>
        <v>0.0544411905180468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158466"/>
    <pageSetUpPr fitToPage="false"/>
  </sheetPr>
  <dimension ref="A1:AQ52"/>
  <sheetViews>
    <sheetView showFormulas="false" showGridLines="true" showRowColHeaders="true" showZeros="true" rightToLeft="false" tabSelected="false" showOutlineSymbols="true" defaultGridColor="true" view="normal" topLeftCell="A4" colorId="64" zoomScale="55" zoomScaleNormal="55" zoomScalePageLayoutView="100" workbookViewId="0">
      <selection pane="topLeft" activeCell="AP11" activeCellId="0" sqref="AP1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38" width="14.92"/>
    <col collapsed="false" customWidth="true" hidden="false" outlineLevel="0" max="3" min="3" style="39" width="13.15"/>
    <col collapsed="false" customWidth="true" hidden="false" outlineLevel="0" max="4" min="4" style="1" width="13.15"/>
    <col collapsed="false" customWidth="true" hidden="false" outlineLevel="0" max="5" min="5" style="40" width="13.15"/>
    <col collapsed="false" customWidth="true" hidden="false" outlineLevel="0" max="6" min="6" style="1" width="13.15"/>
    <col collapsed="false" customWidth="true" hidden="false" outlineLevel="0" max="7" min="7" style="40" width="13.15"/>
    <col collapsed="false" customWidth="true" hidden="false" outlineLevel="0" max="8" min="8" style="1" width="13.15"/>
    <col collapsed="false" customWidth="true" hidden="false" outlineLevel="0" max="9" min="9" style="41" width="13.15"/>
    <col collapsed="false" customWidth="true" hidden="false" outlineLevel="0" max="10" min="10" style="21" width="13.15"/>
    <col collapsed="false" customWidth="true" hidden="false" outlineLevel="0" max="11" min="11" style="39" width="13.15"/>
    <col collapsed="false" customWidth="true" hidden="false" outlineLevel="0" max="12" min="12" style="1" width="13.15"/>
    <col collapsed="false" customWidth="true" hidden="false" outlineLevel="0" max="13" min="13" style="40" width="13.66"/>
    <col collapsed="false" customWidth="true" hidden="false" outlineLevel="0" max="14" min="14" style="40" width="13.15"/>
    <col collapsed="false" customWidth="true" hidden="false" outlineLevel="0" max="15" min="15" style="1" width="13.15"/>
    <col collapsed="false" customWidth="true" hidden="false" outlineLevel="0" max="16" min="16" style="42" width="13.15"/>
    <col collapsed="false" customWidth="true" hidden="false" outlineLevel="0" max="17" min="17" style="21" width="13.15"/>
    <col collapsed="false" customWidth="true" hidden="false" outlineLevel="0" max="18" min="18" style="1" width="13.15"/>
    <col collapsed="false" customWidth="true" hidden="false" outlineLevel="0" max="19" min="19" style="40" width="13.15"/>
    <col collapsed="false" customWidth="true" hidden="false" outlineLevel="0" max="21" min="20" style="1" width="13.15"/>
    <col collapsed="false" customWidth="true" hidden="false" outlineLevel="0" max="23" min="22" style="40" width="13.15"/>
    <col collapsed="false" customWidth="true" hidden="false" outlineLevel="0" max="24" min="24" style="41" width="13.15"/>
    <col collapsed="false" customWidth="true" hidden="false" outlineLevel="0" max="25" min="25" style="21" width="13.15"/>
    <col collapsed="false" customWidth="true" hidden="false" outlineLevel="0" max="26" min="26" style="1" width="13.15"/>
    <col collapsed="false" customWidth="true" hidden="false" outlineLevel="0" max="27" min="27" style="40" width="13.15"/>
    <col collapsed="false" customWidth="true" hidden="false" outlineLevel="0" max="28" min="28" style="1" width="13.15"/>
    <col collapsed="false" customWidth="true" hidden="false" outlineLevel="0" max="29" min="29" style="42" width="13.15"/>
    <col collapsed="false" customWidth="true" hidden="false" outlineLevel="0" max="30" min="30" style="21" width="13.15"/>
    <col collapsed="false" customWidth="true" hidden="false" outlineLevel="0" max="31" min="31" style="1" width="13.15"/>
    <col collapsed="false" customWidth="true" hidden="false" outlineLevel="0" max="32" min="32" style="40" width="13.15"/>
    <col collapsed="false" customWidth="true" hidden="false" outlineLevel="0" max="34" min="33" style="1" width="13.15"/>
    <col collapsed="false" customWidth="true" hidden="false" outlineLevel="0" max="35" min="35" style="41" width="13.15"/>
    <col collapsed="false" customWidth="true" hidden="false" outlineLevel="0" max="36" min="36" style="21" width="13.15"/>
    <col collapsed="false" customWidth="true" hidden="false" outlineLevel="0" max="37" min="37" style="1" width="13.15"/>
    <col collapsed="false" customWidth="true" hidden="false" outlineLevel="0" max="38" min="38" style="40" width="15.41"/>
    <col collapsed="false" customWidth="true" hidden="false" outlineLevel="0" max="39" min="39" style="1" width="13.15"/>
    <col collapsed="false" customWidth="true" hidden="false" outlineLevel="0" max="40" min="40" style="42" width="13.15"/>
    <col collapsed="false" customWidth="true" hidden="false" outlineLevel="0" max="41" min="41" style="21" width="13.15"/>
    <col collapsed="false" customWidth="true" hidden="false" outlineLevel="0" max="42" min="42" style="1" width="13.15"/>
    <col collapsed="false" customWidth="true" hidden="false" outlineLevel="0" max="43" min="43" style="40" width="12.95"/>
  </cols>
  <sheetData>
    <row r="1" customFormat="false" ht="12.8" hidden="false" customHeight="false" outlineLevel="0" collapsed="false">
      <c r="B1" s="19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24" t="s">
        <v>79</v>
      </c>
    </row>
    <row r="3" customFormat="false" ht="12.8" hidden="false" customHeight="false" outlineLevel="0" collapsed="false">
      <c r="A3" s="139" t="s">
        <v>180</v>
      </c>
      <c r="B3" s="25" t="n">
        <v>640997811.014634</v>
      </c>
      <c r="C3" s="25" t="n">
        <v>640997811.014634</v>
      </c>
      <c r="D3" s="32" t="n">
        <v>649833679.02439</v>
      </c>
      <c r="E3" s="20" t="n">
        <v>653121806.273171</v>
      </c>
      <c r="F3" s="32" t="n">
        <v>654773661.668293</v>
      </c>
      <c r="G3" s="20" t="n">
        <v>654508741.463415</v>
      </c>
      <c r="H3" s="32" t="n">
        <v>654508741.463415</v>
      </c>
      <c r="I3" s="26" t="n">
        <v>654508741.463415</v>
      </c>
      <c r="J3" s="33" t="n">
        <v>598096321.365854</v>
      </c>
      <c r="K3" s="25" t="n">
        <v>640483554.146341</v>
      </c>
      <c r="L3" s="32" t="n">
        <v>623341658.536585</v>
      </c>
      <c r="M3" s="20" t="n">
        <v>623341658.536585</v>
      </c>
      <c r="N3" s="20" t="n">
        <v>621783304.390244</v>
      </c>
      <c r="O3" s="32" t="n">
        <v>626364865.580488</v>
      </c>
      <c r="P3" s="167" t="n">
        <v>599966346.341463</v>
      </c>
      <c r="Q3" s="33" t="n">
        <v>568799263.414634</v>
      </c>
      <c r="R3" s="32" t="n">
        <v>545423951.219512</v>
      </c>
      <c r="S3" s="20" t="n">
        <v>574097667.512195</v>
      </c>
      <c r="T3" s="32" t="n">
        <v>579318153.902439</v>
      </c>
      <c r="U3" s="32" t="n">
        <v>561007492.682927</v>
      </c>
      <c r="V3" s="20" t="n">
        <v>559449138.536585</v>
      </c>
      <c r="W3" s="20" t="n">
        <v>545688871.42439</v>
      </c>
      <c r="X3" s="26" t="n">
        <v>568799263.414634</v>
      </c>
      <c r="Y3" s="33" t="n">
        <v>537632180.487805</v>
      </c>
      <c r="Z3" s="32" t="n">
        <v>522858983.180488</v>
      </c>
      <c r="AA3" s="20" t="n">
        <v>552233958.839024</v>
      </c>
      <c r="AB3" s="32" t="n">
        <v>536073826.341463</v>
      </c>
      <c r="AC3" s="167" t="n">
        <v>508397456.702439</v>
      </c>
      <c r="AD3" s="33" t="n">
        <v>489323201.95122</v>
      </c>
      <c r="AE3" s="32" t="n">
        <v>495556618.536585</v>
      </c>
      <c r="AF3" s="20" t="n">
        <v>497348725.804878</v>
      </c>
      <c r="AG3" s="32" t="n">
        <v>487593428.84878</v>
      </c>
      <c r="AH3" s="32" t="n">
        <v>418932345.160976</v>
      </c>
      <c r="AI3" s="26" t="n">
        <v>498673326.829268</v>
      </c>
      <c r="AJ3" s="33" t="n">
        <v>498673326.829268</v>
      </c>
      <c r="AK3" s="32" t="n">
        <v>481531431.219512</v>
      </c>
      <c r="AL3" s="20" t="n">
        <v>467506243.902439</v>
      </c>
      <c r="AM3" s="32" t="n">
        <v>458156119.02439</v>
      </c>
      <c r="AN3" s="167" t="n">
        <v>456410762.380488</v>
      </c>
      <c r="AO3" s="33" t="n">
        <v>453029133.882927</v>
      </c>
      <c r="AP3" s="32" t="n">
        <v>449709839.551219</v>
      </c>
      <c r="AQ3" s="20" t="n">
        <v>446811300.839024</v>
      </c>
    </row>
    <row r="4" customFormat="false" ht="12.8" hidden="false" customHeight="false" outlineLevel="0" collapsed="false">
      <c r="A4" s="139" t="s">
        <v>27</v>
      </c>
      <c r="B4" s="29" t="n">
        <v>159310018.722602</v>
      </c>
      <c r="C4" s="25" t="n">
        <v>155096643.94439</v>
      </c>
      <c r="D4" s="32" t="n">
        <v>155324715.447154</v>
      </c>
      <c r="E4" s="20" t="n">
        <v>148928279.203577</v>
      </c>
      <c r="F4" s="32" t="n">
        <v>144269067.671545</v>
      </c>
      <c r="G4" s="20" t="n">
        <v>129700833.686829</v>
      </c>
      <c r="H4" s="32" t="n">
        <v>124259735.810732</v>
      </c>
      <c r="I4" s="26" t="n">
        <v>119691434.920976</v>
      </c>
      <c r="J4" s="33" t="n">
        <v>117636543.756098</v>
      </c>
      <c r="K4" s="25" t="n">
        <v>126998969.398374</v>
      </c>
      <c r="L4" s="32" t="n">
        <v>119234560.97561</v>
      </c>
      <c r="M4" s="20" t="n">
        <v>119325928.455285</v>
      </c>
      <c r="N4" s="20" t="n">
        <v>119326385.292683</v>
      </c>
      <c r="O4" s="32" t="n">
        <v>120480996.133333</v>
      </c>
      <c r="P4" s="167" t="n">
        <v>121650847.069593</v>
      </c>
      <c r="Q4" s="33" t="n">
        <v>123152508.145041</v>
      </c>
      <c r="R4" s="32" t="n">
        <v>120605164.538211</v>
      </c>
      <c r="S4" s="20" t="n">
        <v>127608244.299837</v>
      </c>
      <c r="T4" s="32" t="n">
        <v>129741821.138211</v>
      </c>
      <c r="U4" s="32" t="n">
        <v>134316280.196098</v>
      </c>
      <c r="V4" s="20" t="n">
        <v>126074860.435447</v>
      </c>
      <c r="W4" s="20" t="n">
        <v>124990712.195122</v>
      </c>
      <c r="X4" s="26" t="n">
        <v>138878569.105691</v>
      </c>
      <c r="Y4" s="33" t="n">
        <v>143044926.178862</v>
      </c>
      <c r="Z4" s="32" t="n">
        <v>138029162.194146</v>
      </c>
      <c r="AA4" s="20" t="n">
        <v>141135656.503089</v>
      </c>
      <c r="AB4" s="32" t="n">
        <v>139238410.787642</v>
      </c>
      <c r="AC4" s="167" t="n">
        <v>131569243.825691</v>
      </c>
      <c r="AD4" s="33" t="n">
        <v>134541025.922602</v>
      </c>
      <c r="AE4" s="32" t="n">
        <v>127841030.364553</v>
      </c>
      <c r="AF4" s="20" t="n">
        <v>122864463.028618</v>
      </c>
      <c r="AG4" s="32" t="n">
        <v>118777723.577236</v>
      </c>
      <c r="AH4" s="32" t="n">
        <v>92274594.2865041</v>
      </c>
      <c r="AI4" s="26" t="n">
        <v>140863728.610081</v>
      </c>
      <c r="AJ4" s="33" t="n">
        <v>142259513.050081</v>
      </c>
      <c r="AK4" s="32" t="n">
        <v>133396447.23122</v>
      </c>
      <c r="AL4" s="20" t="n">
        <v>121168043.033496</v>
      </c>
      <c r="AM4" s="32" t="n">
        <v>113260918.60748</v>
      </c>
      <c r="AN4" s="167" t="n">
        <v>94108504.0650407</v>
      </c>
      <c r="AO4" s="33" t="n">
        <v>86790517.1479675</v>
      </c>
      <c r="AP4" s="32" t="n">
        <v>88339762.4068293</v>
      </c>
      <c r="AQ4" s="20" t="n">
        <v>85068605.6260163</v>
      </c>
    </row>
    <row r="5" customFormat="false" ht="12.8" hidden="false" customHeight="false" outlineLevel="0" collapsed="false">
      <c r="A5" s="139" t="s">
        <v>186</v>
      </c>
      <c r="B5" s="20" t="n">
        <v>58997055.1039024</v>
      </c>
      <c r="C5" s="25" t="n">
        <v>55666825.8536585</v>
      </c>
      <c r="D5" s="32" t="n">
        <v>54049031.7073171</v>
      </c>
      <c r="E5" s="20" t="n">
        <v>58828878.0487805</v>
      </c>
      <c r="F5" s="32" t="n">
        <v>47813170.6341463</v>
      </c>
      <c r="G5" s="20" t="n">
        <v>42077355.0243902</v>
      </c>
      <c r="H5" s="32" t="n">
        <v>37871090.2439024</v>
      </c>
      <c r="I5" s="26" t="n">
        <v>36768048.7804878</v>
      </c>
      <c r="J5" s="33" t="n">
        <v>35107015.4087805</v>
      </c>
      <c r="K5" s="25" t="n">
        <v>32355882.9268293</v>
      </c>
      <c r="L5" s="32" t="n">
        <v>32355882.9268293</v>
      </c>
      <c r="M5" s="20" t="n">
        <v>32355882.9268293</v>
      </c>
      <c r="N5" s="20" t="n">
        <v>31988202.4390244</v>
      </c>
      <c r="O5" s="32" t="n">
        <v>32576491.2195122</v>
      </c>
      <c r="P5" s="167" t="n">
        <v>33458924.3902439</v>
      </c>
      <c r="Q5" s="33" t="n">
        <v>32355882.9268293</v>
      </c>
      <c r="R5" s="32" t="n">
        <v>32355882.9268293</v>
      </c>
      <c r="S5" s="20" t="n">
        <v>32297568.8014634</v>
      </c>
      <c r="T5" s="32" t="n">
        <v>33525106.8780488</v>
      </c>
      <c r="U5" s="32" t="n">
        <v>33826604.8780488</v>
      </c>
      <c r="V5" s="20" t="n">
        <v>34561965.8536585</v>
      </c>
      <c r="W5" s="20" t="n">
        <v>34561965.8536585</v>
      </c>
      <c r="X5" s="26" t="n">
        <v>34561965.8536585</v>
      </c>
      <c r="Y5" s="33" t="n">
        <v>35665007.3170732</v>
      </c>
      <c r="Z5" s="32" t="n">
        <v>34561965.8536585</v>
      </c>
      <c r="AA5" s="20" t="n">
        <v>36760695.1707317</v>
      </c>
      <c r="AB5" s="32" t="n">
        <v>33091243.902439</v>
      </c>
      <c r="AC5" s="167" t="n">
        <v>30598370.195122</v>
      </c>
      <c r="AD5" s="33" t="n">
        <v>30641682.9565854</v>
      </c>
      <c r="AE5" s="32" t="n">
        <v>29414439.0243902</v>
      </c>
      <c r="AF5" s="20" t="n">
        <v>29414439.0243902</v>
      </c>
      <c r="AG5" s="32" t="n">
        <v>32944171.7073171</v>
      </c>
      <c r="AH5" s="32" t="n">
        <v>32355882.9268293</v>
      </c>
      <c r="AI5" s="26" t="n">
        <v>41915575.6097561</v>
      </c>
      <c r="AJ5" s="33" t="n">
        <v>41402440.7209756</v>
      </c>
      <c r="AK5" s="32" t="n">
        <v>39055021.4146341</v>
      </c>
      <c r="AL5" s="20" t="n">
        <v>39047667.8048781</v>
      </c>
      <c r="AM5" s="32" t="n">
        <v>39231508.0487805</v>
      </c>
      <c r="AN5" s="167" t="n">
        <v>37144921.2804878</v>
      </c>
      <c r="AO5" s="33" t="n">
        <v>36768048.7804878</v>
      </c>
      <c r="AP5" s="32" t="n">
        <v>35853774.4795122</v>
      </c>
      <c r="AQ5" s="20" t="n">
        <v>34924866.495122</v>
      </c>
    </row>
    <row r="6" customFormat="false" ht="12.8" hidden="false" customHeight="false" outlineLevel="0" collapsed="false">
      <c r="A6" s="139" t="s">
        <v>192</v>
      </c>
      <c r="B6" s="20" t="n">
        <v>15774803.1382114</v>
      </c>
      <c r="C6" s="25" t="n">
        <v>15774508.6178862</v>
      </c>
      <c r="D6" s="32" t="n">
        <v>15774508.6178862</v>
      </c>
      <c r="E6" s="20" t="n">
        <v>15774508.6178862</v>
      </c>
      <c r="F6" s="32" t="n">
        <v>15774508.6178862</v>
      </c>
      <c r="G6" s="20" t="n">
        <v>15315645.9512195</v>
      </c>
      <c r="H6" s="32" t="n">
        <v>14873276.4227642</v>
      </c>
      <c r="I6" s="26" t="n">
        <v>15138344.7154472</v>
      </c>
      <c r="J6" s="33" t="n">
        <v>15138344.7154472</v>
      </c>
      <c r="K6" s="25" t="n">
        <v>14430902.3414634</v>
      </c>
      <c r="L6" s="32" t="n">
        <v>15141289.9186992</v>
      </c>
      <c r="M6" s="20" t="n">
        <v>15141289.9186992</v>
      </c>
      <c r="N6" s="20" t="n">
        <v>15141289.9186992</v>
      </c>
      <c r="O6" s="32" t="n">
        <v>15141289.9186992</v>
      </c>
      <c r="P6" s="167" t="n">
        <v>15624303.2520325</v>
      </c>
      <c r="Q6" s="33" t="n">
        <v>15609577.2357724</v>
      </c>
      <c r="R6" s="32" t="n">
        <v>15904097.5609756</v>
      </c>
      <c r="S6" s="20" t="n">
        <v>15904097.5609756</v>
      </c>
      <c r="T6" s="32" t="n">
        <v>16345878.0487805</v>
      </c>
      <c r="U6" s="32" t="n">
        <v>16787658.5365854</v>
      </c>
      <c r="V6" s="20" t="n">
        <v>17523959.3495935</v>
      </c>
      <c r="W6" s="20" t="n">
        <v>17523959.3495935</v>
      </c>
      <c r="X6" s="26" t="n">
        <v>17523959.3495935</v>
      </c>
      <c r="Y6" s="33" t="n">
        <v>17627041.4634146</v>
      </c>
      <c r="Z6" s="32" t="n">
        <v>18283821.7886179</v>
      </c>
      <c r="AA6" s="20" t="n">
        <v>18283821.7886179</v>
      </c>
      <c r="AB6" s="32" t="n">
        <v>19438341.4634146</v>
      </c>
      <c r="AC6" s="167" t="n">
        <v>20027676.6341463</v>
      </c>
      <c r="AD6" s="33" t="n">
        <v>17965739.8373984</v>
      </c>
      <c r="AE6" s="32" t="n">
        <v>17965739.8373984</v>
      </c>
      <c r="AF6" s="20" t="n">
        <v>18260260.1626016</v>
      </c>
      <c r="AG6" s="32" t="n">
        <v>17523959.3495935</v>
      </c>
      <c r="AH6" s="32" t="n">
        <v>15745056.5853659</v>
      </c>
      <c r="AI6" s="26" t="n">
        <v>21794504.0650407</v>
      </c>
      <c r="AJ6" s="33" t="n">
        <v>21794504.0650407</v>
      </c>
      <c r="AK6" s="32" t="n">
        <v>22236284.5528455</v>
      </c>
      <c r="AL6" s="20" t="n">
        <v>22236284.5528455</v>
      </c>
      <c r="AM6" s="32" t="n">
        <v>22707517.0731707</v>
      </c>
      <c r="AN6" s="167" t="n">
        <v>22383544.7154472</v>
      </c>
      <c r="AO6" s="33" t="n">
        <v>19997930.0813008</v>
      </c>
      <c r="AP6" s="32" t="n">
        <v>18504785.6626016</v>
      </c>
      <c r="AQ6" s="20" t="n">
        <v>17995191.8699187</v>
      </c>
    </row>
    <row r="7" customFormat="false" ht="12.8" hidden="false" customHeight="false" outlineLevel="0" collapsed="false">
      <c r="A7" s="139" t="s">
        <v>28</v>
      </c>
      <c r="B7" s="20" t="n">
        <v>5301219.51219512</v>
      </c>
      <c r="C7" s="25" t="n">
        <v>5301219.51219512</v>
      </c>
      <c r="D7" s="32" t="n">
        <v>5301219.51219512</v>
      </c>
      <c r="E7" s="20" t="n">
        <v>5301219.51219512</v>
      </c>
      <c r="F7" s="32" t="n">
        <v>5301219.51219512</v>
      </c>
      <c r="G7" s="20" t="n">
        <v>5301219.51219512</v>
      </c>
      <c r="H7" s="32" t="n">
        <v>5200243.90243902</v>
      </c>
      <c r="I7" s="26" t="n">
        <v>5048780.48780488</v>
      </c>
      <c r="J7" s="33" t="n">
        <v>5048780.48780488</v>
      </c>
      <c r="K7" s="25" t="n">
        <v>5048780.48780488</v>
      </c>
      <c r="L7" s="32" t="n">
        <v>5048780.48780488</v>
      </c>
      <c r="M7" s="20" t="n">
        <v>5048780.48780488</v>
      </c>
      <c r="N7" s="20" t="n">
        <v>3281707.31707317</v>
      </c>
      <c r="O7" s="32" t="n">
        <v>3281707.31707317</v>
      </c>
      <c r="P7" s="167" t="n">
        <v>5183414.63414634</v>
      </c>
      <c r="Q7" s="33" t="n">
        <v>5183414.63414634</v>
      </c>
      <c r="R7" s="32" t="n">
        <v>5183414.63414634</v>
      </c>
      <c r="S7" s="20" t="n">
        <v>5183414.63414634</v>
      </c>
      <c r="T7" s="32" t="n">
        <v>5183414.63414634</v>
      </c>
      <c r="U7" s="32" t="n">
        <v>5183414.63414634</v>
      </c>
      <c r="V7" s="20" t="n">
        <v>5183414.63414634</v>
      </c>
      <c r="W7" s="20" t="n">
        <v>5183414.63414634</v>
      </c>
      <c r="X7" s="26" t="n">
        <v>5183414.63414634</v>
      </c>
      <c r="Y7" s="33" t="n">
        <v>5183414.63414634</v>
      </c>
      <c r="Z7" s="32" t="n">
        <v>4207317.07317073</v>
      </c>
      <c r="AA7" s="20" t="n">
        <v>4207317.07317073</v>
      </c>
      <c r="AB7" s="32" t="n">
        <v>4207317.07317073</v>
      </c>
      <c r="AC7" s="167" t="n">
        <v>4207317.07317073</v>
      </c>
      <c r="AD7" s="33" t="n">
        <v>4207317.07317073</v>
      </c>
      <c r="AE7" s="32" t="n">
        <v>4897317.07317073</v>
      </c>
      <c r="AF7" s="20" t="n">
        <v>5048780.48780488</v>
      </c>
      <c r="AG7" s="32" t="n">
        <v>5385365.85365854</v>
      </c>
      <c r="AH7" s="32" t="n">
        <v>5402195.12195122</v>
      </c>
      <c r="AI7" s="26" t="n">
        <v>5402195.12195122</v>
      </c>
      <c r="AJ7" s="33" t="n">
        <v>4796341.46341464</v>
      </c>
      <c r="AK7" s="32" t="n">
        <v>4964634.14634146</v>
      </c>
      <c r="AL7" s="20" t="n">
        <v>4981463.41463415</v>
      </c>
      <c r="AM7" s="32" t="n">
        <v>6344634.14634146</v>
      </c>
      <c r="AN7" s="167" t="n">
        <v>6546585.36585366</v>
      </c>
      <c r="AO7" s="33" t="n">
        <v>6058536.58536585</v>
      </c>
      <c r="AP7" s="32" t="n">
        <v>5890243.90243902</v>
      </c>
      <c r="AQ7" s="20" t="n">
        <v>5132926.82926829</v>
      </c>
    </row>
    <row r="8" customFormat="false" ht="12.8" hidden="false" customHeight="false" outlineLevel="0" collapsed="false">
      <c r="A8" s="139" t="s">
        <v>200</v>
      </c>
      <c r="B8" s="20" t="n">
        <v>2961397.46341463</v>
      </c>
      <c r="C8" s="25" t="n">
        <v>2961397.46341463</v>
      </c>
      <c r="D8" s="32" t="n">
        <v>2961397.46341463</v>
      </c>
      <c r="E8" s="20" t="n">
        <v>2961397.46341463</v>
      </c>
      <c r="F8" s="32" t="n">
        <v>2961397.46341463</v>
      </c>
      <c r="G8" s="20" t="n">
        <v>2961397.46341463</v>
      </c>
      <c r="H8" s="32" t="n">
        <v>2961397.46341463</v>
      </c>
      <c r="I8" s="26" t="n">
        <v>2807558.63414634</v>
      </c>
      <c r="J8" s="33" t="n">
        <v>2820378.53658537</v>
      </c>
      <c r="K8" s="25" t="n">
        <v>2640899.90243902</v>
      </c>
      <c r="L8" s="32" t="n">
        <v>2640899.90243902</v>
      </c>
      <c r="M8" s="20" t="n">
        <v>2640899.90243902</v>
      </c>
      <c r="N8" s="20" t="n">
        <v>2640899.90243902</v>
      </c>
      <c r="O8" s="32" t="n">
        <v>2448601.36585366</v>
      </c>
      <c r="P8" s="167" t="n">
        <v>2499880.97560976</v>
      </c>
      <c r="Q8" s="33" t="n">
        <v>2563980.48780488</v>
      </c>
      <c r="R8" s="32" t="n">
        <v>2563980.48780488</v>
      </c>
      <c r="S8" s="20" t="n">
        <v>2615260.09756098</v>
      </c>
      <c r="T8" s="32" t="n">
        <v>2435781.46341463</v>
      </c>
      <c r="U8" s="32" t="n">
        <v>2371681.95121951</v>
      </c>
      <c r="V8" s="20" t="n">
        <v>2371681.95121951</v>
      </c>
      <c r="W8" s="20" t="n">
        <v>2371681.95121951</v>
      </c>
      <c r="X8" s="26" t="n">
        <v>2679359.6097561</v>
      </c>
      <c r="Y8" s="33" t="n">
        <v>2089644.09756098</v>
      </c>
      <c r="Z8" s="32" t="n">
        <v>2448601.36585366</v>
      </c>
      <c r="AA8" s="20" t="n">
        <v>3204975.6097561</v>
      </c>
      <c r="AB8" s="32" t="n">
        <v>3204975.6097561</v>
      </c>
      <c r="AC8" s="167" t="n">
        <v>3204975.6097561</v>
      </c>
      <c r="AD8" s="33" t="n">
        <v>2448601.36585366</v>
      </c>
      <c r="AE8" s="32" t="n">
        <v>2448601.36585366</v>
      </c>
      <c r="AF8" s="20" t="n">
        <v>2448601.36585366</v>
      </c>
      <c r="AG8" s="32" t="n">
        <v>2563980.48780488</v>
      </c>
      <c r="AH8" s="32" t="n">
        <v>2563980.48780488</v>
      </c>
      <c r="AI8" s="26" t="n">
        <v>2563980.48780488</v>
      </c>
      <c r="AJ8" s="33" t="n">
        <v>3012677.07317073</v>
      </c>
      <c r="AK8" s="32" t="n">
        <v>2563980.48780488</v>
      </c>
      <c r="AL8" s="20" t="n">
        <v>2563980.48780488</v>
      </c>
      <c r="AM8" s="32" t="n">
        <v>2628080</v>
      </c>
      <c r="AN8" s="167" t="n">
        <v>2704999.41463415</v>
      </c>
      <c r="AO8" s="33" t="n">
        <v>2064004.29268293</v>
      </c>
      <c r="AP8" s="32" t="n">
        <v>3051136.7804878</v>
      </c>
      <c r="AQ8" s="20" t="n">
        <v>2948577.56097561</v>
      </c>
    </row>
    <row r="10" customFormat="false" ht="12.8" hidden="false" customHeight="false" outlineLevel="0" collapsed="false">
      <c r="A10" s="1" t="s">
        <v>216</v>
      </c>
      <c r="B10" s="191" t="n">
        <f aca="false">SUM(B3:B8)</f>
        <v>883342304.95496</v>
      </c>
      <c r="C10" s="181" t="n">
        <f aca="false">SUM(C3:C8)</f>
        <v>875798406.406179</v>
      </c>
      <c r="D10" s="187" t="n">
        <f aca="false">SUM(D3:D8)</f>
        <v>883244551.772357</v>
      </c>
      <c r="E10" s="181" t="n">
        <f aca="false">SUM(E3:E8)</f>
        <v>884916089.119024</v>
      </c>
      <c r="F10" s="187" t="n">
        <f aca="false">SUM(F3:F8)</f>
        <v>870893025.56748</v>
      </c>
      <c r="G10" s="181" t="n">
        <f aca="false">SUM(G3:G8)</f>
        <v>849865193.101463</v>
      </c>
      <c r="H10" s="187" t="n">
        <f aca="false">SUM(H3:H8)</f>
        <v>839674485.306667</v>
      </c>
      <c r="I10" s="184" t="n">
        <f aca="false">SUM(I3:I8)</f>
        <v>833962909.002277</v>
      </c>
      <c r="J10" s="185" t="n">
        <f aca="false">SUM(J3:J8)</f>
        <v>773847384.27057</v>
      </c>
      <c r="K10" s="181" t="n">
        <f aca="false">SUM(K3:K8)</f>
        <v>821958989.203252</v>
      </c>
      <c r="L10" s="187" t="n">
        <f aca="false">SUM(L3:L8)</f>
        <v>797763072.747967</v>
      </c>
      <c r="M10" s="181" t="n">
        <f aca="false">SUM(M3:M8)</f>
        <v>797854440.227642</v>
      </c>
      <c r="N10" s="181" t="n">
        <f aca="false">SUM(N3:N8)</f>
        <v>794161789.260163</v>
      </c>
      <c r="O10" s="187" t="n">
        <f aca="false">SUM(O3:O8)</f>
        <v>800293951.534959</v>
      </c>
      <c r="P10" s="186" t="n">
        <f aca="false">SUM(P3:P8)</f>
        <v>778383716.663088</v>
      </c>
      <c r="Q10" s="185" t="n">
        <f aca="false">SUM(Q3:Q8)</f>
        <v>747664626.844228</v>
      </c>
      <c r="R10" s="187" t="n">
        <f aca="false">SUM(R3:R8)</f>
        <v>722036491.367479</v>
      </c>
      <c r="S10" s="181" t="n">
        <f aca="false">SUM(S3:S8)</f>
        <v>757706252.906178</v>
      </c>
      <c r="T10" s="187" t="n">
        <f aca="false">SUM(T3:T8)</f>
        <v>766550156.06504</v>
      </c>
      <c r="U10" s="187" t="n">
        <f aca="false">SUM(U3:U8)</f>
        <v>753493132.879025</v>
      </c>
      <c r="V10" s="181" t="n">
        <f aca="false">SUM(V3:V8)</f>
        <v>745165020.76065</v>
      </c>
      <c r="W10" s="181" t="n">
        <f aca="false">SUM(W3:W8)</f>
        <v>730320605.40813</v>
      </c>
      <c r="X10" s="184" t="n">
        <f aca="false">SUM(X3:X8)</f>
        <v>767626531.96748</v>
      </c>
      <c r="Y10" s="185" t="n">
        <f aca="false">SUM(Y3:Y8)</f>
        <v>741242214.178862</v>
      </c>
      <c r="Z10" s="187" t="n">
        <f aca="false">SUM(Z3:Z8)</f>
        <v>720389851.455935</v>
      </c>
      <c r="AA10" s="181" t="n">
        <f aca="false">SUM(AA3:AA8)</f>
        <v>755826424.984389</v>
      </c>
      <c r="AB10" s="187" t="n">
        <f aca="false">SUM(AB3:AB8)</f>
        <v>735254115.177885</v>
      </c>
      <c r="AC10" s="186" t="n">
        <f aca="false">SUM(AC3:AC8)</f>
        <v>698005040.040325</v>
      </c>
      <c r="AD10" s="185" t="n">
        <f aca="false">SUM(AD3:AD8)</f>
        <v>679127569.10683</v>
      </c>
      <c r="AE10" s="187" t="n">
        <f aca="false">SUM(AE3:AE8)</f>
        <v>678123746.201951</v>
      </c>
      <c r="AF10" s="181" t="n">
        <f aca="false">SUM(AF3:AF8)</f>
        <v>675385269.874146</v>
      </c>
      <c r="AG10" s="187" t="n">
        <f aca="false">SUM(AG3:AG8)</f>
        <v>664788629.82439</v>
      </c>
      <c r="AH10" s="187" t="n">
        <f aca="false">SUM(AH3:AH8)</f>
        <v>567274054.569431</v>
      </c>
      <c r="AI10" s="184" t="n">
        <f aca="false">SUM(AI3:AI8)</f>
        <v>711213310.723902</v>
      </c>
      <c r="AJ10" s="185" t="n">
        <f aca="false">SUM(AJ3:AJ8)</f>
        <v>711938803.201951</v>
      </c>
      <c r="AK10" s="187" t="n">
        <f aca="false">SUM(AK3:AK8)</f>
        <v>683747799.052358</v>
      </c>
      <c r="AL10" s="181" t="n">
        <f aca="false">SUM(AL3:AL8)</f>
        <v>657503683.196098</v>
      </c>
      <c r="AM10" s="187" t="n">
        <f aca="false">SUM(AM3:AM8)</f>
        <v>642328776.900163</v>
      </c>
      <c r="AN10" s="186" t="n">
        <f aca="false">SUM(AN3:AN8)</f>
        <v>619299317.221952</v>
      </c>
      <c r="AO10" s="185" t="n">
        <f aca="false">SUM(AO3:AO8)</f>
        <v>604708170.770732</v>
      </c>
      <c r="AP10" s="187" t="n">
        <f aca="false">SUM(AP3:AP8)</f>
        <v>601349542.783089</v>
      </c>
      <c r="AQ10" s="181" t="n">
        <f aca="false">SUM(AQ3:AQ8)</f>
        <v>592881469.220325</v>
      </c>
    </row>
    <row r="11" customFormat="false" ht="12.8" hidden="false" customHeight="false" outlineLevel="0" collapsed="false">
      <c r="A11" s="1" t="s">
        <v>202</v>
      </c>
      <c r="B11" s="191" t="n">
        <f aca="false">SUMPRODUCT(B3:B8,B15:B20)</f>
        <v>498135595.964262</v>
      </c>
      <c r="C11" s="181" t="n">
        <f aca="false">SUMPRODUCT(C3:C8,C15:C20)</f>
        <v>500477807.344961</v>
      </c>
      <c r="D11" s="187" t="n">
        <f aca="false">SUMPRODUCT(D3:D8,D15:D20)</f>
        <v>509051069.123246</v>
      </c>
      <c r="E11" s="181" t="n">
        <f aca="false">SUMPRODUCT(E3:E8,E15:E20)</f>
        <v>511341444.186436</v>
      </c>
      <c r="F11" s="187" t="n">
        <f aca="false">SUMPRODUCT(F3:F8,F15:F20)</f>
        <v>519138293.498445</v>
      </c>
      <c r="G11" s="181" t="n">
        <f aca="false">SUMPRODUCT(G3:G8,G15:G20)</f>
        <v>526255161.596777</v>
      </c>
      <c r="H11" s="187" t="n">
        <f aca="false">SUMPRODUCT(H3:H8,H15:H20)</f>
        <v>530578728.580107</v>
      </c>
      <c r="I11" s="184" t="n">
        <f aca="false">SUMPRODUCT(I3:I8,I15:I20)</f>
        <v>532784082.974125</v>
      </c>
      <c r="J11" s="185" t="n">
        <f aca="false">SUMPRODUCT(J3:J8,J15:J20)</f>
        <v>482075264.93228</v>
      </c>
      <c r="K11" s="181" t="n">
        <f aca="false">SUMPRODUCT(K3:K8,K15:K20)</f>
        <v>520263839.943851</v>
      </c>
      <c r="L11" s="187" t="n">
        <f aca="false">SUMPRODUCT(L3:L8,L15:L20)</f>
        <v>506516713.995524</v>
      </c>
      <c r="M11" s="181" t="n">
        <f aca="false">SUMPRODUCT(M3:M8,M15:M20)</f>
        <v>506486028.592689</v>
      </c>
      <c r="N11" s="181" t="n">
        <f aca="false">SUMPRODUCT(N3:N8,N15:N20)</f>
        <v>506349609.102922</v>
      </c>
      <c r="O11" s="187" t="n">
        <f aca="false">SUMPRODUCT(O3:O8,O15:O20)</f>
        <v>510007436.857724</v>
      </c>
      <c r="P11" s="186" t="n">
        <f aca="false">SUMPRODUCT(P3:P8,P15:P20)</f>
        <v>483251734.264518</v>
      </c>
      <c r="Q11" s="185" t="n">
        <f aca="false">SUMPRODUCT(Q3:Q8,Q15:Q20)</f>
        <v>454780303.841969</v>
      </c>
      <c r="R11" s="187" t="n">
        <f aca="false">SUMPRODUCT(R3:R8,R15:R20)</f>
        <v>434003241.229703</v>
      </c>
      <c r="S11" s="181" t="n">
        <f aca="false">SUMPRODUCT(S3:S8,S15:S20)</f>
        <v>458227413.548325</v>
      </c>
      <c r="T11" s="187" t="n">
        <f aca="false">SUMPRODUCT(T3:T8,T15:T20)</f>
        <v>461635004.744741</v>
      </c>
      <c r="U11" s="187" t="n">
        <f aca="false">SUMPRODUCT(U3:U8,U15:U20)</f>
        <v>443572492.869721</v>
      </c>
      <c r="V11" s="181" t="n">
        <f aca="false">SUMPRODUCT(V3:V8,V15:V20)</f>
        <v>443408253.387107</v>
      </c>
      <c r="W11" s="181" t="n">
        <f aca="false">SUMPRODUCT(W3:W8,W15:W20)</f>
        <v>431225863.678014</v>
      </c>
      <c r="X11" s="184" t="n">
        <f aca="false">SUMPRODUCT(X3:X8,X15:X20)</f>
        <v>448597736.096238</v>
      </c>
      <c r="Y11" s="185" t="n">
        <f aca="false">SUMPRODUCT(Y3:Y8,Y15:Y20)</f>
        <v>419733450.399409</v>
      </c>
      <c r="Z11" s="187" t="n">
        <f aca="false">SUMPRODUCT(Z3:Z8,Z15:Z20)</f>
        <v>408093048.649791</v>
      </c>
      <c r="AA11" s="181" t="n">
        <f aca="false">SUMPRODUCT(AA3:AA8,AA15:AA20)</f>
        <v>432103493.963671</v>
      </c>
      <c r="AB11" s="187" t="n">
        <f aca="false">SUMPRODUCT(AB3:AB8,AB15:AB20)</f>
        <v>419260945.14947</v>
      </c>
      <c r="AC11" s="186" t="n">
        <f aca="false">SUMPRODUCT(AC3:AC8,AC15:AC20)</f>
        <v>397051261.065299</v>
      </c>
      <c r="AD11" s="185" t="n">
        <f aca="false">SUMPRODUCT(AD3:AD8,AD15:AD20)</f>
        <v>381112287.449056</v>
      </c>
      <c r="AE11" s="187" t="n">
        <f aca="false">SUMPRODUCT(AE3:AE8,AE15:AE20)</f>
        <v>388037801.489861</v>
      </c>
      <c r="AF11" s="181" t="n">
        <f aca="false">SUMPRODUCT(AF3:AF8,AF15:AF20)</f>
        <v>390416515.21593</v>
      </c>
      <c r="AG11" s="187" t="n">
        <f aca="false">SUMPRODUCT(AG3:AG8,AG15:AG20)</f>
        <v>380998518.737745</v>
      </c>
      <c r="AH11" s="187" t="n">
        <f aca="false">SUMPRODUCT(AH3:AH8,AH15:AH20)</f>
        <v>326737097.80086</v>
      </c>
      <c r="AI11" s="184" t="n">
        <f aca="false">SUMPRODUCT(AI3:AI8,AI15:AI20)</f>
        <v>380737180.308822</v>
      </c>
      <c r="AJ11" s="185" t="n">
        <f aca="false">SUMPRODUCT(AJ3:AJ8,AJ15:AJ20)</f>
        <v>380839052.941719</v>
      </c>
      <c r="AK11" s="187" t="n">
        <f aca="false">SUMPRODUCT(AK3:AK8,AK15:AK20)</f>
        <v>368144658.559273</v>
      </c>
      <c r="AL11" s="181" t="n">
        <f aca="false">SUMPRODUCT(AL3:AL8,AL15:AL20)</f>
        <v>357860116.131953</v>
      </c>
      <c r="AM11" s="187" t="n">
        <f aca="false">SUMPRODUCT(AM3:AM8,AM15:AM20)</f>
        <v>350034089.879481</v>
      </c>
      <c r="AN11" s="186" t="n">
        <f aca="false">SUMPRODUCT(AN3:AN8,AN15:AN20)</f>
        <v>353783915.974063</v>
      </c>
      <c r="AO11" s="185" t="n">
        <f aca="false">SUMPRODUCT(AO3:AO8,AO15:AO20)</f>
        <v>354817038.999151</v>
      </c>
      <c r="AP11" s="187" t="n">
        <f aca="false">SUMPRODUCT(AP3:AP8,AP15:AP20)</f>
        <v>352066083.025817</v>
      </c>
      <c r="AQ11" s="181" t="n">
        <f aca="false">SUMPRODUCT(AQ3:AQ8,AQ15:AQ20)</f>
        <v>351597463.102283</v>
      </c>
    </row>
    <row r="12" customFormat="false" ht="12.8" hidden="false" customHeight="false" outlineLevel="0" collapsed="false">
      <c r="A12" s="23" t="s">
        <v>86</v>
      </c>
      <c r="B12" s="192" t="n">
        <f aca="false">B11/$AQ11*1000</f>
        <v>1416.77812908266</v>
      </c>
      <c r="C12" s="193" t="n">
        <f aca="false">C11/$AQ11*1000</f>
        <v>1423.43975672932</v>
      </c>
      <c r="D12" s="194" t="n">
        <f aca="false">D11/$AQ11*1000</f>
        <v>1447.82349858753</v>
      </c>
      <c r="E12" s="195" t="n">
        <f aca="false">E11/$AQ11*1000</f>
        <v>1454.33769537092</v>
      </c>
      <c r="F12" s="194" t="n">
        <f aca="false">F11/$AQ11*1000</f>
        <v>1476.51319471387</v>
      </c>
      <c r="G12" s="195" t="n">
        <f aca="false">G11/$AQ11*1000</f>
        <v>1496.75471760638</v>
      </c>
      <c r="H12" s="194" t="n">
        <f aca="false">H11/$AQ11*1000</f>
        <v>1509.05164075589</v>
      </c>
      <c r="I12" s="196" t="n">
        <f aca="false">I11/$AQ11*1000</f>
        <v>1515.32402501759</v>
      </c>
      <c r="J12" s="197" t="n">
        <f aca="false">J11/$AQ11*1000</f>
        <v>1371.09995242497</v>
      </c>
      <c r="K12" s="195" t="n">
        <f aca="false">K11/$AQ11*1000</f>
        <v>1479.71443068263</v>
      </c>
      <c r="L12" s="194" t="n">
        <f aca="false">L11/$AQ11*1000</f>
        <v>1440.61538307566</v>
      </c>
      <c r="M12" s="195" t="n">
        <f aca="false">M11/$AQ11*1000</f>
        <v>1440.52810883151</v>
      </c>
      <c r="N12" s="195" t="n">
        <f aca="false">N11/$AQ11*1000</f>
        <v>1440.14010975847</v>
      </c>
      <c r="O12" s="194" t="n">
        <f aca="false">O11/$AQ11*1000</f>
        <v>1450.54356296467</v>
      </c>
      <c r="P12" s="198" t="n">
        <f aca="false">P11/$AQ11*1000</f>
        <v>1374.44602131255</v>
      </c>
      <c r="Q12" s="197" t="n">
        <f aca="false">Q11/$AQ11*1000</f>
        <v>1293.46867246784</v>
      </c>
      <c r="R12" s="194" t="n">
        <f aca="false">R11/$AQ11*1000</f>
        <v>1234.3753490151</v>
      </c>
      <c r="S12" s="195" t="n">
        <f aca="false">S11/$AQ11*1000</f>
        <v>1303.27280949414</v>
      </c>
      <c r="T12" s="194" t="n">
        <f aca="false">T11/$AQ11*1000</f>
        <v>1312.96454949235</v>
      </c>
      <c r="U12" s="194" t="n">
        <f aca="false">U11/$AQ11*1000</f>
        <v>1261.59184698293</v>
      </c>
      <c r="V12" s="195" t="n">
        <f aca="false">V11/$AQ11*1000</f>
        <v>1261.12472335478</v>
      </c>
      <c r="W12" s="195" t="n">
        <f aca="false">W11/$AQ11*1000</f>
        <v>1226.47603845926</v>
      </c>
      <c r="X12" s="196" t="n">
        <f aca="false">X11/$AQ11*1000</f>
        <v>1275.88445075253</v>
      </c>
      <c r="Y12" s="197" t="n">
        <f aca="false">Y11/$AQ11*1000</f>
        <v>1193.78975802594</v>
      </c>
      <c r="Z12" s="194" t="n">
        <f aca="false">Z11/$AQ11*1000</f>
        <v>1160.68257446747</v>
      </c>
      <c r="AA12" s="195" t="n">
        <f aca="false">AA11/$AQ11*1000</f>
        <v>1228.9721608087</v>
      </c>
      <c r="AB12" s="194" t="n">
        <f aca="false">AB11/$AQ11*1000</f>
        <v>1192.44587674258</v>
      </c>
      <c r="AC12" s="198" t="n">
        <f aca="false">AC11/$AQ11*1000</f>
        <v>1129.27794632521</v>
      </c>
      <c r="AD12" s="197" t="n">
        <f aca="false">AD11/$AQ11*1000</f>
        <v>1083.94492976813</v>
      </c>
      <c r="AE12" s="194" t="n">
        <f aca="false">AE11/$AQ11*1000</f>
        <v>1103.64221079996</v>
      </c>
      <c r="AF12" s="195" t="n">
        <f aca="false">AF11/$AQ11*1000</f>
        <v>1110.4076570153</v>
      </c>
      <c r="AG12" s="194" t="n">
        <f aca="false">AG11/$AQ11*1000</f>
        <v>1083.62135316917</v>
      </c>
      <c r="AH12" s="194" t="n">
        <f aca="false">AH11/$AQ11*1000</f>
        <v>929.293103874896</v>
      </c>
      <c r="AI12" s="196" t="n">
        <f aca="false">AI11/$AQ11*1000</f>
        <v>1082.87806444742</v>
      </c>
      <c r="AJ12" s="197" t="n">
        <f aca="false">AJ11/$AQ11*1000</f>
        <v>1083.16780667706</v>
      </c>
      <c r="AK12" s="194" t="n">
        <f aca="false">AK11/$AQ11*1000</f>
        <v>1047.06289775526</v>
      </c>
      <c r="AL12" s="195" t="n">
        <f aca="false">AL11/$AQ11*1000</f>
        <v>1017.81199720388</v>
      </c>
      <c r="AM12" s="194" t="n">
        <f aca="false">AM11/$AQ11*1000</f>
        <v>995.553513927524</v>
      </c>
      <c r="AN12" s="198" t="n">
        <f aca="false">AN11/$AQ11*1000</f>
        <v>1006.21862527815</v>
      </c>
      <c r="AO12" s="197" t="n">
        <f aca="false">AO11/$AQ11*1000</f>
        <v>1009.15699410474</v>
      </c>
      <c r="AP12" s="199" t="n">
        <f aca="false">AP11/$AQ11*1000</f>
        <v>1001.33283078723</v>
      </c>
      <c r="AQ12" s="193" t="n">
        <v>1000</v>
      </c>
    </row>
    <row r="13" customFormat="false" ht="12.8" hidden="false" customHeight="false" outlineLevel="0" collapsed="false">
      <c r="A13" s="1" t="s">
        <v>218</v>
      </c>
      <c r="B13" s="201" t="n">
        <f aca="false">B10/C10-1</f>
        <v>0.00861373861107762</v>
      </c>
      <c r="C13" s="118" t="n">
        <f aca="false">C10/D10-1</f>
        <v>-0.0084304458501745</v>
      </c>
      <c r="D13" s="117" t="n">
        <f aca="false">D10/E10-1</f>
        <v>-0.00188892186188128</v>
      </c>
      <c r="E13" s="79" t="n">
        <f aca="false">E10/F10-1</f>
        <v>0.0161019357600283</v>
      </c>
      <c r="F13" s="117" t="n">
        <f aca="false">F10/G10-1</f>
        <v>0.0247425505088386</v>
      </c>
      <c r="G13" s="79" t="n">
        <f aca="false">G10/H10-1</f>
        <v>0.0121364980991108</v>
      </c>
      <c r="H13" s="117" t="n">
        <f aca="false">H10/I10-1</f>
        <v>0.00684871742224513</v>
      </c>
      <c r="I13" s="176" t="n">
        <f aca="false">I10/J10-1</f>
        <v>0.0776839541667151</v>
      </c>
      <c r="J13" s="177" t="n">
        <f aca="false">J10/K10-1</f>
        <v>-0.0585328532988216</v>
      </c>
      <c r="K13" s="79" t="n">
        <f aca="false">K10/L10-1</f>
        <v>0.0303297022409663</v>
      </c>
      <c r="L13" s="117" t="n">
        <f aca="false">L10/M10-1</f>
        <v>-0.00011451647702676</v>
      </c>
      <c r="M13" s="79" t="n">
        <f aca="false">M10/N10-1</f>
        <v>0.00464974645899252</v>
      </c>
      <c r="N13" s="79" t="n">
        <f aca="false">N10/O10-1</f>
        <v>-0.00766238738033054</v>
      </c>
      <c r="O13" s="117" t="n">
        <f aca="false">O10/P10-1</f>
        <v>0.028148372586466</v>
      </c>
      <c r="P13" s="178" t="n">
        <f aca="false">P10/Q10-1</f>
        <v>0.041086723533412</v>
      </c>
      <c r="Q13" s="177" t="n">
        <f aca="false">Q10/R10-1</f>
        <v>0.0354942385643295</v>
      </c>
      <c r="R13" s="117" t="n">
        <f aca="false">R10/S10-1</f>
        <v>-0.0470759762135895</v>
      </c>
      <c r="S13" s="79" t="n">
        <f aca="false">S10/T10-1</f>
        <v>-0.01153727918374</v>
      </c>
      <c r="T13" s="117" t="n">
        <f aca="false">T10/U10-1</f>
        <v>0.0173286558513486</v>
      </c>
      <c r="U13" s="117" t="n">
        <f aca="false">U10/V10-1</f>
        <v>0.011176198407534</v>
      </c>
      <c r="V13" s="79" t="n">
        <f aca="false">V10/W10-1</f>
        <v>0.0203258887159898</v>
      </c>
      <c r="W13" s="79" t="n">
        <f aca="false">W10/X10-1</f>
        <v>-0.0485990582734706</v>
      </c>
      <c r="X13" s="176" t="n">
        <f aca="false">X10/Y10-1</f>
        <v>0.0355947317677334</v>
      </c>
      <c r="Y13" s="177" t="n">
        <f aca="false">Y10/Z10-1</f>
        <v>0.0289459418130114</v>
      </c>
      <c r="Z13" s="117" t="n">
        <f aca="false">Z10/AA10-1</f>
        <v>-0.0468845390384262</v>
      </c>
      <c r="AA13" s="79" t="n">
        <f aca="false">AA10/AB10-1</f>
        <v>0.0279798635353803</v>
      </c>
      <c r="AB13" s="117" t="n">
        <f aca="false">AB10/AC10-1</f>
        <v>0.0533650518274313</v>
      </c>
      <c r="AC13" s="178" t="n">
        <f aca="false">AC10/AD10-1</f>
        <v>0.0277966493958155</v>
      </c>
      <c r="AD13" s="177" t="n">
        <f aca="false">AD10/AE10-1</f>
        <v>0.00148029457824106</v>
      </c>
      <c r="AE13" s="117" t="n">
        <f aca="false">AE10/AF10-1</f>
        <v>0.00405468767228934</v>
      </c>
      <c r="AF13" s="79" t="n">
        <f aca="false">AF10/AG10-1</f>
        <v>0.0159398635511494</v>
      </c>
      <c r="AG13" s="117" t="n">
        <f aca="false">AG10/AH10-1</f>
        <v>0.17190029134855</v>
      </c>
      <c r="AH13" s="117" t="n">
        <f aca="false">AH10/AI10-1</f>
        <v>-0.202385492487427</v>
      </c>
      <c r="AI13" s="176" t="n">
        <f aca="false">AI10/AJ10-1</f>
        <v>-0.00101903769647882</v>
      </c>
      <c r="AJ13" s="177" t="n">
        <f aca="false">AJ10/AK10-1</f>
        <v>0.041230120504467</v>
      </c>
      <c r="AK13" s="117" t="n">
        <f aca="false">AK10/AL10-1</f>
        <v>0.0399147815091905</v>
      </c>
      <c r="AL13" s="79" t="n">
        <f aca="false">AL10/AM10-1</f>
        <v>0.0236248271004891</v>
      </c>
      <c r="AM13" s="117" t="n">
        <f aca="false">AM10/AN10-1</f>
        <v>0.0371863153047167</v>
      </c>
      <c r="AN13" s="178" t="n">
        <f aca="false">AN10/AO10-1</f>
        <v>0.0241292364755423</v>
      </c>
      <c r="AO13" s="177" t="n">
        <f aca="false">AO10/AP10-1</f>
        <v>0.00558515097907786</v>
      </c>
      <c r="AP13" s="179" t="n">
        <f aca="false">AP10/AQ10-1</f>
        <v>0.0142829115133249</v>
      </c>
    </row>
    <row r="15" customFormat="false" ht="12.8" hidden="false" customHeight="false" outlineLevel="0" collapsed="false">
      <c r="A15" s="139" t="s">
        <v>180</v>
      </c>
      <c r="B15" s="118" t="n">
        <f aca="false">B3/SUM(B$3:B$8)</f>
        <v>0.725650529153947</v>
      </c>
      <c r="C15" s="118" t="n">
        <f aca="false">C3/SUM(C$3:C$8)</f>
        <v>0.73190109313507</v>
      </c>
      <c r="D15" s="117" t="n">
        <f aca="false">D3/SUM(D$3:D$8)</f>
        <v>0.73573471551045</v>
      </c>
      <c r="E15" s="79" t="n">
        <f aca="false">E3/SUM(E$3:E$8)</f>
        <v>0.738060720450212</v>
      </c>
      <c r="F15" s="117" t="n">
        <f aca="false">F3/SUM(F$3:F$8)</f>
        <v>0.751841664183311</v>
      </c>
      <c r="G15" s="79" t="n">
        <f aca="false">G3/SUM(G$3:G$8)</f>
        <v>0.770132424267051</v>
      </c>
      <c r="H15" s="117" t="n">
        <f aca="false">H3/SUM(H$3:H$8)</f>
        <v>0.779479134970231</v>
      </c>
      <c r="I15" s="176" t="n">
        <f aca="false">I3/SUM(I$3:I$8)</f>
        <v>0.784817567302178</v>
      </c>
      <c r="J15" s="177" t="n">
        <f aca="false">J3/SUM(J$3:J$8)</f>
        <v>0.7728866615342</v>
      </c>
      <c r="K15" s="79" t="n">
        <f aca="false">K3/SUM(K$3:K$8)</f>
        <v>0.779215949407865</v>
      </c>
      <c r="L15" s="117" t="n">
        <f aca="false">L3/SUM(L$3:L$8)</f>
        <v>0.781361885289361</v>
      </c>
      <c r="M15" s="79" t="n">
        <f aca="false">M3/SUM(M$3:M$8)</f>
        <v>0.781272406478974</v>
      </c>
      <c r="N15" s="79" t="n">
        <f aca="false">N3/SUM(N$3:N$8)</f>
        <v>0.782942862271798</v>
      </c>
      <c r="O15" s="117" t="n">
        <f aca="false">O3/SUM(O$3:O$8)</f>
        <v>0.782668498717407</v>
      </c>
      <c r="P15" s="178" t="n">
        <f aca="false">P3/SUM(P$3:P$8)</f>
        <v>0.770784811523941</v>
      </c>
      <c r="Q15" s="177" t="n">
        <f aca="false">Q3/SUM(Q$3:Q$8)</f>
        <v>0.760767920525335</v>
      </c>
      <c r="R15" s="117" t="n">
        <f aca="false">R3/SUM(R$3:R$8)</f>
        <v>0.755396656180802</v>
      </c>
      <c r="S15" s="79" t="n">
        <f aca="false">S3/SUM(S$3:S$8)</f>
        <v>0.757678408103729</v>
      </c>
      <c r="T15" s="117" t="n">
        <f aca="false">T3/SUM(T$3:T$8)</f>
        <v>0.755747225825736</v>
      </c>
      <c r="U15" s="117" t="n">
        <f aca="false">U3/SUM(U$3:U$8)</f>
        <v>0.744542276768165</v>
      </c>
      <c r="V15" s="79" t="n">
        <f aca="false">V3/SUM(V$3:V$8)</f>
        <v>0.750772141673411</v>
      </c>
      <c r="W15" s="79" t="n">
        <f aca="false">W3/SUM(W$3:W$8)</f>
        <v>0.747190846572704</v>
      </c>
      <c r="X15" s="176" t="n">
        <f aca="false">X3/SUM(X$3:X$8)</f>
        <v>0.740984371601594</v>
      </c>
      <c r="Y15" s="177" t="n">
        <f aca="false">Y3/SUM(Y$3:Y$8)</f>
        <v>0.725312415029393</v>
      </c>
      <c r="Z15" s="117" t="n">
        <f aca="false">Z3/SUM(Z$3:Z$8)</f>
        <v>0.725800040247334</v>
      </c>
      <c r="AA15" s="79" t="n">
        <f aca="false">AA3/SUM(AA$3:AA$8)</f>
        <v>0.730635951039195</v>
      </c>
      <c r="AB15" s="117" t="n">
        <f aca="false">AB3/SUM(AB$3:AB$8)</f>
        <v>0.729100069316534</v>
      </c>
      <c r="AC15" s="178" t="n">
        <f aca="false">AC3/SUM(AC$3:AC$8)</f>
        <v>0.72835785923991</v>
      </c>
      <c r="AD15" s="177" t="n">
        <f aca="false">AD3/SUM(AD$3:AD$8)</f>
        <v>0.720517358166985</v>
      </c>
      <c r="AE15" s="117" t="n">
        <f aca="false">AE3/SUM(AE$3:AE$8)</f>
        <v>0.730776088158111</v>
      </c>
      <c r="AF15" s="79" t="n">
        <f aca="false">AF3/SUM(AF$3:AF$8)</f>
        <v>0.736392616169369</v>
      </c>
      <c r="AG15" s="117" t="n">
        <f aca="false">AG3/SUM(AG$3:AG$8)</f>
        <v>0.733456330288896</v>
      </c>
      <c r="AH15" s="117" t="n">
        <f aca="false">AH3/SUM(AH$3:AH$8)</f>
        <v>0.738500803600036</v>
      </c>
      <c r="AI15" s="176" t="n">
        <f aca="false">AI3/SUM(AI$3:AI$8)</f>
        <v>0.701158596598393</v>
      </c>
      <c r="AJ15" s="177" t="n">
        <f aca="false">AJ3/SUM(AJ$3:AJ$8)</f>
        <v>0.700444089557249</v>
      </c>
      <c r="AK15" s="117" t="n">
        <f aca="false">AK3/SUM(AK$3:AK$8)</f>
        <v>0.704252989021525</v>
      </c>
      <c r="AL15" s="79" t="n">
        <f aca="false">AL3/SUM(AL$3:AL$8)</f>
        <v>0.711032129325741</v>
      </c>
      <c r="AM15" s="117" t="n">
        <f aca="false">AM3/SUM(AM$3:AM$8)</f>
        <v>0.713273537635075</v>
      </c>
      <c r="AN15" s="178" t="n">
        <f aca="false">AN3/SUM(AN$3:AN$8)</f>
        <v>0.736979275914355</v>
      </c>
      <c r="AO15" s="177" t="n">
        <f aca="false">AO3/SUM(AO$3:AO$8)</f>
        <v>0.749169857099033</v>
      </c>
      <c r="AP15" s="117" t="n">
        <f aca="false">AP3/SUM(AP$3:AP$8)</f>
        <v>0.747834341853707</v>
      </c>
      <c r="AQ15" s="79" t="n">
        <f aca="false">AQ3/SUM(AQ$3:AQ$8)</f>
        <v>0.753626692746204</v>
      </c>
    </row>
    <row r="16" customFormat="false" ht="12.8" hidden="false" customHeight="false" outlineLevel="0" collapsed="false">
      <c r="A16" s="139" t="s">
        <v>27</v>
      </c>
      <c r="B16" s="118" t="n">
        <f aca="false">B4/SUM(B$3:B$8)</f>
        <v>0.180349132866137</v>
      </c>
      <c r="C16" s="118" t="n">
        <f aca="false">C4/SUM(C$3:C$8)</f>
        <v>0.177091717465925</v>
      </c>
      <c r="D16" s="117" t="n">
        <f aca="false">D4/SUM(D$3:D$8)</f>
        <v>0.175856975438425</v>
      </c>
      <c r="E16" s="79" t="n">
        <f aca="false">E4/SUM(E$3:E$8)</f>
        <v>0.168296498430537</v>
      </c>
      <c r="F16" s="117" t="n">
        <f aca="false">F4/SUM(F$3:F$8)</f>
        <v>0.165656473798878</v>
      </c>
      <c r="G16" s="79" t="n">
        <f aca="false">G4/SUM(G$3:G$8)</f>
        <v>0.152613420033716</v>
      </c>
      <c r="H16" s="117" t="n">
        <f aca="false">H4/SUM(H$3:H$8)</f>
        <v>0.147985603927634</v>
      </c>
      <c r="I16" s="176" t="n">
        <f aca="false">I4/SUM(I$3:I$8)</f>
        <v>0.143521292888398</v>
      </c>
      <c r="J16" s="177" t="n">
        <f aca="false">J4/SUM(J$3:J$8)</f>
        <v>0.152015172690649</v>
      </c>
      <c r="K16" s="79" t="n">
        <f aca="false">K4/SUM(K$3:K$8)</f>
        <v>0.154507671388177</v>
      </c>
      <c r="L16" s="117" t="n">
        <f aca="false">L4/SUM(L$3:L$8)</f>
        <v>0.149461118280263</v>
      </c>
      <c r="M16" s="79" t="n">
        <f aca="false">M4/SUM(M$3:M$8)</f>
        <v>0.149558518996572</v>
      </c>
      <c r="N16" s="79" t="n">
        <f aca="false">N4/SUM(N$3:N$8)</f>
        <v>0.150254503435436</v>
      </c>
      <c r="O16" s="117" t="n">
        <f aca="false">O4/SUM(O$3:O$8)</f>
        <v>0.150545928658153</v>
      </c>
      <c r="P16" s="178" t="n">
        <f aca="false">P4/SUM(P$3:P$8)</f>
        <v>0.156286474736531</v>
      </c>
      <c r="Q16" s="177" t="n">
        <f aca="false">Q4/SUM(Q$3:Q$8)</f>
        <v>0.164716242715464</v>
      </c>
      <c r="R16" s="117" t="n">
        <f aca="false">R4/SUM(R$3:R$8)</f>
        <v>0.167034721901374</v>
      </c>
      <c r="S16" s="79" t="n">
        <f aca="false">S4/SUM(S$3:S$8)</f>
        <v>0.168413872540178</v>
      </c>
      <c r="T16" s="117" t="n">
        <f aca="false">T4/SUM(T$3:T$8)</f>
        <v>0.169254183971757</v>
      </c>
      <c r="U16" s="117" t="n">
        <f aca="false">U4/SUM(U$3:U$8)</f>
        <v>0.178258134460879</v>
      </c>
      <c r="V16" s="79" t="n">
        <f aca="false">V4/SUM(V$3:V$8)</f>
        <v>0.169190524142897</v>
      </c>
      <c r="W16" s="79" t="n">
        <f aca="false">W4/SUM(W$3:W$8)</f>
        <v>0.171144989295862</v>
      </c>
      <c r="X16" s="176" t="n">
        <f aca="false">X4/SUM(X$3:X$8)</f>
        <v>0.1809194488754</v>
      </c>
      <c r="Y16" s="177" t="n">
        <f aca="false">Y4/SUM(Y$3:Y$8)</f>
        <v>0.192980004973577</v>
      </c>
      <c r="Z16" s="117" t="n">
        <f aca="false">Z4/SUM(Z$3:Z$8)</f>
        <v>0.191603424055994</v>
      </c>
      <c r="AA16" s="79" t="n">
        <f aca="false">AA4/SUM(AA$3:AA$8)</f>
        <v>0.186730248953659</v>
      </c>
      <c r="AB16" s="117" t="n">
        <f aca="false">AB4/SUM(AB$3:AB$8)</f>
        <v>0.189374541282173</v>
      </c>
      <c r="AC16" s="178" t="n">
        <f aca="false">AC4/SUM(AC$3:AC$8)</f>
        <v>0.188493257610418</v>
      </c>
      <c r="AD16" s="177" t="n">
        <f aca="false">AD4/SUM(AD$3:AD$8)</f>
        <v>0.198108620593251</v>
      </c>
      <c r="AE16" s="117" t="n">
        <f aca="false">AE4/SUM(AE$3:AE$8)</f>
        <v>0.188521683661083</v>
      </c>
      <c r="AF16" s="79" t="n">
        <f aca="false">AF4/SUM(AF$3:AF$8)</f>
        <v>0.181917593570723</v>
      </c>
      <c r="AG16" s="117" t="n">
        <f aca="false">AG4/SUM(AG$3:AG$8)</f>
        <v>0.178669908371646</v>
      </c>
      <c r="AH16" s="117" t="n">
        <f aca="false">AH4/SUM(AH$3:AH$8)</f>
        <v>0.162663167023462</v>
      </c>
      <c r="AI16" s="176" t="n">
        <f aca="false">AI4/SUM(AI$3:AI$8)</f>
        <v>0.198061153364388</v>
      </c>
      <c r="AJ16" s="177" t="n">
        <f aca="false">AJ4/SUM(AJ$3:AJ$8)</f>
        <v>0.199819861496898</v>
      </c>
      <c r="AK16" s="117" t="n">
        <f aca="false">AK4/SUM(AK$3:AK$8)</f>
        <v>0.195095980442059</v>
      </c>
      <c r="AL16" s="79" t="n">
        <f aca="false">AL4/SUM(AL$3:AL$8)</f>
        <v>0.184284964678073</v>
      </c>
      <c r="AM16" s="117" t="n">
        <f aca="false">AM4/SUM(AM$3:AM$8)</f>
        <v>0.176328576082283</v>
      </c>
      <c r="AN16" s="178" t="n">
        <f aca="false">AN4/SUM(AN$3:AN$8)</f>
        <v>0.151959644469159</v>
      </c>
      <c r="AO16" s="177" t="n">
        <f aca="false">AO4/SUM(AO$3:AO$8)</f>
        <v>0.14352463112471</v>
      </c>
      <c r="AP16" s="117" t="n">
        <f aca="false">AP4/SUM(AP$3:AP$8)</f>
        <v>0.146902518621676</v>
      </c>
      <c r="AQ16" s="79" t="n">
        <f aca="false">AQ4/SUM(AQ$3:AQ$8)</f>
        <v>0.143483326840838</v>
      </c>
    </row>
    <row r="17" customFormat="false" ht="12.8" hidden="false" customHeight="false" outlineLevel="0" collapsed="false">
      <c r="A17" s="139" t="s">
        <v>186</v>
      </c>
      <c r="B17" s="118" t="n">
        <f aca="false">B5/SUM(B$3:B$8)</f>
        <v>0.0667884406452271</v>
      </c>
      <c r="C17" s="118" t="n">
        <f aca="false">C5/SUM(C$3:C$8)</f>
        <v>0.0635612321813718</v>
      </c>
      <c r="D17" s="117" t="n">
        <f aca="false">D5/SUM(D$3:D$8)</f>
        <v>0.0611937334896207</v>
      </c>
      <c r="E17" s="79" t="n">
        <f aca="false">E5/SUM(E$3:E$8)</f>
        <v>0.0664796117644865</v>
      </c>
      <c r="F17" s="117" t="n">
        <f aca="false">F5/SUM(F$3:F$8)</f>
        <v>0.0549013130550574</v>
      </c>
      <c r="G17" s="79" t="n">
        <f aca="false">G5/SUM(G$3:G$8)</f>
        <v>0.0495106228210557</v>
      </c>
      <c r="H17" s="117" t="n">
        <f aca="false">H5/SUM(H$3:H$8)</f>
        <v>0.0451021090989457</v>
      </c>
      <c r="I17" s="176" t="n">
        <f aca="false">I5/SUM(I$3:I$8)</f>
        <v>0.0440883501935065</v>
      </c>
      <c r="J17" s="177" t="n">
        <f aca="false">J5/SUM(J$3:J$8)</f>
        <v>0.0453668463864777</v>
      </c>
      <c r="K17" s="79" t="n">
        <f aca="false">K5/SUM(K$3:K$8)</f>
        <v>0.0393643519346297</v>
      </c>
      <c r="L17" s="117" t="n">
        <f aca="false">L5/SUM(L$3:L$8)</f>
        <v>0.0405582610077156</v>
      </c>
      <c r="M17" s="79" t="n">
        <f aca="false">M5/SUM(M$3:M$8)</f>
        <v>0.0405536164185507</v>
      </c>
      <c r="N17" s="79" t="n">
        <f aca="false">N5/SUM(N$3:N$8)</f>
        <v>0.0402792011295639</v>
      </c>
      <c r="O17" s="117" t="n">
        <f aca="false">O5/SUM(O$3:O$8)</f>
        <v>0.0407056571613851</v>
      </c>
      <c r="P17" s="178" t="n">
        <f aca="false">P5/SUM(P$3:P$8)</f>
        <v>0.0429851288946299</v>
      </c>
      <c r="Q17" s="177" t="n">
        <f aca="false">Q5/SUM(Q$3:Q$8)</f>
        <v>0.043275931166355</v>
      </c>
      <c r="R17" s="117" t="n">
        <f aca="false">R5/SUM(R$3:R$8)</f>
        <v>0.0448119773912671</v>
      </c>
      <c r="S17" s="79" t="n">
        <f aca="false">S5/SUM(S$3:S$8)</f>
        <v>0.0426254484209233</v>
      </c>
      <c r="T17" s="117" t="n">
        <f aca="false">T5/SUM(T$3:T$8)</f>
        <v>0.0437350467060687</v>
      </c>
      <c r="U17" s="117" t="n">
        <f aca="false">U5/SUM(U$3:U$8)</f>
        <v>0.0448930499854731</v>
      </c>
      <c r="V17" s="79" t="n">
        <f aca="false">V5/SUM(V$3:V$8)</f>
        <v>0.0463816267413872</v>
      </c>
      <c r="W17" s="79" t="n">
        <f aca="false">W5/SUM(W$3:W$8)</f>
        <v>0.0473243745249992</v>
      </c>
      <c r="X17" s="176" t="n">
        <f aca="false">X5/SUM(X$3:X$8)</f>
        <v>0.0450244544897032</v>
      </c>
      <c r="Y17" s="177" t="n">
        <f aca="false">Y5/SUM(Y$3:Y$8)</f>
        <v>0.0481151864193035</v>
      </c>
      <c r="Z17" s="117" t="n">
        <f aca="false">Z5/SUM(Z$3:Z$8)</f>
        <v>0.0479767528426552</v>
      </c>
      <c r="AA17" s="79" t="n">
        <f aca="false">AA5/SUM(AA$3:AA$8)</f>
        <v>0.0486364249192411</v>
      </c>
      <c r="AB17" s="117" t="n">
        <f aca="false">AB5/SUM(AB$3:AB$8)</f>
        <v>0.0450065402142401</v>
      </c>
      <c r="AC17" s="178" t="n">
        <f aca="false">AC5/SUM(AC$3:AC$8)</f>
        <v>0.043836890050757</v>
      </c>
      <c r="AD17" s="177" t="n">
        <f aca="false">AD5/SUM(AD$3:AD$8)</f>
        <v>0.0451191857766642</v>
      </c>
      <c r="AE17" s="117" t="n">
        <f aca="false">AE5/SUM(AE$3:AE$8)</f>
        <v>0.0433762114792988</v>
      </c>
      <c r="AF17" s="79" t="n">
        <f aca="false">AF5/SUM(AF$3:AF$8)</f>
        <v>0.0435520884692546</v>
      </c>
      <c r="AG17" s="117" t="n">
        <f aca="false">AG5/SUM(AG$3:AG$8)</f>
        <v>0.0495558591548409</v>
      </c>
      <c r="AH17" s="117" t="n">
        <f aca="false">AH5/SUM(AH$3:AH$8)</f>
        <v>0.0570374806783431</v>
      </c>
      <c r="AI17" s="176" t="n">
        <f aca="false">AI5/SUM(AI$3:AI$8)</f>
        <v>0.058935308124496</v>
      </c>
      <c r="AJ17" s="177" t="n">
        <f aca="false">AJ5/SUM(AJ$3:AJ$8)</f>
        <v>0.058154493805883</v>
      </c>
      <c r="AK17" s="117" t="n">
        <f aca="false">AK5/SUM(AK$3:AK$8)</f>
        <v>0.0571190451636737</v>
      </c>
      <c r="AL17" s="79" t="n">
        <f aca="false">AL5/SUM(AL$3:AL$8)</f>
        <v>0.0593877552366993</v>
      </c>
      <c r="AM17" s="117" t="n">
        <f aca="false">AM5/SUM(AM$3:AM$8)</f>
        <v>0.0610769896346685</v>
      </c>
      <c r="AN17" s="178" t="n">
        <f aca="false">AN5/SUM(AN$3:AN$8)</f>
        <v>0.0599789475743526</v>
      </c>
      <c r="AO17" s="177" t="n">
        <f aca="false">AO5/SUM(AO$3:AO$8)</f>
        <v>0.0608029634089862</v>
      </c>
      <c r="AP17" s="117" t="n">
        <f aca="false">AP5/SUM(AP$3:AP$8)</f>
        <v>0.0596221863137675</v>
      </c>
      <c r="AQ17" s="79" t="n">
        <f aca="false">AQ5/SUM(AQ$3:AQ$8)</f>
        <v>0.0589069962686645</v>
      </c>
    </row>
    <row r="18" customFormat="false" ht="12.8" hidden="false" customHeight="false" outlineLevel="0" collapsed="false">
      <c r="A18" s="139" t="s">
        <v>192</v>
      </c>
      <c r="B18" s="118" t="n">
        <f aca="false">B6/SUM(B$3:B$8)</f>
        <v>0.0178580863270391</v>
      </c>
      <c r="C18" s="118" t="n">
        <f aca="false">C6/SUM(C$3:C$8)</f>
        <v>0.0180115749269476</v>
      </c>
      <c r="D18" s="117" t="n">
        <f aca="false">D6/SUM(D$3:D$8)</f>
        <v>0.0178597293198496</v>
      </c>
      <c r="E18" s="79" t="n">
        <f aca="false">E6/SUM(E$3:E$8)</f>
        <v>0.0178259936866901</v>
      </c>
      <c r="F18" s="117" t="n">
        <f aca="false">F6/SUM(F$3:F$8)</f>
        <v>0.0181130266918918</v>
      </c>
      <c r="G18" s="79" t="n">
        <f aca="false">G6/SUM(G$3:G$8)</f>
        <v>0.0180212651083252</v>
      </c>
      <c r="H18" s="117" t="n">
        <f aca="false">H6/SUM(H$3:H$8)</f>
        <v>0.0177131456094348</v>
      </c>
      <c r="I18" s="176" t="n">
        <f aca="false">I6/SUM(I$3:I$8)</f>
        <v>0.0181522997630172</v>
      </c>
      <c r="J18" s="177" t="n">
        <f aca="false">J6/SUM(J$3:J$8)</f>
        <v>0.0195624421858279</v>
      </c>
      <c r="K18" s="79" t="n">
        <f aca="false">K6/SUM(K$3:K$8)</f>
        <v>0.0175567181952127</v>
      </c>
      <c r="L18" s="117" t="n">
        <f aca="false">L6/SUM(L$3:L$8)</f>
        <v>0.0189796826099554</v>
      </c>
      <c r="M18" s="79" t="n">
        <f aca="false">M6/SUM(M$3:M$8)</f>
        <v>0.0189775091235678</v>
      </c>
      <c r="N18" s="79" t="n">
        <f aca="false">N6/SUM(N$3:N$8)</f>
        <v>0.0190657497294157</v>
      </c>
      <c r="O18" s="117" t="n">
        <f aca="false">O6/SUM(O$3:O$8)</f>
        <v>0.0189196605692924</v>
      </c>
      <c r="P18" s="178" t="n">
        <f aca="false">P6/SUM(P$3:P$8)</f>
        <v>0.0200727519314169</v>
      </c>
      <c r="Q18" s="177" t="n">
        <f aca="false">Q6/SUM(Q$3:Q$8)</f>
        <v>0.0208777795221608</v>
      </c>
      <c r="R18" s="117" t="n">
        <f aca="false">R6/SUM(R$3:R$8)</f>
        <v>0.0220267226810857</v>
      </c>
      <c r="S18" s="79" t="n">
        <f aca="false">S6/SUM(S$3:S$8)</f>
        <v>0.0209897932080876</v>
      </c>
      <c r="T18" s="117" t="n">
        <f aca="false">T6/SUM(T$3:T$8)</f>
        <v>0.0213239511067213</v>
      </c>
      <c r="U18" s="117" t="n">
        <f aca="false">U6/SUM(U$3:U$8)</f>
        <v>0.0222797764227012</v>
      </c>
      <c r="V18" s="79" t="n">
        <f aca="false">V6/SUM(V$3:V$8)</f>
        <v>0.0235168839939714</v>
      </c>
      <c r="W18" s="79" t="n">
        <f aca="false">W6/SUM(W$3:W$8)</f>
        <v>0.0239948855609797</v>
      </c>
      <c r="X18" s="176" t="n">
        <f aca="false">X6/SUM(X$3:X$8)</f>
        <v>0.0228287567193364</v>
      </c>
      <c r="Y18" s="177" t="n">
        <f aca="false">Y6/SUM(Y$3:Y$8)</f>
        <v>0.0237804068983599</v>
      </c>
      <c r="Z18" s="117" t="n">
        <f aca="false">Z6/SUM(Z$3:Z$8)</f>
        <v>0.0253804544187645</v>
      </c>
      <c r="AA18" s="79" t="n">
        <f aca="false">AA6/SUM(AA$3:AA$8)</f>
        <v>0.024190503512755</v>
      </c>
      <c r="AB18" s="117" t="n">
        <f aca="false">AB6/SUM(AB$3:AB$8)</f>
        <v>0.0264375826835212</v>
      </c>
      <c r="AC18" s="178" t="n">
        <f aca="false">AC6/SUM(AC$3:AC$8)</f>
        <v>0.0286927392859359</v>
      </c>
      <c r="AD18" s="177" t="n">
        <f aca="false">AD6/SUM(AD$3:AD$8)</f>
        <v>0.0264541459582129</v>
      </c>
      <c r="AE18" s="117" t="n">
        <f aca="false">AE6/SUM(AE$3:AE$8)</f>
        <v>0.0264933058870468</v>
      </c>
      <c r="AF18" s="79" t="n">
        <f aca="false">AF6/SUM(AF$3:AF$8)</f>
        <v>0.0270368054754944</v>
      </c>
      <c r="AG18" s="117" t="n">
        <f aca="false">AG6/SUM(AG$3:AG$8)</f>
        <v>0.0263601971565347</v>
      </c>
      <c r="AH18" s="117" t="n">
        <f aca="false">AH6/SUM(AH$3:AH$8)</f>
        <v>0.0277556437819399</v>
      </c>
      <c r="AI18" s="176" t="n">
        <f aca="false">AI6/SUM(AI$3:AI$8)</f>
        <v>0.0306441172239273</v>
      </c>
      <c r="AJ18" s="177" t="n">
        <f aca="false">AJ6/SUM(AJ$3:AJ$8)</f>
        <v>0.0306128897133008</v>
      </c>
      <c r="AK18" s="117" t="n">
        <f aca="false">AK6/SUM(AK$3:AK$8)</f>
        <v>0.0325211789839235</v>
      </c>
      <c r="AL18" s="79" t="n">
        <f aca="false">AL6/SUM(AL$3:AL$8)</f>
        <v>0.0338192547374881</v>
      </c>
      <c r="AM18" s="117" t="n">
        <f aca="false">AM6/SUM(AM$3:AM$8)</f>
        <v>0.0353518601217833</v>
      </c>
      <c r="AN18" s="178" t="n">
        <f aca="false">AN6/SUM(AN$3:AN$8)</f>
        <v>0.0361433382743826</v>
      </c>
      <c r="AO18" s="177" t="n">
        <f aca="false">AO6/SUM(AO$3:AO$8)</f>
        <v>0.0330703817939361</v>
      </c>
      <c r="AP18" s="117" t="n">
        <f aca="false">AP6/SUM(AP$3:AP$8)</f>
        <v>0.0307720956716124</v>
      </c>
      <c r="AQ18" s="79" t="n">
        <f aca="false">AQ6/SUM(AQ$3:AQ$8)</f>
        <v>0.0303520902644899</v>
      </c>
    </row>
    <row r="19" customFormat="false" ht="12.8" hidden="false" customHeight="false" outlineLevel="0" collapsed="false">
      <c r="A19" s="139" t="s">
        <v>28</v>
      </c>
      <c r="B19" s="118" t="n">
        <f aca="false">B7/SUM(B$3:B$8)</f>
        <v>0.00600131962712396</v>
      </c>
      <c r="C19" s="118" t="n">
        <f aca="false">C7/SUM(C$3:C$8)</f>
        <v>0.00605301342571354</v>
      </c>
      <c r="D19" s="117" t="n">
        <f aca="false">D7/SUM(D$3:D$8)</f>
        <v>0.00600198382379768</v>
      </c>
      <c r="E19" s="79" t="n">
        <f aca="false">E7/SUM(E$3:E$8)</f>
        <v>0.00599064654533825</v>
      </c>
      <c r="F19" s="117" t="n">
        <f aca="false">F7/SUM(F$3:F$8)</f>
        <v>0.00608710755117232</v>
      </c>
      <c r="G19" s="79" t="n">
        <f aca="false">G7/SUM(G$3:G$8)</f>
        <v>0.00623771811720994</v>
      </c>
      <c r="H19" s="117" t="n">
        <f aca="false">H7/SUM(H$3:H$8)</f>
        <v>0.00619316651087686</v>
      </c>
      <c r="I19" s="176" t="n">
        <f aca="false">I7/SUM(I$3:I$8)</f>
        <v>0.0060539628720959</v>
      </c>
      <c r="J19" s="177" t="n">
        <f aca="false">J7/SUM(J$3:J$8)</f>
        <v>0.0065242586463788</v>
      </c>
      <c r="K19" s="79" t="n">
        <f aca="false">K7/SUM(K$3:K$8)</f>
        <v>0.00614237517214674</v>
      </c>
      <c r="L19" s="117" t="n">
        <f aca="false">L7/SUM(L$3:L$8)</f>
        <v>0.00632867158217025</v>
      </c>
      <c r="M19" s="79" t="n">
        <f aca="false">M7/SUM(M$3:M$8)</f>
        <v>0.0063279468449964</v>
      </c>
      <c r="N19" s="79" t="n">
        <f aca="false">N7/SUM(N$3:N$8)</f>
        <v>0.00413229062573055</v>
      </c>
      <c r="O19" s="117" t="n">
        <f aca="false">O7/SUM(O$3:O$8)</f>
        <v>0.00410062741418809</v>
      </c>
      <c r="P19" s="178" t="n">
        <f aca="false">P7/SUM(P$3:P$8)</f>
        <v>0.00665920229725194</v>
      </c>
      <c r="Q19" s="177" t="n">
        <f aca="false">Q7/SUM(Q$3:Q$8)</f>
        <v>0.00693280710099219</v>
      </c>
      <c r="R19" s="117" t="n">
        <f aca="false">R7/SUM(R$3:R$8)</f>
        <v>0.00717888181015529</v>
      </c>
      <c r="S19" s="79" t="n">
        <f aca="false">S7/SUM(S$3:S$8)</f>
        <v>0.00684092894082025</v>
      </c>
      <c r="T19" s="117" t="n">
        <f aca="false">T7/SUM(T$3:T$8)</f>
        <v>0.00676200323375388</v>
      </c>
      <c r="U19" s="117" t="n">
        <f aca="false">U7/SUM(U$3:U$8)</f>
        <v>0.0068791796606573</v>
      </c>
      <c r="V19" s="79" t="n">
        <f aca="false">V7/SUM(V$3:V$8)</f>
        <v>0.00695606273742588</v>
      </c>
      <c r="W19" s="79" t="n">
        <f aca="false">W7/SUM(W$3:W$8)</f>
        <v>0.00709745089452825</v>
      </c>
      <c r="X19" s="176" t="n">
        <f aca="false">X7/SUM(X$3:X$8)</f>
        <v>0.00675252146491197</v>
      </c>
      <c r="Y19" s="177" t="n">
        <f aca="false">Y7/SUM(Y$3:Y$8)</f>
        <v>0.00699287565521138</v>
      </c>
      <c r="Z19" s="117" t="n">
        <f aca="false">Z7/SUM(Z$3:Z$8)</f>
        <v>0.00584033362583827</v>
      </c>
      <c r="AA19" s="79" t="n">
        <f aca="false">AA7/SUM(AA$3:AA$8)</f>
        <v>0.00556651227596022</v>
      </c>
      <c r="AB19" s="117" t="n">
        <f aca="false">AB7/SUM(AB$3:AB$8)</f>
        <v>0.00572226252980961</v>
      </c>
      <c r="AC19" s="178" t="n">
        <f aca="false">AC7/SUM(AC$3:AC$8)</f>
        <v>0.00602763136628306</v>
      </c>
      <c r="AD19" s="177" t="n">
        <f aca="false">AD7/SUM(AD$3:AD$8)</f>
        <v>0.00619517932205886</v>
      </c>
      <c r="AE19" s="117" t="n">
        <f aca="false">AE7/SUM(AE$3:AE$8)</f>
        <v>0.0072218634144575</v>
      </c>
      <c r="AF19" s="79" t="n">
        <f aca="false">AF7/SUM(AF$3:AF$8)</f>
        <v>0.00747540805671656</v>
      </c>
      <c r="AG19" s="117" t="n">
        <f aca="false">AG7/SUM(AG$3:AG$8)</f>
        <v>0.0081008693772051</v>
      </c>
      <c r="AH19" s="117" t="n">
        <f aca="false">AH7/SUM(AH$3:AH$8)</f>
        <v>0.00952307809327109</v>
      </c>
      <c r="AI19" s="176" t="n">
        <f aca="false">AI7/SUM(AI$3:AI$8)</f>
        <v>0.00759574524336819</v>
      </c>
      <c r="AJ19" s="177" t="n">
        <f aca="false">AJ7/SUM(AJ$3:AJ$8)</f>
        <v>0.00673701368972032</v>
      </c>
      <c r="AK19" s="117" t="n">
        <f aca="false">AK7/SUM(AK$3:AK$8)</f>
        <v>0.00726091426286448</v>
      </c>
      <c r="AL19" s="79" t="n">
        <f aca="false">AL7/SUM(AL$3:AL$8)</f>
        <v>0.00757632777115326</v>
      </c>
      <c r="AM19" s="117" t="n">
        <f aca="false">AM7/SUM(AM$3:AM$8)</f>
        <v>0.00987754927773944</v>
      </c>
      <c r="AN19" s="178" t="n">
        <f aca="false">AN7/SUM(AN$3:AN$8)</f>
        <v>0.0105709552453897</v>
      </c>
      <c r="AO19" s="177" t="n">
        <f aca="false">AO7/SUM(AO$3:AO$8)</f>
        <v>0.0100189428193833</v>
      </c>
      <c r="AP19" s="117" t="n">
        <f aca="false">AP7/SUM(AP$3:AP$8)</f>
        <v>0.00979504179080032</v>
      </c>
      <c r="AQ19" s="79" t="n">
        <f aca="false">AQ7/SUM(AQ$3:AQ$8)</f>
        <v>0.00865759362662895</v>
      </c>
    </row>
    <row r="20" customFormat="false" ht="12.8" hidden="false" customHeight="false" outlineLevel="0" collapsed="false">
      <c r="A20" s="139" t="s">
        <v>200</v>
      </c>
      <c r="B20" s="118" t="n">
        <f aca="false">B8/SUM(B$3:B$8)</f>
        <v>0.00335249138052505</v>
      </c>
      <c r="C20" s="118" t="n">
        <f aca="false">C8/SUM(C$3:C$8)</f>
        <v>0.00338136886497278</v>
      </c>
      <c r="D20" s="117" t="n">
        <f aca="false">D8/SUM(D$3:D$8)</f>
        <v>0.00335286241785716</v>
      </c>
      <c r="E20" s="79" t="n">
        <f aca="false">E8/SUM(E$3:E$8)</f>
        <v>0.00334652912273619</v>
      </c>
      <c r="F20" s="117" t="n">
        <f aca="false">F8/SUM(F$3:F$8)</f>
        <v>0.00340041471968955</v>
      </c>
      <c r="G20" s="79" t="n">
        <f aca="false">G8/SUM(G$3:G$8)</f>
        <v>0.00348454965264247</v>
      </c>
      <c r="H20" s="117" t="n">
        <f aca="false">H8/SUM(H$3:H$8)</f>
        <v>0.00352683988287802</v>
      </c>
      <c r="I20" s="176" t="n">
        <f aca="false">I8/SUM(I$3:I$8)</f>
        <v>0.00336652698080446</v>
      </c>
      <c r="J20" s="177" t="n">
        <f aca="false">J8/SUM(J$3:J$8)</f>
        <v>0.00364461855646623</v>
      </c>
      <c r="K20" s="79" t="n">
        <f aca="false">K8/SUM(K$3:K$8)</f>
        <v>0.00321293390196866</v>
      </c>
      <c r="L20" s="117" t="n">
        <f aca="false">L8/SUM(L$3:L$8)</f>
        <v>0.00331038123053528</v>
      </c>
      <c r="M20" s="79" t="n">
        <f aca="false">M8/SUM(M$3:M$8)</f>
        <v>0.00331000213733914</v>
      </c>
      <c r="N20" s="79" t="n">
        <f aca="false">N8/SUM(N$3:N$8)</f>
        <v>0.00332539280805649</v>
      </c>
      <c r="O20" s="117" t="n">
        <f aca="false">O8/SUM(O$3:O$8)</f>
        <v>0.00305962747957454</v>
      </c>
      <c r="P20" s="178" t="n">
        <f aca="false">P8/SUM(P$3:P$8)</f>
        <v>0.0032116306162296</v>
      </c>
      <c r="Q20" s="177" t="n">
        <f aca="false">Q8/SUM(Q$3:Q$8)</f>
        <v>0.00342931896969237</v>
      </c>
      <c r="R20" s="117" t="n">
        <f aca="false">R8/SUM(R$3:R$8)</f>
        <v>0.00355104003531581</v>
      </c>
      <c r="S20" s="79" t="n">
        <f aca="false">S8/SUM(S$3:S$8)</f>
        <v>0.00345154878626138</v>
      </c>
      <c r="T20" s="117" t="n">
        <f aca="false">T8/SUM(T$3:T$8)</f>
        <v>0.0031775891559638</v>
      </c>
      <c r="U20" s="117" t="n">
        <f aca="false">U8/SUM(U$3:U$8)</f>
        <v>0.00314758270212436</v>
      </c>
      <c r="V20" s="79" t="n">
        <f aca="false">V8/SUM(V$3:V$8)</f>
        <v>0.00318276071090742</v>
      </c>
      <c r="W20" s="79" t="n">
        <f aca="false">W8/SUM(W$3:W$8)</f>
        <v>0.00324745315092695</v>
      </c>
      <c r="X20" s="176" t="n">
        <f aca="false">X8/SUM(X$3:X$8)</f>
        <v>0.00349044684905395</v>
      </c>
      <c r="Y20" s="177" t="n">
        <f aca="false">Y8/SUM(Y$3:Y$8)</f>
        <v>0.00281911102415539</v>
      </c>
      <c r="Z20" s="117" t="n">
        <f aca="false">Z8/SUM(Z$3:Z$8)</f>
        <v>0.00339899480941458</v>
      </c>
      <c r="AA20" s="79" t="n">
        <f aca="false">AA8/SUM(AA$3:AA$8)</f>
        <v>0.00424035929919002</v>
      </c>
      <c r="AB20" s="117" t="n">
        <f aca="false">AB8/SUM(AB$3:AB$8)</f>
        <v>0.00435900397372233</v>
      </c>
      <c r="AC20" s="178" t="n">
        <f aca="false">AC8/SUM(AC$3:AC$8)</f>
        <v>0.004591622446696</v>
      </c>
      <c r="AD20" s="177" t="n">
        <f aca="false">AD8/SUM(AD$3:AD$8)</f>
        <v>0.00360551018282764</v>
      </c>
      <c r="AE20" s="117" t="n">
        <f aca="false">AE8/SUM(AE$3:AE$8)</f>
        <v>0.00361084740000308</v>
      </c>
      <c r="AF20" s="79" t="n">
        <f aca="false">AF8/SUM(AF$3:AF$8)</f>
        <v>0.00362548825844239</v>
      </c>
      <c r="AG20" s="117" t="n">
        <f aca="false">AG8/SUM(AG$3:AG$8)</f>
        <v>0.00385683565087775</v>
      </c>
      <c r="AH20" s="117" t="n">
        <f aca="false">AH8/SUM(AH$3:AH$8)</f>
        <v>0.00451982682294711</v>
      </c>
      <c r="AI20" s="176" t="n">
        <f aca="false">AI8/SUM(AI$3:AI$8)</f>
        <v>0.00360507944542708</v>
      </c>
      <c r="AJ20" s="177" t="n">
        <f aca="false">AJ8/SUM(AJ$3:AJ$8)</f>
        <v>0.00423165173694872</v>
      </c>
      <c r="AK20" s="117" t="n">
        <f aca="false">AK8/SUM(AK$3:AK$8)</f>
        <v>0.0037498921259541</v>
      </c>
      <c r="AL20" s="79" t="n">
        <f aca="false">AL8/SUM(AL$3:AL$8)</f>
        <v>0.00389956825084459</v>
      </c>
      <c r="AM20" s="117" t="n">
        <f aca="false">AM8/SUM(AM$3:AM$8)</f>
        <v>0.00409148724845078</v>
      </c>
      <c r="AN20" s="178" t="n">
        <f aca="false">AN8/SUM(AN$3:AN$8)</f>
        <v>0.0043678385223614</v>
      </c>
      <c r="AO20" s="177" t="n">
        <f aca="false">AO8/SUM(AO$3:AO$8)</f>
        <v>0.00341322375395102</v>
      </c>
      <c r="AP20" s="117" t="n">
        <f aca="false">AP8/SUM(AP$3:AP$8)</f>
        <v>0.00507381574843629</v>
      </c>
      <c r="AQ20" s="79" t="n">
        <f aca="false">AQ8/SUM(AQ$3:AQ$8)</f>
        <v>0.00497330025317399</v>
      </c>
    </row>
    <row r="21" customFormat="false" ht="12.8" hidden="false" customHeight="false" outlineLevel="0" collapsed="false">
      <c r="C21" s="118"/>
    </row>
    <row r="22" customFormat="false" ht="12.8" hidden="false" customHeight="false" outlineLevel="0" collapsed="false">
      <c r="A22" s="1" t="s">
        <v>99</v>
      </c>
    </row>
    <row r="23" customFormat="false" ht="12.8" hidden="false" customHeight="false" outlineLevel="0" collapsed="false">
      <c r="A23" s="139" t="s">
        <v>180</v>
      </c>
      <c r="B23" s="65" t="n">
        <f aca="false">B15*Ratio!B4</f>
        <v>2.38950224926493</v>
      </c>
      <c r="C23" s="65" t="n">
        <f aca="false">C15*Ratio!C4</f>
        <v>2.4258905654493</v>
      </c>
      <c r="D23" s="53" t="n">
        <f aca="false">D15*Ratio!D4</f>
        <v>2.47221210010061</v>
      </c>
      <c r="E23" s="94" t="n">
        <f aca="false">E15*Ratio!E4</f>
        <v>2.49257675261112</v>
      </c>
      <c r="F23" s="53" t="n">
        <f aca="false">F15*Ratio!F4</f>
        <v>2.54553957778308</v>
      </c>
      <c r="G23" s="94" t="n">
        <f aca="false">G15*Ratio!G4</f>
        <v>2.63432868289104</v>
      </c>
      <c r="H23" s="53" t="n">
        <f aca="false">H15*Ratio!H4</f>
        <v>2.66630020794338</v>
      </c>
      <c r="I23" s="66" t="n">
        <f aca="false">I15*Ratio!I4</f>
        <v>2.68456094463046</v>
      </c>
      <c r="J23" s="67" t="n">
        <f aca="false">J15*Ratio!J4</f>
        <v>2.41588381519242</v>
      </c>
      <c r="K23" s="94" t="n">
        <f aca="false">K15*Ratio!K4</f>
        <v>2.60828423749288</v>
      </c>
      <c r="L23" s="53" t="n">
        <f aca="false">L15*Ratio!L4</f>
        <v>2.54546702591233</v>
      </c>
      <c r="M23" s="94" t="n">
        <f aca="false">M15*Ratio!M4</f>
        <v>2.54517552799613</v>
      </c>
      <c r="N23" s="94" t="n">
        <f aca="false">N15*Ratio!N4</f>
        <v>2.54424088046265</v>
      </c>
      <c r="O23" s="53" t="n">
        <f aca="false">O15*Ratio!O4</f>
        <v>2.56208978086289</v>
      </c>
      <c r="P23" s="68" t="n">
        <f aca="false">P15*Ratio!P4</f>
        <v>2.54044398428741</v>
      </c>
      <c r="Q23" s="67" t="n">
        <f aca="false">Q15*Ratio!Q4</f>
        <v>2.37717306854445</v>
      </c>
      <c r="R23" s="53" t="n">
        <f aca="false">R15*Ratio!R4</f>
        <v>2.26338716102187</v>
      </c>
      <c r="S23" s="94" t="n">
        <f aca="false">S15*Ratio!S4</f>
        <v>2.3895728668889</v>
      </c>
      <c r="T23" s="53" t="n">
        <f aca="false">T15*Ratio!T4</f>
        <v>2.40515618958297</v>
      </c>
      <c r="U23" s="53" t="n">
        <f aca="false">U15*Ratio!U4</f>
        <v>2.31754157955031</v>
      </c>
      <c r="V23" s="94" t="n">
        <f aca="false">V15*Ratio!V4</f>
        <v>2.33044183904842</v>
      </c>
      <c r="W23" s="94" t="n">
        <f aca="false">W15*Ratio!W4</f>
        <v>2.26227892660762</v>
      </c>
      <c r="X23" s="66" t="n">
        <f aca="false">X15*Ratio!X4</f>
        <v>2.3385011270496</v>
      </c>
      <c r="Y23" s="67" t="n">
        <f aca="false">Y15*Ratio!Y4</f>
        <v>2.16361446971241</v>
      </c>
      <c r="Z23" s="53" t="n">
        <f aca="false">Z15*Ratio!Z4</f>
        <v>2.10557672835035</v>
      </c>
      <c r="AA23" s="94" t="n">
        <f aca="false">AA15*Ratio!AA4</f>
        <v>2.23868844369434</v>
      </c>
      <c r="AB23" s="53" t="n">
        <f aca="false">AB15*Ratio!AB4</f>
        <v>2.21907323085321</v>
      </c>
      <c r="AC23" s="68" t="n">
        <f aca="false">AC15*Ratio!AC4</f>
        <v>2.10236477607883</v>
      </c>
      <c r="AD23" s="67" t="n">
        <f aca="false">AD15*Ratio!AD4</f>
        <v>2.00170534307117</v>
      </c>
      <c r="AE23" s="53" t="n">
        <f aca="false">AE15*Ratio!AE4</f>
        <v>2.05606812658765</v>
      </c>
      <c r="AF23" s="94" t="n">
        <f aca="false">AF15*Ratio!AF4</f>
        <v>2.07936306894683</v>
      </c>
      <c r="AG23" s="53" t="n">
        <f aca="false">AG15*Ratio!AG4</f>
        <v>2.09499300117424</v>
      </c>
      <c r="AH23" s="53" t="n">
        <f aca="false">AH15*Ratio!AH4</f>
        <v>1.8123636213446</v>
      </c>
      <c r="AI23" s="66" t="n">
        <f aca="false">AI15*Ratio!AI4</f>
        <v>2.04824957477643</v>
      </c>
      <c r="AJ23" s="67" t="n">
        <f aca="false">AJ15*Ratio!AJ4</f>
        <v>2.04616233124794</v>
      </c>
      <c r="AK23" s="53" t="n">
        <f aca="false">AK15*Ratio!AK4</f>
        <v>1.98656971439667</v>
      </c>
      <c r="AL23" s="94" t="n">
        <f aca="false">AL15*Ratio!AL4</f>
        <v>1.94727421104684</v>
      </c>
      <c r="AM23" s="53" t="n">
        <f aca="false">AM15*Ratio!AM4</f>
        <v>1.91434440978709</v>
      </c>
      <c r="AN23" s="68" t="n">
        <f aca="false">AN15*Ratio!AN4</f>
        <v>2.00481784804613</v>
      </c>
      <c r="AO23" s="67" t="n">
        <f aca="false">AO15*Ratio!AO4</f>
        <v>2.02288034614865</v>
      </c>
      <c r="AP23" s="53" t="n">
        <f aca="false">AP15*Ratio!AP4</f>
        <v>2.00447923909095</v>
      </c>
      <c r="AQ23" s="94" t="n">
        <f aca="false">AQ15*Ratio!AQ4</f>
        <v>2.00698528795714</v>
      </c>
    </row>
    <row r="24" customFormat="false" ht="12.8" hidden="false" customHeight="false" outlineLevel="0" collapsed="false">
      <c r="A24" s="139" t="s">
        <v>27</v>
      </c>
      <c r="B24" s="65" t="n">
        <f aca="false">B16*Ratio!B9</f>
        <v>0.0298963905221147</v>
      </c>
      <c r="C24" s="65" t="n">
        <f aca="false">C16*Ratio!C9</f>
        <v>0.0293564103106778</v>
      </c>
      <c r="D24" s="53" t="n">
        <f aca="false">D16*Ratio!D9</f>
        <v>0.029151727708319</v>
      </c>
      <c r="E24" s="94" t="n">
        <f aca="false">E16*Ratio!E9</f>
        <v>0.0252101610086008</v>
      </c>
      <c r="F24" s="53" t="n">
        <f aca="false">F16*Ratio!F9</f>
        <v>0.0227332146180507</v>
      </c>
      <c r="G24" s="94" t="n">
        <f aca="false">G16*Ratio!G9</f>
        <v>0.0177899369691253</v>
      </c>
      <c r="H24" s="53" t="n">
        <f aca="false">H16*Ratio!H9</f>
        <v>0.0172504787955667</v>
      </c>
      <c r="I24" s="66" t="n">
        <f aca="false">I16*Ratio!I9</f>
        <v>0.0159303134275511</v>
      </c>
      <c r="J24" s="67" t="n">
        <f aca="false">J16*Ratio!J9</f>
        <v>0.0171830156403204</v>
      </c>
      <c r="K24" s="94" t="n">
        <f aca="false">K16*Ratio!K9</f>
        <v>0.0212457518526871</v>
      </c>
      <c r="L24" s="53" t="n">
        <f aca="false">L16*Ratio!L9</f>
        <v>0.0205518198680882</v>
      </c>
      <c r="M24" s="94" t="n">
        <f aca="false">M16*Ratio!M9</f>
        <v>0.0206585142130807</v>
      </c>
      <c r="N24" s="94" t="n">
        <f aca="false">N16*Ratio!N9</f>
        <v>0.0189316105773176</v>
      </c>
      <c r="O24" s="53" t="n">
        <f aca="false">O16*Ratio!O9</f>
        <v>0.0112536876622377</v>
      </c>
      <c r="P24" s="68" t="n">
        <f aca="false">P16*Ratio!P9</f>
        <v>0.020613376380305</v>
      </c>
      <c r="Q24" s="67" t="n">
        <f aca="false">Q16*Ratio!Q9</f>
        <v>0.022697990111335</v>
      </c>
      <c r="R24" s="53" t="n">
        <f aca="false">R16*Ratio!R9</f>
        <v>0.0217219226551433</v>
      </c>
      <c r="S24" s="94" t="n">
        <f aca="false">S16*Ratio!S9</f>
        <v>0.0240695193700548</v>
      </c>
      <c r="T24" s="53" t="n">
        <f aca="false">T16*Ratio!T9</f>
        <v>0.0217439989289074</v>
      </c>
      <c r="U24" s="53" t="n">
        <f aca="false">U16*Ratio!U9</f>
        <v>0.0328266583374585</v>
      </c>
      <c r="V24" s="94" t="n">
        <f aca="false">V16*Ratio!V9</f>
        <v>0.0312681719756459</v>
      </c>
      <c r="W24" s="94" t="n">
        <f aca="false">W16*Ratio!W9</f>
        <v>0.0316293775031595</v>
      </c>
      <c r="X24" s="66" t="n">
        <f aca="false">X16*Ratio!X9</f>
        <v>0.033435799491922</v>
      </c>
      <c r="Y24" s="67" t="n">
        <f aca="false">Y16*Ratio!Y9</f>
        <v>0.0350981441725804</v>
      </c>
      <c r="Z24" s="53" t="n">
        <f aca="false">Z16*Ratio!Z9</f>
        <v>0.034912276193333</v>
      </c>
      <c r="AA24" s="94" t="n">
        <f aca="false">AA16*Ratio!AA9</f>
        <v>0.0354015035713997</v>
      </c>
      <c r="AB24" s="53" t="n">
        <f aca="false">AB16*Ratio!AB9</f>
        <v>0.0325923093688992</v>
      </c>
      <c r="AC24" s="68" t="n">
        <f aca="false">AC16*Ratio!AC9</f>
        <v>0.0239794843264626</v>
      </c>
      <c r="AD24" s="67" t="n">
        <f aca="false">AD16*Ratio!AD9</f>
        <v>0.0251973817282151</v>
      </c>
      <c r="AE24" s="53" t="n">
        <f aca="false">AE16*Ratio!AE9</f>
        <v>0.0253406851646148</v>
      </c>
      <c r="AF24" s="94" t="n">
        <f aca="false">AF16*Ratio!AF9</f>
        <v>0.0214469123361385</v>
      </c>
      <c r="AG24" s="53" t="n">
        <f aca="false">AG16*Ratio!AG9</f>
        <v>0.0220612673079855</v>
      </c>
      <c r="AH24" s="53" t="n">
        <f aca="false">AH16*Ratio!AH9</f>
        <v>0.018888005315226</v>
      </c>
      <c r="AI24" s="66" t="n">
        <f aca="false">AI16*Ratio!AI9</f>
        <v>0.0346201427971533</v>
      </c>
      <c r="AJ24" s="67" t="n">
        <f aca="false">AJ16*Ratio!AJ9</f>
        <v>0.0371240636719854</v>
      </c>
      <c r="AK24" s="53" t="n">
        <f aca="false">AK16*Ratio!AK9</f>
        <v>0.0361385162565891</v>
      </c>
      <c r="AL24" s="94" t="n">
        <f aca="false">AL16*Ratio!AL9</f>
        <v>0.0321622006410092</v>
      </c>
      <c r="AM24" s="53" t="n">
        <f aca="false">AM16*Ratio!AM9</f>
        <v>0.0300297000854271</v>
      </c>
      <c r="AN24" s="68" t="n">
        <f aca="false">AN16*Ratio!AN9</f>
        <v>0.0289115878750565</v>
      </c>
      <c r="AO24" s="67" t="n">
        <f aca="false">AO16*Ratio!AO9</f>
        <v>0.0259352727235562</v>
      </c>
      <c r="AP24" s="53" t="n">
        <f aca="false">AP16*Ratio!AP9</f>
        <v>0.0327544645493599</v>
      </c>
      <c r="AQ24" s="94" t="n">
        <f aca="false">AQ16*Ratio!AQ9</f>
        <v>0.0284565625599232</v>
      </c>
    </row>
    <row r="25" customFormat="false" ht="12.8" hidden="false" customHeight="false" outlineLevel="0" collapsed="false">
      <c r="A25" s="139" t="s">
        <v>186</v>
      </c>
      <c r="B25" s="65" t="n">
        <f aca="false">B17*Ratio!B14</f>
        <v>0.707780189491826</v>
      </c>
      <c r="C25" s="65" t="n">
        <f aca="false">C17*Ratio!C14</f>
        <v>0.635558499528552</v>
      </c>
      <c r="D25" s="53" t="n">
        <f aca="false">D17*Ratio!D14</f>
        <v>0.594102847104574</v>
      </c>
      <c r="E25" s="94" t="n">
        <f aca="false">E17*Ratio!E14</f>
        <v>0.702499153647133</v>
      </c>
      <c r="F25" s="53" t="n">
        <f aca="false">F17*Ratio!F14</f>
        <v>0.471516658087803</v>
      </c>
      <c r="G25" s="94" t="n">
        <f aca="false">G17*Ratio!G14</f>
        <v>0.374208447246158</v>
      </c>
      <c r="H25" s="53" t="n">
        <f aca="false">H17*Ratio!H14</f>
        <v>0.406496757879736</v>
      </c>
      <c r="I25" s="66" t="n">
        <f aca="false">I17*Ratio!I14</f>
        <v>0.385786350558501</v>
      </c>
      <c r="J25" s="67" t="n">
        <f aca="false">J17*Ratio!J14</f>
        <v>0.379039899193142</v>
      </c>
      <c r="K25" s="94" t="n">
        <f aca="false">K17*Ratio!K14</f>
        <v>0.303115949118327</v>
      </c>
      <c r="L25" s="53" t="n">
        <f aca="false">L17*Ratio!L14</f>
        <v>0.312309365599574</v>
      </c>
      <c r="M25" s="94" t="n">
        <f aca="false">M17*Ratio!M14</f>
        <v>0.312273601031283</v>
      </c>
      <c r="N25" s="94" t="n">
        <f aca="false">N17*Ratio!N14</f>
        <v>0.30663597904925</v>
      </c>
      <c r="O25" s="53" t="n">
        <f aca="false">O17*Ratio!O14</f>
        <v>0.315581475674284</v>
      </c>
      <c r="P25" s="68" t="n">
        <f aca="false">P17*Ratio!P14</f>
        <v>0.716102580827291</v>
      </c>
      <c r="Q25" s="67" t="n">
        <f aca="false">Q17*Ratio!Q14</f>
        <v>0.697179657645706</v>
      </c>
      <c r="R25" s="53" t="n">
        <f aca="false">R17*Ratio!R14</f>
        <v>0.72192551873638</v>
      </c>
      <c r="S25" s="94" t="n">
        <f aca="false">S17*Ratio!S14</f>
        <v>0.685462693133217</v>
      </c>
      <c r="T25" s="53" t="n">
        <f aca="false">T17*Ratio!T14</f>
        <v>0.730036872299452</v>
      </c>
      <c r="U25" s="53" t="n">
        <f aca="false">U17*Ratio!U14</f>
        <v>1.41707971216552</v>
      </c>
      <c r="V25" s="94" t="n">
        <f aca="false">V17*Ratio!V14</f>
        <v>1.49589520940418</v>
      </c>
      <c r="W25" s="94" t="n">
        <f aca="false">W17*Ratio!W14</f>
        <v>1.52630060896131</v>
      </c>
      <c r="X25" s="66" t="n">
        <f aca="false">X17*Ratio!X14</f>
        <v>1.45212383672356</v>
      </c>
      <c r="Y25" s="67" t="n">
        <f aca="false">Y17*Ratio!Y14</f>
        <v>1.60133150530763</v>
      </c>
      <c r="Z25" s="53" t="n">
        <f aca="false">Z17*Ratio!Z14</f>
        <v>1.54734104390642</v>
      </c>
      <c r="AA25" s="94" t="n">
        <f aca="false">AA17*Ratio!AA14</f>
        <v>1.66840743939621</v>
      </c>
      <c r="AB25" s="53" t="n">
        <f aca="false">AB17*Ratio!AB14</f>
        <v>1.38977814968501</v>
      </c>
      <c r="AC25" s="68" t="n">
        <f aca="false">AC17*Ratio!AC14</f>
        <v>0.262173158066662</v>
      </c>
      <c r="AD25" s="67" t="n">
        <f aca="false">AD17*Ratio!AD14</f>
        <v>0.270224090101518</v>
      </c>
      <c r="AE25" s="53" t="n">
        <f aca="false">AE17*Ratio!AE14</f>
        <v>0.249380437511254</v>
      </c>
      <c r="AF25" s="94" t="n">
        <f aca="false">AF17*Ratio!AF14</f>
        <v>0.250391597296941</v>
      </c>
      <c r="AG25" s="53" t="n">
        <f aca="false">AG17*Ratio!AG14</f>
        <v>0.319097790833108</v>
      </c>
      <c r="AH25" s="53" t="n">
        <f aca="false">AH17*Ratio!AH14</f>
        <v>0.347840108969866</v>
      </c>
      <c r="AI25" s="66" t="n">
        <f aca="false">AI17*Ratio!AI14</f>
        <v>0.465604384613857</v>
      </c>
      <c r="AJ25" s="67" t="n">
        <f aca="false">AJ17*Ratio!AJ14</f>
        <v>0.453811286025222</v>
      </c>
      <c r="AK25" s="53" t="n">
        <f aca="false">AK17*Ratio!AK14</f>
        <v>0.420459227093132</v>
      </c>
      <c r="AL25" s="94" t="n">
        <f aca="false">AL17*Ratio!AL14</f>
        <v>0.437077125621969</v>
      </c>
      <c r="AM25" s="53" t="n">
        <f aca="false">AM17*Ratio!AM14</f>
        <v>0.451625748610528</v>
      </c>
      <c r="AN25" s="68" t="n">
        <f aca="false">AN17*Ratio!AN14</f>
        <v>0.44136855850428</v>
      </c>
      <c r="AO25" s="67" t="n">
        <f aca="false">AO17*Ratio!AO14</f>
        <v>0.442892614816222</v>
      </c>
      <c r="AP25" s="53" t="n">
        <f aca="false">AP17*Ratio!AP14</f>
        <v>0.423492661183408</v>
      </c>
      <c r="AQ25" s="94" t="n">
        <f aca="false">AQ17*Ratio!AQ14</f>
        <v>0.407572376525758</v>
      </c>
    </row>
    <row r="26" customFormat="false" ht="12.8" hidden="false" customHeight="false" outlineLevel="0" collapsed="false">
      <c r="A26" s="139" t="s">
        <v>192</v>
      </c>
      <c r="B26" s="65" t="n">
        <f aca="false">B18*Ratio!B21</f>
        <v>0.00372415255808987</v>
      </c>
      <c r="C26" s="65" t="n">
        <f aca="false">C18*Ratio!C21</f>
        <v>0.00375609117613822</v>
      </c>
      <c r="D26" s="53" t="n">
        <f aca="false">D18*Ratio!D21</f>
        <v>0.00372442565286947</v>
      </c>
      <c r="E26" s="94" t="n">
        <f aca="false">E18*Ratio!E21</f>
        <v>0.00371739050383081</v>
      </c>
      <c r="F26" s="53" t="n">
        <f aca="false">F18*Ratio!F21</f>
        <v>0.00377724768691843</v>
      </c>
      <c r="G26" s="94" t="n">
        <f aca="false">G18*Ratio!G21</f>
        <v>0.00364879270522259</v>
      </c>
      <c r="H26" s="53" t="n">
        <f aca="false">H18*Ratio!H21</f>
        <v>0.00338201329050898</v>
      </c>
      <c r="I26" s="66" t="n">
        <f aca="false">I18*Ratio!I21</f>
        <v>0.00352762988265167</v>
      </c>
      <c r="J26" s="67" t="n">
        <f aca="false">J18*Ratio!J21</f>
        <v>0.00380167012077272</v>
      </c>
      <c r="K26" s="94" t="n">
        <f aca="false">K18*Ratio!K21</f>
        <v>0.00341275037854791</v>
      </c>
      <c r="L26" s="53" t="n">
        <f aca="false">L18*Ratio!L21</f>
        <v>0.00368913704298458</v>
      </c>
      <c r="M26" s="94" t="n">
        <f aca="false">M18*Ratio!M21</f>
        <v>0.00368871457600715</v>
      </c>
      <c r="N26" s="94" t="n">
        <f aca="false">N18*Ratio!N21</f>
        <v>0.00370586616354517</v>
      </c>
      <c r="O26" s="53" t="n">
        <f aca="false">O18*Ratio!O21</f>
        <v>0.00367747038142043</v>
      </c>
      <c r="P26" s="68" t="n">
        <f aca="false">P18*Ratio!P21</f>
        <v>0.00410947317965753</v>
      </c>
      <c r="Q26" s="67" t="n">
        <f aca="false">Q18*Ratio!Q21</f>
        <v>0.00427025707871674</v>
      </c>
      <c r="R26" s="53" t="n">
        <f aca="false">R18*Ratio!R21</f>
        <v>0.00459026214738852</v>
      </c>
      <c r="S26" s="94" t="n">
        <f aca="false">S18*Ratio!S21</f>
        <v>0.00437417107572392</v>
      </c>
      <c r="T26" s="53" t="n">
        <f aca="false">T18*Ratio!T21</f>
        <v>0.00456724707070108</v>
      </c>
      <c r="U26" s="53" t="n">
        <f aca="false">U18*Ratio!U21</f>
        <v>0.00680729822735873</v>
      </c>
      <c r="V26" s="94" t="n">
        <f aca="false">V18*Ratio!V21</f>
        <v>0.00750042436521659</v>
      </c>
      <c r="W26" s="94" t="n">
        <f aca="false">W18*Ratio!W21</f>
        <v>0.00765287715618668</v>
      </c>
      <c r="X26" s="66" t="n">
        <f aca="false">X18*Ratio!X21</f>
        <v>0.00728095453331345</v>
      </c>
      <c r="Y26" s="67" t="n">
        <f aca="false">Y18*Ratio!Y21</f>
        <v>0.00762908633311683</v>
      </c>
      <c r="Z26" s="53" t="n">
        <f aca="false">Z18*Ratio!Z21</f>
        <v>0.00844578837548984</v>
      </c>
      <c r="AA26" s="94" t="n">
        <f aca="false">AA18*Ratio!AA21</f>
        <v>0.0080498114806889</v>
      </c>
      <c r="AB26" s="53" t="n">
        <f aca="false">AB18*Ratio!AB21</f>
        <v>0.0093530826462727</v>
      </c>
      <c r="AC26" s="68" t="n">
        <f aca="false">AC18*Ratio!AC21</f>
        <v>0.00871843910932188</v>
      </c>
      <c r="AD26" s="67" t="n">
        <f aca="false">AD18*Ratio!AD21</f>
        <v>0.00721065982750455</v>
      </c>
      <c r="AE26" s="53" t="n">
        <f aca="false">AE18*Ratio!AE21</f>
        <v>0.00722133372815274</v>
      </c>
      <c r="AF26" s="94" t="n">
        <f aca="false">AF18*Ratio!AF21</f>
        <v>0.00749028759552684</v>
      </c>
      <c r="AG26" s="53" t="n">
        <f aca="false">AG18*Ratio!AG21</f>
        <v>0.00700837040658278</v>
      </c>
      <c r="AH26" s="53" t="n">
        <f aca="false">AH18*Ratio!AH21</f>
        <v>0.00705646626979561</v>
      </c>
      <c r="AI26" s="66" t="n">
        <f aca="false">AI18*Ratio!AI21</f>
        <v>0.010784148142076</v>
      </c>
      <c r="AJ26" s="67" t="n">
        <f aca="false">AJ18*Ratio!AJ21</f>
        <v>0.0107731586885949</v>
      </c>
      <c r="AK26" s="53" t="n">
        <f aca="false">AK18*Ratio!AK21</f>
        <v>0.0116767032607202</v>
      </c>
      <c r="AL26" s="94" t="n">
        <f aca="false">AL18*Ratio!AL21</f>
        <v>0.0121427763201195</v>
      </c>
      <c r="AM26" s="53" t="n">
        <f aca="false">AM18*Ratio!AM21</f>
        <v>0.0129620489931466</v>
      </c>
      <c r="AN26" s="68" t="n">
        <f aca="false">AN18*Ratio!AN21</f>
        <v>0.0140399834916351</v>
      </c>
      <c r="AO26" s="67" t="n">
        <f aca="false">AO18*Ratio!AO21</f>
        <v>0.011477141223002</v>
      </c>
      <c r="AP26" s="53" t="n">
        <f aca="false">AP18*Ratio!AP21</f>
        <v>0.00988213094321655</v>
      </c>
      <c r="AQ26" s="94" t="n">
        <f aca="false">AQ18*Ratio!AQ21</f>
        <v>0.00947882614531521</v>
      </c>
    </row>
    <row r="27" customFormat="false" ht="12.8" hidden="false" customHeight="false" outlineLevel="0" collapsed="false">
      <c r="A27" s="139" t="s">
        <v>28</v>
      </c>
      <c r="B27" s="65" t="n">
        <f aca="false">B19*Ratio!B28</f>
        <v>0.00985926274928889</v>
      </c>
      <c r="C27" s="65" t="n">
        <f aca="false">C19*Ratio!C28</f>
        <v>0.0099441878615092</v>
      </c>
      <c r="D27" s="53" t="n">
        <f aca="false">D19*Ratio!D28</f>
        <v>0.00986035392421878</v>
      </c>
      <c r="E27" s="94" t="n">
        <f aca="false">E19*Ratio!E28</f>
        <v>0.00984172848612544</v>
      </c>
      <c r="F27" s="53" t="n">
        <f aca="false">F19*Ratio!F28</f>
        <v>0.0100001993659767</v>
      </c>
      <c r="G27" s="94" t="n">
        <f aca="false">G19*Ratio!G28</f>
        <v>0.0102476298038878</v>
      </c>
      <c r="H27" s="53" t="n">
        <f aca="false">H19*Ratio!H28</f>
        <v>0.0114609364498604</v>
      </c>
      <c r="I27" s="66" t="n">
        <f aca="false">I19*Ratio!I28</f>
        <v>0.0108770187246676</v>
      </c>
      <c r="J27" s="67" t="n">
        <f aca="false">J19*Ratio!J28</f>
        <v>0.0117219885487451</v>
      </c>
      <c r="K27" s="94" t="n">
        <f aca="false">K19*Ratio!K28</f>
        <v>0.011035867112651</v>
      </c>
      <c r="L27" s="53" t="n">
        <f aca="false">L19*Ratio!L28</f>
        <v>0.0113705816761486</v>
      </c>
      <c r="M27" s="94" t="n">
        <f aca="false">M19*Ratio!M28</f>
        <v>0.0113692795571933</v>
      </c>
      <c r="N27" s="94" t="n">
        <f aca="false">N19*Ratio!N28</f>
        <v>0.00482585576587474</v>
      </c>
      <c r="O27" s="53" t="n">
        <f aca="false">O19*Ratio!O28</f>
        <v>0.00478887818955501</v>
      </c>
      <c r="P27" s="68" t="n">
        <f aca="false">P19*Ratio!P28</f>
        <v>0.02053018892483</v>
      </c>
      <c r="Q27" s="67" t="n">
        <f aca="false">Q19*Ratio!Q28</f>
        <v>0.0213737071212732</v>
      </c>
      <c r="R27" s="53" t="n">
        <f aca="false">R19*Ratio!R28</f>
        <v>0.0221323505808398</v>
      </c>
      <c r="S27" s="94" t="n">
        <f aca="false">S19*Ratio!S28</f>
        <v>0.0210904485713453</v>
      </c>
      <c r="T27" s="53" t="n">
        <f aca="false">T19*Ratio!T28</f>
        <v>0.0208471221780674</v>
      </c>
      <c r="U27" s="53" t="n">
        <f aca="false">U19*Ratio!U28</f>
        <v>0.0369450269324615</v>
      </c>
      <c r="V27" s="94" t="n">
        <f aca="false">V19*Ratio!V28</f>
        <v>0.0373579318836304</v>
      </c>
      <c r="W27" s="94" t="n">
        <f aca="false">W19*Ratio!W28</f>
        <v>0.0381172650497566</v>
      </c>
      <c r="X27" s="66" t="n">
        <f aca="false">X19*Ratio!X28</f>
        <v>0.0362648018643781</v>
      </c>
      <c r="Y27" s="67" t="n">
        <f aca="false">Y19*Ratio!Y28</f>
        <v>0.0375556377593507</v>
      </c>
      <c r="Z27" s="53" t="n">
        <f aca="false">Z19*Ratio!Z28</f>
        <v>0.0254592897889896</v>
      </c>
      <c r="AA27" s="94" t="n">
        <f aca="false">AA19*Ratio!AA28</f>
        <v>0.0242656427229871</v>
      </c>
      <c r="AB27" s="53" t="n">
        <f aca="false">AB19*Ratio!AB28</f>
        <v>0.0249445920949746</v>
      </c>
      <c r="AC27" s="68" t="n">
        <f aca="false">AC19*Ratio!AC28</f>
        <v>0.00743150409613487</v>
      </c>
      <c r="AD27" s="67" t="n">
        <f aca="false">AD19*Ratio!AD28</f>
        <v>0.0076380750099787</v>
      </c>
      <c r="AE27" s="53" t="n">
        <f aca="false">AE19*Ratio!AE28</f>
        <v>0.0103641165472231</v>
      </c>
      <c r="AF27" s="94" t="n">
        <f aca="false">AF19*Ratio!AF28</f>
        <v>0.011059772348625</v>
      </c>
      <c r="AG27" s="53" t="n">
        <f aca="false">AG19*Ratio!AG28</f>
        <v>0.0127841434860304</v>
      </c>
      <c r="AH27" s="53" t="n">
        <f aca="false">AH19*Ratio!AH28</f>
        <v>0.0161569410449408</v>
      </c>
      <c r="AI27" s="66" t="n">
        <f aca="false">AI19*Ratio!AI28</f>
        <v>0.0128870105744701</v>
      </c>
      <c r="AJ27" s="67" t="n">
        <f aca="false">AJ19*Ratio!AJ28</f>
        <v>0.0101482008017924</v>
      </c>
      <c r="AK27" s="53" t="n">
        <f aca="false">AK19*Ratio!AK28</f>
        <v>0.0113211380635909</v>
      </c>
      <c r="AL27" s="94" t="n">
        <f aca="false">AL19*Ratio!AL28</f>
        <v>0.011852971175733</v>
      </c>
      <c r="AM27" s="53" t="n">
        <f aca="false">AM19*Ratio!AM28</f>
        <v>0.0196819134338876</v>
      </c>
      <c r="AN27" s="68" t="n">
        <f aca="false">AN19*Ratio!AN28</f>
        <v>0.0262541023326835</v>
      </c>
      <c r="AO27" s="67" t="n">
        <f aca="false">AO19*Ratio!AO28</f>
        <v>0.0230280803947325</v>
      </c>
      <c r="AP27" s="53" t="n">
        <f aca="false">AP19*Ratio!AP28</f>
        <v>0.02188808042678</v>
      </c>
      <c r="AQ27" s="94" t="n">
        <f aca="false">AQ19*Ratio!AQ28</f>
        <v>0.0168589442475168</v>
      </c>
    </row>
    <row r="28" customFormat="false" ht="12.8" hidden="false" customHeight="false" outlineLevel="0" collapsed="false">
      <c r="A28" s="139" t="s">
        <v>200</v>
      </c>
      <c r="B28" s="65" t="n">
        <f aca="false">B20*Ratio!B30</f>
        <v>0.012548833059564</v>
      </c>
      <c r="C28" s="65" t="n">
        <f aca="false">C20*Ratio!C30</f>
        <v>0.0126569254274131</v>
      </c>
      <c r="D28" s="53" t="n">
        <f aca="false">D20*Ratio!D30</f>
        <v>0.0125502219029676</v>
      </c>
      <c r="E28" s="94" t="n">
        <f aca="false">E20*Ratio!E30</f>
        <v>0.0125265155144437</v>
      </c>
      <c r="F28" s="53" t="n">
        <f aca="false">F20*Ratio!F30</f>
        <v>0.0127282166625542</v>
      </c>
      <c r="G28" s="94" t="n">
        <f aca="false">G20*Ratio!G30</f>
        <v>0.0130431452062149</v>
      </c>
      <c r="H28" s="53" t="n">
        <f aca="false">H20*Ratio!H30</f>
        <v>0.00972313218388809</v>
      </c>
      <c r="I28" s="66" t="n">
        <f aca="false">I20*Ratio!I30</f>
        <v>0.00879902762116164</v>
      </c>
      <c r="J28" s="67" t="n">
        <f aca="false">J20*Ratio!J30</f>
        <v>0.00956936741461665</v>
      </c>
      <c r="K28" s="94" t="n">
        <f aca="false">K20*Ratio!K30</f>
        <v>0.00789909756879407</v>
      </c>
      <c r="L28" s="53" t="n">
        <f aca="false">L20*Ratio!L30</f>
        <v>0.00813867484602793</v>
      </c>
      <c r="M28" s="94" t="n">
        <f aca="false">M20*Ratio!M30</f>
        <v>0.0081377428336569</v>
      </c>
      <c r="N28" s="94" t="n">
        <f aca="false">N20*Ratio!N30</f>
        <v>0.00817558127458188</v>
      </c>
      <c r="O28" s="53" t="n">
        <f aca="false">O20*Ratio!O30</f>
        <v>0.00697445677112137</v>
      </c>
      <c r="P28" s="68" t="n">
        <f aca="false">P20*Ratio!P30</f>
        <v>0.00585036392427116</v>
      </c>
      <c r="Q28" s="67" t="n">
        <f aca="false">Q20*Ratio!Q30</f>
        <v>0.00640708608483633</v>
      </c>
      <c r="R28" s="53" t="n">
        <f aca="false">R20*Ratio!R30</f>
        <v>0.00663450072683371</v>
      </c>
      <c r="S28" s="94" t="n">
        <f aca="false">S20*Ratio!S30</f>
        <v>0.00657759100361675</v>
      </c>
      <c r="T28" s="53" t="n">
        <f aca="false">T20*Ratio!T30</f>
        <v>0.00563993407210305</v>
      </c>
      <c r="U28" s="53" t="n">
        <f aca="false">U20*Ratio!U30</f>
        <v>0.00421658370147813</v>
      </c>
      <c r="V28" s="94" t="n">
        <f aca="false">V20*Ratio!V30</f>
        <v>0.00426370907752782</v>
      </c>
      <c r="W28" s="94" t="n">
        <f aca="false">W20*Ratio!W30</f>
        <v>0.00435037275375501</v>
      </c>
      <c r="X28" s="66" t="n">
        <f aca="false">X20*Ratio!X30</f>
        <v>0.00528249582714676</v>
      </c>
      <c r="Y28" s="67" t="n">
        <f aca="false">Y20*Ratio!Y30</f>
        <v>0.0033274507158219</v>
      </c>
      <c r="Z28" s="53" t="n">
        <f aca="false">Z20*Ratio!Z30</f>
        <v>0.00470105915414997</v>
      </c>
      <c r="AA28" s="94" t="n">
        <f aca="false">AA20*Ratio!AA30</f>
        <v>0.00767634549956702</v>
      </c>
      <c r="AB28" s="53" t="n">
        <f aca="false">AB20*Ratio!AB30</f>
        <v>0.00789112859909534</v>
      </c>
      <c r="AC28" s="68" t="n">
        <f aca="false">AC20*Ratio!AC30</f>
        <v>0.0118911712974476</v>
      </c>
      <c r="AD28" s="67" t="n">
        <f aca="false">AD20*Ratio!AD30</f>
        <v>0.00713376091524535</v>
      </c>
      <c r="AE28" s="53" t="n">
        <f aca="false">AE20*Ratio!AE30</f>
        <v>0.00714432098285066</v>
      </c>
      <c r="AF28" s="94" t="n">
        <f aca="false">AF20*Ratio!AF30</f>
        <v>0.0071732889730667</v>
      </c>
      <c r="AG28" s="53" t="n">
        <f aca="false">AG20*Ratio!AG30</f>
        <v>0.0079906035695407</v>
      </c>
      <c r="AH28" s="53" t="n">
        <f aca="false">AH20*Ratio!AH30</f>
        <v>0.00878238829648235</v>
      </c>
      <c r="AI28" s="66" t="n">
        <f aca="false">AI20*Ratio!AI30</f>
        <v>0.00700496031588295</v>
      </c>
      <c r="AJ28" s="67" t="n">
        <f aca="false">AJ20*Ratio!AJ30</f>
        <v>0.00966136799496533</v>
      </c>
      <c r="AK28" s="53" t="n">
        <f aca="false">AK20*Ratio!AK30</f>
        <v>0.00728634304147452</v>
      </c>
      <c r="AL28" s="94" t="n">
        <f aca="false">AL20*Ratio!AL30</f>
        <v>0.00757717583197599</v>
      </c>
      <c r="AM28" s="53" t="n">
        <f aca="false">AM20*Ratio!AM30</f>
        <v>0.00814884218177531</v>
      </c>
      <c r="AN28" s="68" t="n">
        <f aca="false">AN20*Ratio!AN30</f>
        <v>0.00801375031027697</v>
      </c>
      <c r="AO28" s="67" t="n">
        <f aca="false">AO20*Ratio!AO30</f>
        <v>0.00477834400592687</v>
      </c>
      <c r="AP28" s="53" t="n">
        <f aca="false">AP20*Ratio!AP30</f>
        <v>0.0105002206731497</v>
      </c>
      <c r="AQ28" s="94" t="n">
        <f aca="false">AQ20*Ratio!AQ30</f>
        <v>0.00994624820886291</v>
      </c>
    </row>
    <row r="29" customFormat="false" ht="12.8" hidden="false" customHeight="false" outlineLevel="0" collapsed="false">
      <c r="C29" s="65"/>
      <c r="D29" s="53"/>
      <c r="E29" s="94"/>
      <c r="F29" s="53"/>
      <c r="G29" s="94"/>
      <c r="H29" s="53"/>
      <c r="I29" s="66"/>
      <c r="J29" s="67"/>
      <c r="K29" s="94"/>
      <c r="L29" s="53"/>
      <c r="M29" s="94"/>
      <c r="N29" s="94"/>
      <c r="O29" s="53"/>
      <c r="P29" s="68"/>
      <c r="Q29" s="67"/>
      <c r="R29" s="53"/>
      <c r="S29" s="94"/>
      <c r="T29" s="53"/>
      <c r="U29" s="53"/>
      <c r="V29" s="94"/>
      <c r="W29" s="94"/>
      <c r="X29" s="66"/>
      <c r="Y29" s="67"/>
      <c r="Z29" s="53"/>
      <c r="AA29" s="94"/>
      <c r="AB29" s="53"/>
      <c r="AC29" s="68"/>
      <c r="AD29" s="67"/>
      <c r="AE29" s="53"/>
      <c r="AF29" s="94"/>
      <c r="AG29" s="53"/>
      <c r="AH29" s="53"/>
      <c r="AI29" s="66"/>
      <c r="AJ29" s="67"/>
      <c r="AK29" s="53"/>
      <c r="AL29" s="94"/>
      <c r="AM29" s="53"/>
      <c r="AN29" s="68"/>
      <c r="AO29" s="67"/>
      <c r="AP29" s="53"/>
      <c r="AQ29" s="94"/>
    </row>
    <row r="30" customFormat="false" ht="12.8" hidden="false" customHeight="false" outlineLevel="0" collapsed="false">
      <c r="A30" s="1" t="s">
        <v>101</v>
      </c>
      <c r="C30" s="65"/>
      <c r="D30" s="53"/>
      <c r="E30" s="94"/>
      <c r="F30" s="53"/>
      <c r="G30" s="94"/>
      <c r="H30" s="53"/>
      <c r="I30" s="66"/>
      <c r="J30" s="67"/>
      <c r="K30" s="94"/>
      <c r="L30" s="53"/>
      <c r="M30" s="94"/>
      <c r="N30" s="94"/>
      <c r="O30" s="53"/>
      <c r="P30" s="68"/>
      <c r="Q30" s="67"/>
      <c r="R30" s="53"/>
      <c r="S30" s="94"/>
      <c r="T30" s="53"/>
      <c r="U30" s="53"/>
      <c r="V30" s="94"/>
      <c r="W30" s="94"/>
      <c r="X30" s="66"/>
      <c r="Y30" s="67"/>
      <c r="Z30" s="53"/>
      <c r="AA30" s="94"/>
      <c r="AB30" s="53"/>
      <c r="AC30" s="68"/>
      <c r="AD30" s="67"/>
      <c r="AE30" s="53"/>
      <c r="AF30" s="94"/>
      <c r="AG30" s="53"/>
      <c r="AH30" s="53"/>
      <c r="AI30" s="66"/>
      <c r="AJ30" s="67"/>
      <c r="AK30" s="53"/>
      <c r="AL30" s="94"/>
      <c r="AM30" s="53"/>
      <c r="AN30" s="68"/>
      <c r="AO30" s="67"/>
      <c r="AP30" s="53"/>
      <c r="AQ30" s="94"/>
    </row>
    <row r="31" customFormat="false" ht="12.8" hidden="false" customHeight="false" outlineLevel="0" collapsed="false">
      <c r="A31" s="139" t="s">
        <v>180</v>
      </c>
      <c r="B31" s="65" t="n">
        <f aca="false">B15*Ratio!B34</f>
        <v>12.8475946935381</v>
      </c>
      <c r="C31" s="65" t="n">
        <f aca="false">C15*Ratio!C34</f>
        <v>13.0432431128107</v>
      </c>
      <c r="D31" s="53" t="n">
        <f aca="false">D15*Ratio!D34</f>
        <v>13.2922992930114</v>
      </c>
      <c r="E31" s="94" t="n">
        <f aca="false">E15*Ratio!E34</f>
        <v>13.4017935617907</v>
      </c>
      <c r="F31" s="53" t="n">
        <f aca="false">F15*Ratio!F34</f>
        <v>13.6865578518613</v>
      </c>
      <c r="G31" s="94" t="n">
        <f aca="false">G15*Ratio!G34</f>
        <v>18.5871831576856</v>
      </c>
      <c r="H31" s="53" t="n">
        <f aca="false">H15*Ratio!H34</f>
        <v>18.8127664707467</v>
      </c>
      <c r="I31" s="66" t="n">
        <f aca="false">I15*Ratio!I34</f>
        <v>18.9416097922355</v>
      </c>
      <c r="J31" s="67" t="n">
        <f aca="false">J15*Ratio!J34</f>
        <v>17.0458892439304</v>
      </c>
      <c r="K31" s="94" t="n">
        <f aca="false">K15*Ratio!K34</f>
        <v>18.4034198786385</v>
      </c>
      <c r="L31" s="53" t="n">
        <f aca="false">L15*Ratio!L34</f>
        <v>17.9601968956121</v>
      </c>
      <c r="M31" s="94" t="n">
        <f aca="false">M15*Ratio!M34</f>
        <v>17.9581401571369</v>
      </c>
      <c r="N31" s="94" t="n">
        <f aca="false">N15*Ratio!N34</f>
        <v>17.9515455112199</v>
      </c>
      <c r="O31" s="53" t="n">
        <f aca="false">O15*Ratio!O34</f>
        <v>18.0774830159274</v>
      </c>
      <c r="P31" s="68" t="n">
        <f aca="false">P15*Ratio!P34</f>
        <v>16.5160832653092</v>
      </c>
      <c r="Q31" s="67" t="n">
        <f aca="false">Q15*Ratio!Q34</f>
        <v>15.4546168224778</v>
      </c>
      <c r="R31" s="53" t="n">
        <f aca="false">R15*Ratio!R34</f>
        <v>14.7148652142214</v>
      </c>
      <c r="S31" s="94" t="n">
        <f aca="false">S15*Ratio!S34</f>
        <v>15.5352311179303</v>
      </c>
      <c r="T31" s="53" t="n">
        <f aca="false">T15*Ratio!T34</f>
        <v>15.6365423283948</v>
      </c>
      <c r="U31" s="53" t="n">
        <f aca="false">U15*Ratio!U34</f>
        <v>14.8712346596466</v>
      </c>
      <c r="V31" s="94" t="n">
        <f aca="false">V15*Ratio!V34</f>
        <v>14.9540132332263</v>
      </c>
      <c r="W31" s="94" t="n">
        <f aca="false">W15*Ratio!W34</f>
        <v>14.5166244610306</v>
      </c>
      <c r="X31" s="66" t="n">
        <f aca="false">X15*Ratio!X34</f>
        <v>15.0057281901931</v>
      </c>
      <c r="Y31" s="67" t="n">
        <f aca="false">Y15*Ratio!Y34</f>
        <v>13.8835129328482</v>
      </c>
      <c r="Z31" s="53" t="n">
        <f aca="false">Z15*Ratio!Z34</f>
        <v>13.5110955063274</v>
      </c>
      <c r="AA31" s="94" t="n">
        <f aca="false">AA15*Ratio!AA34</f>
        <v>14.3652487056899</v>
      </c>
      <c r="AB31" s="53" t="n">
        <f aca="false">AB15*Ratio!AB34</f>
        <v>14.4761200819141</v>
      </c>
      <c r="AC31" s="68" t="n">
        <f aca="false">AC15*Ratio!AC34</f>
        <v>13.7147726949065</v>
      </c>
      <c r="AD31" s="67" t="n">
        <f aca="false">AD15*Ratio!AD34</f>
        <v>13.0581210714556</v>
      </c>
      <c r="AE31" s="53" t="n">
        <f aca="false">AE15*Ratio!AE34</f>
        <v>13.4127565883147</v>
      </c>
      <c r="AF31" s="94" t="n">
        <f aca="false">AF15*Ratio!AF34</f>
        <v>13.5647211013394</v>
      </c>
      <c r="AG31" s="53" t="n">
        <f aca="false">AG15*Ratio!AG34</f>
        <v>13.7802619789202</v>
      </c>
      <c r="AH31" s="53" t="n">
        <f aca="false">AH15*Ratio!AH34</f>
        <v>11.9212071301406</v>
      </c>
      <c r="AI31" s="66" t="n">
        <f aca="false">AI15*Ratio!AI34</f>
        <v>13.4727971514992</v>
      </c>
      <c r="AJ31" s="67" t="n">
        <f aca="false">AJ15*Ratio!AJ34</f>
        <v>13.4590678633248</v>
      </c>
      <c r="AK31" s="53" t="n">
        <f aca="false">AK15*Ratio!AK34</f>
        <v>13.0670847532335</v>
      </c>
      <c r="AL31" s="94" t="n">
        <f aca="false">AL15*Ratio!AL34</f>
        <v>12.8086102235092</v>
      </c>
      <c r="AM31" s="53" t="n">
        <f aca="false">AM15*Ratio!AM34</f>
        <v>12.5920074529898</v>
      </c>
      <c r="AN31" s="68" t="n">
        <f aca="false">AN15*Ratio!AN34</f>
        <v>13.0526245499383</v>
      </c>
      <c r="AO31" s="67" t="n">
        <f aca="false">AO15*Ratio!AO34</f>
        <v>13.1702227678492</v>
      </c>
      <c r="AP31" s="53" t="n">
        <f aca="false">AP15*Ratio!AP34</f>
        <v>13.0504199927684</v>
      </c>
      <c r="AQ31" s="94" t="n">
        <f aca="false">AQ15*Ratio!AQ34</f>
        <v>13.066735946353</v>
      </c>
    </row>
    <row r="32" customFormat="false" ht="12.8" hidden="false" customHeight="false" outlineLevel="0" collapsed="false">
      <c r="A32" s="139" t="s">
        <v>27</v>
      </c>
      <c r="B32" s="65" t="n">
        <f aca="false">B16*Ratio!B39</f>
        <v>0.950788167295749</v>
      </c>
      <c r="C32" s="65" t="n">
        <f aca="false">C16*Ratio!C39</f>
        <v>0.933615298376064</v>
      </c>
      <c r="D32" s="53" t="n">
        <f aca="false">D16*Ratio!D39</f>
        <v>0.927105823721251</v>
      </c>
      <c r="E32" s="94" t="n">
        <f aca="false">E16*Ratio!E39</f>
        <v>0.801753066640866</v>
      </c>
      <c r="F32" s="53" t="n">
        <f aca="false">F16*Ratio!F39</f>
        <v>0.722979299037753</v>
      </c>
      <c r="G32" s="94" t="n">
        <f aca="false">G16*Ratio!G39</f>
        <v>0.496194088726344</v>
      </c>
      <c r="H32" s="53" t="n">
        <f aca="false">H16*Ratio!H39</f>
        <v>0.481147607263289</v>
      </c>
      <c r="I32" s="66" t="n">
        <f aca="false">I16*Ratio!I39</f>
        <v>0.444325765067476</v>
      </c>
      <c r="J32" s="67" t="n">
        <f aca="false">J16*Ratio!J39</f>
        <v>0.479265935681308</v>
      </c>
      <c r="K32" s="94" t="n">
        <f aca="false">K16*Ratio!K39</f>
        <v>0.592583127087294</v>
      </c>
      <c r="L32" s="53" t="n">
        <f aca="false">L16*Ratio!L39</f>
        <v>0.573228086688125</v>
      </c>
      <c r="M32" s="94" t="n">
        <f aca="false">M16*Ratio!M39</f>
        <v>0.576203988366567</v>
      </c>
      <c r="N32" s="94" t="n">
        <f aca="false">N16*Ratio!N39</f>
        <v>0.528037467183675</v>
      </c>
      <c r="O32" s="53" t="n">
        <f aca="false">O16*Ratio!O39</f>
        <v>0.313886064018445</v>
      </c>
      <c r="P32" s="68" t="n">
        <f aca="false">P16*Ratio!P39</f>
        <v>0.26177923114567</v>
      </c>
      <c r="Q32" s="67" t="n">
        <f aca="false">Q16*Ratio!Q39</f>
        <v>0.288252748616885</v>
      </c>
      <c r="R32" s="53" t="n">
        <f aca="false">R16*Ratio!R39</f>
        <v>0.27585719616036</v>
      </c>
      <c r="S32" s="94" t="n">
        <f aca="false">S16*Ratio!S39</f>
        <v>0.305670461669682</v>
      </c>
      <c r="T32" s="53" t="n">
        <f aca="false">T16*Ratio!T39</f>
        <v>0.276137553432545</v>
      </c>
      <c r="U32" s="53" t="n">
        <f aca="false">U16*Ratio!U39</f>
        <v>1.40136884425088</v>
      </c>
      <c r="V32" s="94" t="n">
        <f aca="false">V16*Ratio!V39</f>
        <v>1.33483711844491</v>
      </c>
      <c r="W32" s="94" t="n">
        <f aca="false">W16*Ratio!W39</f>
        <v>1.35025696920843</v>
      </c>
      <c r="X32" s="66" t="n">
        <f aca="false">X16*Ratio!X39</f>
        <v>1.42737305786412</v>
      </c>
      <c r="Y32" s="67" t="n">
        <f aca="false">Y16*Ratio!Y39</f>
        <v>1.49833849150445</v>
      </c>
      <c r="Z32" s="53" t="n">
        <f aca="false">Z16*Ratio!Z39</f>
        <v>1.4904037942659</v>
      </c>
      <c r="AA32" s="94" t="n">
        <f aca="false">AA16*Ratio!AA39</f>
        <v>1.51128889314893</v>
      </c>
      <c r="AB32" s="53" t="n">
        <f aca="false">AB16*Ratio!AB39</f>
        <v>1.39136449535111</v>
      </c>
      <c r="AC32" s="68" t="n">
        <f aca="false">AC16*Ratio!AC39</f>
        <v>0.552875899158815</v>
      </c>
      <c r="AD32" s="67" t="n">
        <f aca="false">AD16*Ratio!AD39</f>
        <v>0.580955990953534</v>
      </c>
      <c r="AE32" s="53" t="n">
        <f aca="false">AE16*Ratio!AE39</f>
        <v>0.584260024316946</v>
      </c>
      <c r="AF32" s="94" t="n">
        <f aca="false">AF16*Ratio!AF39</f>
        <v>0.494484400940077</v>
      </c>
      <c r="AG32" s="53" t="n">
        <f aca="false">AG16*Ratio!AG39</f>
        <v>0.508649094927586</v>
      </c>
      <c r="AH32" s="53" t="n">
        <f aca="false">AH16*Ratio!AH39</f>
        <v>0.480864292036876</v>
      </c>
      <c r="AI32" s="66" t="n">
        <f aca="false">AI16*Ratio!AI39</f>
        <v>0.8813842530502</v>
      </c>
      <c r="AJ32" s="67" t="n">
        <f aca="false">AJ16*Ratio!AJ39</f>
        <v>0.94513085406486</v>
      </c>
      <c r="AK32" s="53" t="n">
        <f aca="false">AK16*Ratio!AK39</f>
        <v>0.920040086021118</v>
      </c>
      <c r="AL32" s="94" t="n">
        <f aca="false">AL16*Ratio!AL39</f>
        <v>0.818808211003611</v>
      </c>
      <c r="AM32" s="53" t="n">
        <f aca="false">AM16*Ratio!AM39</f>
        <v>0.764517493015426</v>
      </c>
      <c r="AN32" s="68" t="n">
        <f aca="false">AN16*Ratio!AN39</f>
        <v>1.73123490064804</v>
      </c>
      <c r="AO32" s="67" t="n">
        <f aca="false">AO16*Ratio!AO39</f>
        <v>1.55301222094353</v>
      </c>
      <c r="AP32" s="53" t="n">
        <f aca="false">AP16*Ratio!AP39</f>
        <v>1.96134755465347</v>
      </c>
      <c r="AQ32" s="94" t="n">
        <f aca="false">AQ16*Ratio!AQ39</f>
        <v>1.70398784283712</v>
      </c>
    </row>
    <row r="33" customFormat="false" ht="12.8" hidden="false" customHeight="false" outlineLevel="0" collapsed="false">
      <c r="A33" s="139" t="s">
        <v>186</v>
      </c>
      <c r="B33" s="65" t="n">
        <f aca="false">B17*Ratio!B44</f>
        <v>2.51395085119657</v>
      </c>
      <c r="C33" s="65" t="n">
        <f aca="false">C17*Ratio!C44</f>
        <v>2.25742801874998</v>
      </c>
      <c r="D33" s="53" t="n">
        <f aca="false">D17*Ratio!D44</f>
        <v>2.11018248370188</v>
      </c>
      <c r="E33" s="94" t="n">
        <f aca="false">E17*Ratio!E44</f>
        <v>2.49519324148373</v>
      </c>
      <c r="F33" s="53" t="n">
        <f aca="false">F17*Ratio!F44</f>
        <v>1.67477095509591</v>
      </c>
      <c r="G33" s="94" t="n">
        <f aca="false">G17*Ratio!G44</f>
        <v>1.32914379131586</v>
      </c>
      <c r="H33" s="53" t="n">
        <f aca="false">H17*Ratio!H44</f>
        <v>3.40208149119438</v>
      </c>
      <c r="I33" s="66" t="n">
        <f aca="false">I17*Ratio!I44</f>
        <v>3.22875048164297</v>
      </c>
      <c r="J33" s="67" t="n">
        <f aca="false">J17*Ratio!J44</f>
        <v>3.17228760247747</v>
      </c>
      <c r="K33" s="94" t="n">
        <f aca="false">K17*Ratio!K44</f>
        <v>2.5368594956577</v>
      </c>
      <c r="L33" s="53" t="n">
        <f aca="false">L17*Ratio!L44</f>
        <v>2.61380168878817</v>
      </c>
      <c r="M33" s="94" t="n">
        <f aca="false">M17*Ratio!M44</f>
        <v>2.61350236542712</v>
      </c>
      <c r="N33" s="94" t="n">
        <f aca="false">N17*Ratio!N44</f>
        <v>2.56631957976491</v>
      </c>
      <c r="O33" s="53" t="n">
        <f aca="false">O17*Ratio!O44</f>
        <v>2.64118686445447</v>
      </c>
      <c r="P33" s="68" t="n">
        <f aca="false">P17*Ratio!P44</f>
        <v>4.02181202819367</v>
      </c>
      <c r="Q33" s="67" t="n">
        <f aca="false">Q17*Ratio!Q44</f>
        <v>3.91553613686486</v>
      </c>
      <c r="R33" s="53" t="n">
        <f aca="false">R17*Ratio!R44</f>
        <v>4.05451511061399</v>
      </c>
      <c r="S33" s="94" t="n">
        <f aca="false">S17*Ratio!S44</f>
        <v>3.84973072005459</v>
      </c>
      <c r="T33" s="53" t="n">
        <f aca="false">T17*Ratio!T44</f>
        <v>4.10007051035463</v>
      </c>
      <c r="U33" s="53" t="n">
        <f aca="false">U17*Ratio!U44</f>
        <v>-2.63851150151699</v>
      </c>
      <c r="V33" s="94" t="n">
        <f aca="false">V17*Ratio!V44</f>
        <v>-2.78526090042283</v>
      </c>
      <c r="W33" s="94" t="n">
        <f aca="false">W17*Ratio!W44</f>
        <v>-2.84187380352983</v>
      </c>
      <c r="X33" s="66" t="n">
        <f aca="false">X17*Ratio!X44</f>
        <v>-2.70376141294623</v>
      </c>
      <c r="Y33" s="67" t="n">
        <f aca="false">Y17*Ratio!Y44</f>
        <v>-2.98157651840137</v>
      </c>
      <c r="Z33" s="53" t="n">
        <f aca="false">Z17*Ratio!Z44</f>
        <v>-2.88104974340322</v>
      </c>
      <c r="AA33" s="94" t="n">
        <f aca="false">AA17*Ratio!AA44</f>
        <v>-3.10646760395453</v>
      </c>
      <c r="AB33" s="53" t="n">
        <f aca="false">AB17*Ratio!AB44</f>
        <v>-2.58767774389855</v>
      </c>
      <c r="AC33" s="68" t="n">
        <f aca="false">AC17*Ratio!AC44</f>
        <v>0.777436813633033</v>
      </c>
      <c r="AD33" s="67" t="n">
        <f aca="false">AD17*Ratio!AD44</f>
        <v>0.801310695284806</v>
      </c>
      <c r="AE33" s="53" t="n">
        <f aca="false">AE17*Ratio!AE44</f>
        <v>0.739501839741599</v>
      </c>
      <c r="AF33" s="94" t="n">
        <f aca="false">AF17*Ratio!AF44</f>
        <v>0.742500288734834</v>
      </c>
      <c r="AG33" s="53" t="n">
        <f aca="false">AG17*Ratio!AG44</f>
        <v>0.946238629354854</v>
      </c>
      <c r="AH33" s="53" t="n">
        <f aca="false">AH17*Ratio!AH44</f>
        <v>1.01279789749945</v>
      </c>
      <c r="AI33" s="66" t="n">
        <f aca="false">AI17*Ratio!AI44</f>
        <v>1.35568938038797</v>
      </c>
      <c r="AJ33" s="67" t="n">
        <f aca="false">AJ17*Ratio!AJ44</f>
        <v>1.32135169146835</v>
      </c>
      <c r="AK33" s="53" t="n">
        <f aca="false">AK17*Ratio!AK44</f>
        <v>1.22424128271263</v>
      </c>
      <c r="AL33" s="94" t="n">
        <f aca="false">AL17*Ratio!AL44</f>
        <v>1.27262722860228</v>
      </c>
      <c r="AM33" s="53" t="n">
        <f aca="false">AM17*Ratio!AM44</f>
        <v>1.3149881133719</v>
      </c>
      <c r="AN33" s="68" t="n">
        <f aca="false">AN17*Ratio!AN44</f>
        <v>1.24619542432471</v>
      </c>
      <c r="AO33" s="67" t="n">
        <f aca="false">AO17*Ratio!AO44</f>
        <v>1.25049856727805</v>
      </c>
      <c r="AP33" s="53" t="n">
        <f aca="false">AP17*Ratio!AP44</f>
        <v>1.1957231806233</v>
      </c>
      <c r="AQ33" s="94" t="n">
        <f aca="false">AQ17*Ratio!AQ44</f>
        <v>1.15077257072588</v>
      </c>
    </row>
    <row r="34" customFormat="false" ht="12.8" hidden="false" customHeight="false" outlineLevel="0" collapsed="false">
      <c r="A34" s="139" t="s">
        <v>192</v>
      </c>
      <c r="B34" s="65" t="n">
        <f aca="false">B18*Ratio!B51</f>
        <v>0.119179699243197</v>
      </c>
      <c r="C34" s="65" t="n">
        <f aca="false">C18*Ratio!C51</f>
        <v>0.120201793487155</v>
      </c>
      <c r="D34" s="53" t="n">
        <f aca="false">D18*Ratio!D51</f>
        <v>0.119188438776067</v>
      </c>
      <c r="E34" s="94" t="n">
        <f aca="false">E18*Ratio!E51</f>
        <v>0.11896330112838</v>
      </c>
      <c r="F34" s="53" t="n">
        <f aca="false">F18*Ratio!F51</f>
        <v>0.12087884056095</v>
      </c>
      <c r="G34" s="94" t="n">
        <f aca="false">G18*Ratio!G51</f>
        <v>0.187540261307444</v>
      </c>
      <c r="H34" s="53" t="n">
        <f aca="false">H18*Ratio!H51</f>
        <v>0.179009576507125</v>
      </c>
      <c r="I34" s="66" t="n">
        <f aca="false">I18*Ratio!I51</f>
        <v>0.186717046068237</v>
      </c>
      <c r="J34" s="67" t="n">
        <f aca="false">J18*Ratio!J51</f>
        <v>0.201221964517147</v>
      </c>
      <c r="K34" s="94" t="n">
        <f aca="false">K18*Ratio!K51</f>
        <v>0.180636487060183</v>
      </c>
      <c r="L34" s="53" t="n">
        <f aca="false">L18*Ratio!L51</f>
        <v>0.195265601585508</v>
      </c>
      <c r="M34" s="94" t="n">
        <f aca="false">M18*Ratio!M51</f>
        <v>0.19524324045673</v>
      </c>
      <c r="N34" s="94" t="n">
        <f aca="false">N18*Ratio!N51</f>
        <v>0.196151072022686</v>
      </c>
      <c r="O34" s="53" t="n">
        <f aca="false">O18*Ratio!O51</f>
        <v>0.194648086523781</v>
      </c>
      <c r="P34" s="68" t="n">
        <f aca="false">P18*Ratio!P51</f>
        <v>0.254074549005268</v>
      </c>
      <c r="Q34" s="67" t="n">
        <f aca="false">Q18*Ratio!Q51</f>
        <v>0.264015262779237</v>
      </c>
      <c r="R34" s="53" t="n">
        <f aca="false">R18*Ratio!R51</f>
        <v>0.28380007215691</v>
      </c>
      <c r="S34" s="94" t="n">
        <f aca="false">S18*Ratio!S51</f>
        <v>0.270439906710636</v>
      </c>
      <c r="T34" s="53" t="n">
        <f aca="false">T18*Ratio!T51</f>
        <v>0.282377129367399</v>
      </c>
      <c r="U34" s="53" t="n">
        <f aca="false">U18*Ratio!U51</f>
        <v>3.29314279172521</v>
      </c>
      <c r="V34" s="94" t="n">
        <f aca="false">V18*Ratio!V51</f>
        <v>3.62845399279309</v>
      </c>
      <c r="W34" s="94" t="n">
        <f aca="false">W18*Ratio!W51</f>
        <v>3.70220554486169</v>
      </c>
      <c r="X34" s="66" t="n">
        <f aca="false">X18*Ratio!X51</f>
        <v>3.52228184184659</v>
      </c>
      <c r="Y34" s="67" t="n">
        <f aca="false">Y18*Ratio!Y51</f>
        <v>3.69069634181447</v>
      </c>
      <c r="Z34" s="53" t="n">
        <f aca="false">Z18*Ratio!Z51</f>
        <v>4.08578942485565</v>
      </c>
      <c r="AA34" s="94" t="n">
        <f aca="false">AA18*Ratio!AA51</f>
        <v>3.89422907106322</v>
      </c>
      <c r="AB34" s="53" t="n">
        <f aca="false">AB18*Ratio!AB51</f>
        <v>4.52470799254729</v>
      </c>
      <c r="AC34" s="68" t="n">
        <f aca="false">AC18*Ratio!AC51</f>
        <v>1.99317710284346</v>
      </c>
      <c r="AD34" s="67" t="n">
        <f aca="false">AD18*Ratio!AD51</f>
        <v>1.64847421474887</v>
      </c>
      <c r="AE34" s="53" t="n">
        <f aca="false">AE18*Ratio!AE51</f>
        <v>1.65091444219133</v>
      </c>
      <c r="AF34" s="94" t="n">
        <f aca="false">AF18*Ratio!AF51</f>
        <v>1.71240167441826</v>
      </c>
      <c r="AG34" s="53" t="n">
        <f aca="false">AG18*Ratio!AG51</f>
        <v>1.60222756017309</v>
      </c>
      <c r="AH34" s="53" t="n">
        <f aca="false">AH18*Ratio!AH51</f>
        <v>0.950603258722975</v>
      </c>
      <c r="AI34" s="66" t="n">
        <f aca="false">AI18*Ratio!AI51</f>
        <v>1.45277338181137</v>
      </c>
      <c r="AJ34" s="67" t="n">
        <f aca="false">AJ18*Ratio!AJ51</f>
        <v>1.45129295097086</v>
      </c>
      <c r="AK34" s="53" t="n">
        <f aca="false">AK18*Ratio!AK51</f>
        <v>1.57301285748275</v>
      </c>
      <c r="AL34" s="94" t="n">
        <f aca="false">AL18*Ratio!AL51</f>
        <v>1.63579932200032</v>
      </c>
      <c r="AM34" s="53" t="n">
        <f aca="false">AM18*Ratio!AM51</f>
        <v>1.7461666422688</v>
      </c>
      <c r="AN34" s="68" t="n">
        <f aca="false">AN18*Ratio!AN51</f>
        <v>0.617255676450123</v>
      </c>
      <c r="AO34" s="67" t="n">
        <f aca="false">AO18*Ratio!AO51</f>
        <v>0.504582542674531</v>
      </c>
      <c r="AP34" s="53" t="n">
        <f aca="false">AP18*Ratio!AP51</f>
        <v>0.434459301448469</v>
      </c>
      <c r="AQ34" s="94" t="n">
        <f aca="false">AQ18*Ratio!AQ51</f>
        <v>0.416728356394831</v>
      </c>
    </row>
    <row r="35" customFormat="false" ht="12.8" hidden="false" customHeight="false" outlineLevel="0" collapsed="false">
      <c r="A35" s="139" t="s">
        <v>28</v>
      </c>
      <c r="B35" s="65" t="n">
        <f aca="false">B19*Ratio!B58</f>
        <v>0.0729224452095213</v>
      </c>
      <c r="C35" s="65" t="n">
        <f aca="false">C19*Ratio!C58</f>
        <v>0.0735505800914367</v>
      </c>
      <c r="D35" s="53" t="n">
        <f aca="false">D19*Ratio!D58</f>
        <v>0.0729305159087269</v>
      </c>
      <c r="E35" s="94" t="n">
        <f aca="false">E19*Ratio!E58</f>
        <v>0.0727927558628287</v>
      </c>
      <c r="F35" s="53" t="n">
        <f aca="false">F19*Ratio!F58</f>
        <v>0.0739648601415273</v>
      </c>
      <c r="G35" s="94" t="n">
        <f aca="false">G19*Ratio!G58</f>
        <v>0.351722185527212</v>
      </c>
      <c r="H35" s="53" t="n">
        <f aca="false">H19*Ratio!H58</f>
        <v>0.342558462229588</v>
      </c>
      <c r="I35" s="66" t="n">
        <f aca="false">I19*Ratio!I58</f>
        <v>0.325105616305022</v>
      </c>
      <c r="J35" s="67" t="n">
        <f aca="false">J19*Ratio!J58</f>
        <v>0.350361106101403</v>
      </c>
      <c r="K35" s="94" t="n">
        <f aca="false">K19*Ratio!K58</f>
        <v>0.329853470876357</v>
      </c>
      <c r="L35" s="53" t="n">
        <f aca="false">L19*Ratio!L58</f>
        <v>0.339857828431186</v>
      </c>
      <c r="M35" s="94" t="n">
        <f aca="false">M19*Ratio!M58</f>
        <v>0.339818909109984</v>
      </c>
      <c r="N35" s="94" t="n">
        <f aca="false">N19*Ratio!N58</f>
        <v>0.144241069421511</v>
      </c>
      <c r="O35" s="53" t="n">
        <f aca="false">O19*Ratio!O58</f>
        <v>0.143135838471451</v>
      </c>
      <c r="P35" s="68" t="n">
        <f aca="false">P19*Ratio!P58</f>
        <v>-0.141304944568098</v>
      </c>
      <c r="Q35" s="67" t="n">
        <f aca="false">Q19*Ratio!Q58</f>
        <v>-0.147110701759471</v>
      </c>
      <c r="R35" s="53" t="n">
        <f aca="false">R19*Ratio!R58</f>
        <v>-0.152332284103088</v>
      </c>
      <c r="S35" s="94" t="n">
        <f aca="false">S19*Ratio!S58</f>
        <v>-0.145161093120089</v>
      </c>
      <c r="T35" s="53" t="n">
        <f aca="false">T19*Ratio!T58</f>
        <v>-0.143486329062146</v>
      </c>
      <c r="U35" s="53" t="n">
        <f aca="false">U19*Ratio!U58</f>
        <v>-0.0769131758097296</v>
      </c>
      <c r="V35" s="94" t="n">
        <f aca="false">V19*Ratio!V58</f>
        <v>-0.0777727727227327</v>
      </c>
      <c r="W35" s="94" t="n">
        <f aca="false">W19*Ratio!W58</f>
        <v>-0.0793535734462289</v>
      </c>
      <c r="X35" s="66" t="n">
        <f aca="false">X19*Ratio!X58</f>
        <v>-0.0754970645061075</v>
      </c>
      <c r="Y35" s="67" t="n">
        <f aca="false">Y19*Ratio!Y58</f>
        <v>-0.0781843622664537</v>
      </c>
      <c r="Z35" s="53" t="n">
        <f aca="false">Z19*Ratio!Z58</f>
        <v>-0.0530018515106533</v>
      </c>
      <c r="AA35" s="94" t="n">
        <f aca="false">AA19*Ratio!AA58</f>
        <v>-0.0505168841343932</v>
      </c>
      <c r="AB35" s="53" t="n">
        <f aca="false">AB19*Ratio!AB58</f>
        <v>-0.0519303396587061</v>
      </c>
      <c r="AC35" s="68" t="n">
        <f aca="false">AC19*Ratio!AC58</f>
        <v>0.0413043298562699</v>
      </c>
      <c r="AD35" s="67" t="n">
        <f aca="false">AD19*Ratio!AD58</f>
        <v>0.0424524518318137</v>
      </c>
      <c r="AE35" s="53" t="n">
        <f aca="false">AE19*Ratio!AE58</f>
        <v>0.0576038017334841</v>
      </c>
      <c r="AF35" s="94" t="n">
        <f aca="false">AF19*Ratio!AF58</f>
        <v>0.061470259494367</v>
      </c>
      <c r="AG35" s="53" t="n">
        <f aca="false">AG19*Ratio!AG58</f>
        <v>0.0710543212579965</v>
      </c>
      <c r="AH35" s="53" t="n">
        <f aca="false">AH19*Ratio!AH58</f>
        <v>0.103741315867711</v>
      </c>
      <c r="AI35" s="66" t="n">
        <f aca="false">AI19*Ratio!AI58</f>
        <v>0.0827455785645305</v>
      </c>
      <c r="AJ35" s="67" t="n">
        <f aca="false">AJ19*Ratio!AJ58</f>
        <v>0.0651600882827607</v>
      </c>
      <c r="AK35" s="53" t="n">
        <f aca="false">AK19*Ratio!AK58</f>
        <v>0.0726913440217517</v>
      </c>
      <c r="AL35" s="94" t="n">
        <f aca="false">AL19*Ratio!AL58</f>
        <v>0.0761061653497599</v>
      </c>
      <c r="AM35" s="53" t="n">
        <f aca="false">AM19*Ratio!AM58</f>
        <v>0.126374639403987</v>
      </c>
      <c r="AN35" s="68" t="n">
        <f aca="false">AN19*Ratio!AN58</f>
        <v>0.177120563358362</v>
      </c>
      <c r="AO35" s="67" t="n">
        <f aca="false">AO19*Ratio!AO58</f>
        <v>0.155356542794421</v>
      </c>
      <c r="AP35" s="53" t="n">
        <f aca="false">AP19*Ratio!AP58</f>
        <v>0.147665651900738</v>
      </c>
      <c r="AQ35" s="94" t="n">
        <f aca="false">AQ19*Ratio!AQ58</f>
        <v>0.113737109153797</v>
      </c>
    </row>
    <row r="36" customFormat="false" ht="12.8" hidden="false" customHeight="false" outlineLevel="0" collapsed="false">
      <c r="A36" s="139" t="s">
        <v>200</v>
      </c>
      <c r="B36" s="65" t="n">
        <f aca="false">B20*Ratio!B60</f>
        <v>0.0650448751287806</v>
      </c>
      <c r="C36" s="65" t="n">
        <f aca="false">C20*Ratio!C60</f>
        <v>0.0656051546811301</v>
      </c>
      <c r="D36" s="53" t="n">
        <f aca="false">D20*Ratio!D60</f>
        <v>0.0650520739770985</v>
      </c>
      <c r="E36" s="94" t="n">
        <f aca="false">E20*Ratio!E60</f>
        <v>0.0649291956924025</v>
      </c>
      <c r="F36" s="53" t="n">
        <f aca="false">F20*Ratio!F60</f>
        <v>0.0659746814303918</v>
      </c>
      <c r="G36" s="94" t="n">
        <f aca="false">G20*Ratio!G60</f>
        <v>0.0037084286132363</v>
      </c>
      <c r="H36" s="53" t="n">
        <f aca="false">H20*Ratio!H60</f>
        <v>0.00375343595005153</v>
      </c>
      <c r="I36" s="66" t="n">
        <f aca="false">I20*Ratio!I60</f>
        <v>0.0033967024179196</v>
      </c>
      <c r="J36" s="67" t="n">
        <f aca="false">J20*Ratio!J60</f>
        <v>0.00369407789526841</v>
      </c>
      <c r="K36" s="94" t="n">
        <f aca="false">K20*Ratio!K60</f>
        <v>0.00304930100989539</v>
      </c>
      <c r="L36" s="53" t="n">
        <f aca="false">L20*Ratio!L60</f>
        <v>0.00314178540156859</v>
      </c>
      <c r="M36" s="94" t="n">
        <f aca="false">M20*Ratio!M60</f>
        <v>0.00314142561537283</v>
      </c>
      <c r="N36" s="94" t="n">
        <f aca="false">N20*Ratio!N60</f>
        <v>0.0031560324480041</v>
      </c>
      <c r="O36" s="53" t="n">
        <f aca="false">O20*Ratio!O60</f>
        <v>0.00269236047414704</v>
      </c>
      <c r="P36" s="68" t="n">
        <f aca="false">P20*Ratio!P60</f>
        <v>0.0460044366158504</v>
      </c>
      <c r="Q36" s="67" t="n">
        <f aca="false">Q20*Ratio!Q60</f>
        <v>0.050382230831712</v>
      </c>
      <c r="R36" s="53" t="n">
        <f aca="false">R20*Ratio!R60</f>
        <v>0.0521705097522559</v>
      </c>
      <c r="S36" s="94" t="n">
        <f aca="false">S20*Ratio!S60</f>
        <v>0.0517229991719826</v>
      </c>
      <c r="T36" s="53" t="n">
        <f aca="false">T20*Ratio!T60</f>
        <v>0.0443497178801511</v>
      </c>
      <c r="U36" s="53" t="n">
        <f aca="false">U20*Ratio!U60</f>
        <v>0.0523673121709908</v>
      </c>
      <c r="V36" s="94" t="n">
        <f aca="false">V20*Ratio!V60</f>
        <v>0.0529525796418831</v>
      </c>
      <c r="W36" s="94" t="n">
        <f aca="false">W20*Ratio!W60</f>
        <v>0.0540288878829086</v>
      </c>
      <c r="X36" s="66" t="n">
        <f aca="false">X20*Ratio!X60</f>
        <v>0.0656052690060861</v>
      </c>
      <c r="Y36" s="67" t="n">
        <f aca="false">Y20*Ratio!Y60</f>
        <v>0.0413248408440105</v>
      </c>
      <c r="Z36" s="53" t="n">
        <f aca="false">Z20*Ratio!Z60</f>
        <v>0.0583841919640694</v>
      </c>
      <c r="AA36" s="94" t="n">
        <f aca="false">AA20*Ratio!AA60</f>
        <v>0.0953353732708517</v>
      </c>
      <c r="AB36" s="53" t="n">
        <f aca="false">AB20*Ratio!AB60</f>
        <v>0.0980028440050647</v>
      </c>
      <c r="AC36" s="68" t="n">
        <f aca="false">AC20*Ratio!AC60</f>
        <v>0.0378376296541484</v>
      </c>
      <c r="AD36" s="67" t="n">
        <f aca="false">AD20*Ratio!AD60</f>
        <v>0.0226995807898444</v>
      </c>
      <c r="AE36" s="53" t="n">
        <f aca="false">AE20*Ratio!AE60</f>
        <v>0.022733182856216</v>
      </c>
      <c r="AF36" s="94" t="n">
        <f aca="false">AF20*Ratio!AF60</f>
        <v>0.022825358812495</v>
      </c>
      <c r="AG36" s="53" t="n">
        <f aca="false">AG20*Ratio!AG60</f>
        <v>0.0254260485375644</v>
      </c>
      <c r="AH36" s="53" t="n">
        <f aca="false">AH20*Ratio!AH60</f>
        <v>0.0901595489379902</v>
      </c>
      <c r="AI36" s="66" t="n">
        <f aca="false">AI20*Ratio!AI60</f>
        <v>0.0719125642237308</v>
      </c>
      <c r="AJ36" s="67" t="n">
        <f aca="false">AJ20*Ratio!AJ60</f>
        <v>0.0991831095533432</v>
      </c>
      <c r="AK36" s="53" t="n">
        <f aca="false">AK20*Ratio!AK60</f>
        <v>0.0748012248888985</v>
      </c>
      <c r="AL36" s="94" t="n">
        <f aca="false">AL20*Ratio!AL60</f>
        <v>0.0777868994369587</v>
      </c>
      <c r="AM36" s="53" t="n">
        <f aca="false">AM20*Ratio!AM60</f>
        <v>0.0836555969371112</v>
      </c>
      <c r="AN36" s="68" t="n">
        <f aca="false">AN20*Ratio!AN60</f>
        <v>1.56614536667604</v>
      </c>
      <c r="AO36" s="67" t="n">
        <f aca="false">AO20*Ratio!AO60</f>
        <v>0.933842587492342</v>
      </c>
      <c r="AP36" s="53" t="n">
        <f aca="false">AP20*Ratio!AP60</f>
        <v>2.05208189918773</v>
      </c>
      <c r="AQ36" s="94" t="n">
        <f aca="false">AQ20*Ratio!AQ60</f>
        <v>1.9438178062703</v>
      </c>
    </row>
    <row r="37" customFormat="false" ht="12.8" hidden="false" customHeight="false" outlineLevel="0" collapsed="false">
      <c r="C37" s="65"/>
      <c r="D37" s="53"/>
      <c r="E37" s="94"/>
      <c r="F37" s="53"/>
      <c r="G37" s="94"/>
      <c r="H37" s="53"/>
      <c r="I37" s="66"/>
      <c r="J37" s="67"/>
      <c r="K37" s="94"/>
      <c r="L37" s="53"/>
      <c r="M37" s="94"/>
      <c r="N37" s="94"/>
      <c r="O37" s="53"/>
      <c r="P37" s="68"/>
      <c r="Q37" s="67"/>
      <c r="R37" s="53"/>
      <c r="S37" s="94"/>
      <c r="T37" s="53"/>
      <c r="U37" s="53"/>
      <c r="V37" s="94"/>
      <c r="W37" s="94"/>
      <c r="X37" s="66"/>
      <c r="Y37" s="67"/>
      <c r="Z37" s="53"/>
      <c r="AA37" s="94"/>
      <c r="AB37" s="53"/>
      <c r="AC37" s="68"/>
      <c r="AD37" s="67"/>
      <c r="AE37" s="53"/>
      <c r="AF37" s="94"/>
      <c r="AG37" s="53"/>
      <c r="AH37" s="53"/>
      <c r="AI37" s="66"/>
      <c r="AJ37" s="67"/>
      <c r="AK37" s="53"/>
      <c r="AL37" s="94"/>
      <c r="AM37" s="53"/>
      <c r="AN37" s="68"/>
      <c r="AO37" s="67"/>
      <c r="AP37" s="53"/>
      <c r="AQ37" s="94"/>
    </row>
    <row r="38" customFormat="false" ht="12.8" hidden="false" customHeight="false" outlineLevel="0" collapsed="false">
      <c r="A38" s="1" t="s">
        <v>102</v>
      </c>
      <c r="C38" s="65"/>
      <c r="D38" s="53"/>
      <c r="E38" s="94"/>
      <c r="F38" s="53"/>
      <c r="G38" s="94"/>
      <c r="H38" s="53"/>
      <c r="I38" s="66"/>
      <c r="J38" s="67"/>
      <c r="K38" s="94"/>
      <c r="L38" s="53"/>
      <c r="M38" s="94"/>
      <c r="N38" s="94"/>
      <c r="O38" s="53"/>
      <c r="P38" s="68"/>
      <c r="Q38" s="67"/>
      <c r="R38" s="53"/>
      <c r="S38" s="94"/>
      <c r="T38" s="53"/>
      <c r="U38" s="53"/>
      <c r="V38" s="94"/>
      <c r="W38" s="94"/>
      <c r="X38" s="66"/>
      <c r="Y38" s="67"/>
      <c r="Z38" s="53"/>
      <c r="AA38" s="94"/>
      <c r="AB38" s="53"/>
      <c r="AC38" s="68"/>
      <c r="AD38" s="67"/>
      <c r="AE38" s="53"/>
      <c r="AF38" s="94"/>
      <c r="AG38" s="53"/>
      <c r="AH38" s="53"/>
      <c r="AI38" s="66"/>
      <c r="AJ38" s="67"/>
      <c r="AK38" s="53"/>
      <c r="AL38" s="94"/>
      <c r="AM38" s="53"/>
      <c r="AN38" s="68"/>
      <c r="AO38" s="67"/>
      <c r="AP38" s="53"/>
      <c r="AQ38" s="94"/>
    </row>
    <row r="39" customFormat="false" ht="12.8" hidden="false" customHeight="false" outlineLevel="0" collapsed="false">
      <c r="A39" s="139" t="s">
        <v>180</v>
      </c>
      <c r="B39" s="65" t="n">
        <f aca="false">B15*Ratio!B64</f>
        <v>1.83730211373874</v>
      </c>
      <c r="C39" s="65" t="n">
        <f aca="false">C15*Ratio!C64</f>
        <v>1.86528130072695</v>
      </c>
      <c r="D39" s="53" t="n">
        <f aca="false">D15*Ratio!D64</f>
        <v>1.90089819690382</v>
      </c>
      <c r="E39" s="94" t="n">
        <f aca="false">E15*Ratio!E64</f>
        <v>1.91655669612249</v>
      </c>
      <c r="F39" s="53" t="n">
        <f aca="false">F15*Ratio!F64</f>
        <v>1.95728011903115</v>
      </c>
      <c r="G39" s="94" t="n">
        <f aca="false">G15*Ratio!G64</f>
        <v>2.07717433738788</v>
      </c>
      <c r="H39" s="53" t="n">
        <f aca="false">H15*Ratio!H64</f>
        <v>2.10238395978511</v>
      </c>
      <c r="I39" s="66" t="n">
        <f aca="false">I15*Ratio!I64</f>
        <v>2.11678259343874</v>
      </c>
      <c r="J39" s="67" t="n">
        <f aca="false">J15*Ratio!J64</f>
        <v>1.90493004749931</v>
      </c>
      <c r="K39" s="94" t="n">
        <f aca="false">K15*Ratio!K64</f>
        <v>2.05663823118219</v>
      </c>
      <c r="L39" s="53" t="n">
        <f aca="false">L15*Ratio!L64</f>
        <v>2.00710671270128</v>
      </c>
      <c r="M39" s="94" t="n">
        <f aca="false">M15*Ratio!M64</f>
        <v>2.00687686591153</v>
      </c>
      <c r="N39" s="94" t="n">
        <f aca="false">N15*Ratio!N64</f>
        <v>2.00613989414196</v>
      </c>
      <c r="O39" s="53" t="n">
        <f aca="false">O15*Ratio!O64</f>
        <v>2.02021379391869</v>
      </c>
      <c r="P39" s="68" t="n">
        <f aca="false">P15*Ratio!P64</f>
        <v>1.89879525918184</v>
      </c>
      <c r="Q39" s="67" t="n">
        <f aca="false">Q15*Ratio!Q64</f>
        <v>1.77676224342064</v>
      </c>
      <c r="R39" s="53" t="n">
        <f aca="false">R15*Ratio!R64</f>
        <v>1.69171563617329</v>
      </c>
      <c r="S39" s="94" t="n">
        <f aca="false">S15*Ratio!S64</f>
        <v>1.78603018180341</v>
      </c>
      <c r="T39" s="53" t="n">
        <f aca="false">T15*Ratio!T64</f>
        <v>1.79767757077825</v>
      </c>
      <c r="U39" s="53" t="n">
        <f aca="false">U15*Ratio!U64</f>
        <v>1.75489270106995</v>
      </c>
      <c r="V39" s="94" t="n">
        <f aca="false">V15*Ratio!V64</f>
        <v>1.76466105708776</v>
      </c>
      <c r="W39" s="94" t="n">
        <f aca="false">W15*Ratio!W64</f>
        <v>1.71304662281762</v>
      </c>
      <c r="X39" s="66" t="n">
        <f aca="false">X15*Ratio!X64</f>
        <v>1.7707637245928</v>
      </c>
      <c r="Y39" s="67" t="n">
        <f aca="false">Y15*Ratio!Y64</f>
        <v>1.63833575817198</v>
      </c>
      <c r="Z39" s="53" t="n">
        <f aca="false">Z15*Ratio!Z64</f>
        <v>1.59438832283723</v>
      </c>
      <c r="AA39" s="94" t="n">
        <f aca="false">AA15*Ratio!AA64</f>
        <v>1.69518339799157</v>
      </c>
      <c r="AB39" s="53" t="n">
        <f aca="false">AB15*Ratio!AB64</f>
        <v>1.68813077835732</v>
      </c>
      <c r="AC39" s="68" t="n">
        <f aca="false">AC15*Ratio!AC64</f>
        <v>1.59934635616707</v>
      </c>
      <c r="AD39" s="67" t="n">
        <f aca="false">AD15*Ratio!AD64</f>
        <v>1.52277101623254</v>
      </c>
      <c r="AE39" s="53" t="n">
        <f aca="false">AE15*Ratio!AE64</f>
        <v>1.56412678889267</v>
      </c>
      <c r="AF39" s="94" t="n">
        <f aca="false">AF15*Ratio!AF64</f>
        <v>1.58184810995131</v>
      </c>
      <c r="AG39" s="53" t="n">
        <f aca="false">AG15*Ratio!AG64</f>
        <v>1.55165725443297</v>
      </c>
      <c r="AH39" s="53" t="n">
        <f aca="false">AH15*Ratio!AH64</f>
        <v>1.34232771143079</v>
      </c>
      <c r="AI39" s="66" t="n">
        <f aca="false">AI15*Ratio!AI64</f>
        <v>1.51703672031827</v>
      </c>
      <c r="AJ39" s="67" t="n">
        <f aca="false">AJ15*Ratio!AJ64</f>
        <v>1.51549080271332</v>
      </c>
      <c r="AK39" s="53" t="n">
        <f aca="false">AK15*Ratio!AK64</f>
        <v>1.47135351146887</v>
      </c>
      <c r="AL39" s="94" t="n">
        <f aca="false">AL15*Ratio!AL64</f>
        <v>1.44224928400596</v>
      </c>
      <c r="AM39" s="53" t="n">
        <f aca="false">AM15*Ratio!AM64</f>
        <v>1.41785981588694</v>
      </c>
      <c r="AN39" s="68" t="n">
        <f aca="false">AN15*Ratio!AN64</f>
        <v>1.46055687090805</v>
      </c>
      <c r="AO39" s="67" t="n">
        <f aca="false">AO15*Ratio!AO64</f>
        <v>1.47371582484249</v>
      </c>
      <c r="AP39" s="53" t="n">
        <f aca="false">AP15*Ratio!AP64</f>
        <v>1.46031018633442</v>
      </c>
      <c r="AQ39" s="94" t="n">
        <f aca="false">AQ15*Ratio!AQ64</f>
        <v>1.46213590176982</v>
      </c>
    </row>
    <row r="40" customFormat="false" ht="12.8" hidden="false" customHeight="false" outlineLevel="0" collapsed="false">
      <c r="A40" s="139" t="s">
        <v>27</v>
      </c>
      <c r="B40" s="65" t="n">
        <f aca="false">B16*Ratio!B69</f>
        <v>0.115299780427705</v>
      </c>
      <c r="C40" s="65" t="n">
        <f aca="false">C16*Ratio!C69</f>
        <v>0.113217268166971</v>
      </c>
      <c r="D40" s="53" t="n">
        <f aca="false">D16*Ratio!D69</f>
        <v>0.112427879926545</v>
      </c>
      <c r="E40" s="94" t="n">
        <f aca="false">E16*Ratio!E69</f>
        <v>0.0972266543912257</v>
      </c>
      <c r="F40" s="53" t="n">
        <f aca="false">F16*Ratio!F69</f>
        <v>0.0876739502027261</v>
      </c>
      <c r="G40" s="94" t="n">
        <f aca="false">G16*Ratio!G69</f>
        <v>0.0901918749633668</v>
      </c>
      <c r="H40" s="53" t="n">
        <f aca="false">H16*Ratio!H69</f>
        <v>0.0874569161930237</v>
      </c>
      <c r="I40" s="66" t="n">
        <f aca="false">I16*Ratio!I69</f>
        <v>0.0807639082296073</v>
      </c>
      <c r="J40" s="67" t="n">
        <f aca="false">J16*Ratio!J69</f>
        <v>0.087114889772516</v>
      </c>
      <c r="K40" s="94" t="n">
        <f aca="false">K16*Ratio!K69</f>
        <v>0.107712253164576</v>
      </c>
      <c r="L40" s="53" t="n">
        <f aca="false">L16*Ratio!L69</f>
        <v>0.104194139137717</v>
      </c>
      <c r="M40" s="94" t="n">
        <f aca="false">M16*Ratio!M69</f>
        <v>0.104735060841912</v>
      </c>
      <c r="N40" s="94" t="n">
        <f aca="false">N16*Ratio!N69</f>
        <v>0.0959799608625897</v>
      </c>
      <c r="O40" s="53" t="n">
        <f aca="false">O16*Ratio!O69</f>
        <v>0.0570542319666934</v>
      </c>
      <c r="P40" s="68" t="n">
        <f aca="false">P16*Ratio!P69</f>
        <v>0.0688185424897143</v>
      </c>
      <c r="Q40" s="67" t="n">
        <f aca="false">Q16*Ratio!Q69</f>
        <v>0.0757781048620677</v>
      </c>
      <c r="R40" s="53" t="n">
        <f aca="false">R16*Ratio!R69</f>
        <v>0.0725194664678776</v>
      </c>
      <c r="S40" s="94" t="n">
        <f aca="false">S16*Ratio!S69</f>
        <v>0.0803570075525204</v>
      </c>
      <c r="T40" s="53" t="n">
        <f aca="false">T16*Ratio!T69</f>
        <v>0.0725931689490246</v>
      </c>
      <c r="U40" s="53" t="n">
        <f aca="false">U16*Ratio!U69</f>
        <v>0.109036871519732</v>
      </c>
      <c r="V40" s="94" t="n">
        <f aca="false">V16*Ratio!V69</f>
        <v>0.103860210665274</v>
      </c>
      <c r="W40" s="94" t="n">
        <f aca="false">W16*Ratio!W69</f>
        <v>0.105059989219973</v>
      </c>
      <c r="X40" s="66" t="n">
        <f aca="false">X16*Ratio!X69</f>
        <v>0.111060191868512</v>
      </c>
      <c r="Y40" s="67" t="n">
        <f aca="false">Y16*Ratio!Y69</f>
        <v>0.116581828018715</v>
      </c>
      <c r="Z40" s="53" t="n">
        <f aca="false">Z16*Ratio!Z69</f>
        <v>0.0906573061024261</v>
      </c>
      <c r="AA40" s="94" t="n">
        <f aca="false">AA16*Ratio!AA69</f>
        <v>0.117589465148676</v>
      </c>
      <c r="AB40" s="53" t="n">
        <f aca="false">AB16*Ratio!AB69</f>
        <v>0.108258459105258</v>
      </c>
      <c r="AC40" s="68" t="n">
        <f aca="false">AC16*Ratio!AC69</f>
        <v>0.108476513538185</v>
      </c>
      <c r="AD40" s="67" t="n">
        <f aca="false">AD16*Ratio!AD69</f>
        <v>0.113985942439603</v>
      </c>
      <c r="AE40" s="53" t="n">
        <f aca="false">AE16*Ratio!AE69</f>
        <v>0.114634207304146</v>
      </c>
      <c r="AF40" s="94" t="n">
        <f aca="false">AF16*Ratio!AF69</f>
        <v>0.0970198626755285</v>
      </c>
      <c r="AG40" s="53" t="n">
        <f aca="false">AG16*Ratio!AG69</f>
        <v>0.0997990335915298</v>
      </c>
      <c r="AH40" s="53" t="n">
        <f aca="false">AH16*Ratio!AH69</f>
        <v>0.0947643535036291</v>
      </c>
      <c r="AI40" s="66" t="n">
        <f aca="false">AI16*Ratio!AI69</f>
        <v>0.173695178269082</v>
      </c>
      <c r="AJ40" s="67" t="n">
        <f aca="false">AJ16*Ratio!AJ69</f>
        <v>0.186257777599591</v>
      </c>
      <c r="AK40" s="53" t="n">
        <f aca="false">AK16*Ratio!AK69</f>
        <v>0.181313117636376</v>
      </c>
      <c r="AL40" s="94" t="n">
        <f aca="false">AL16*Ratio!AL69</f>
        <v>0.161363262034998</v>
      </c>
      <c r="AM40" s="53" t="n">
        <f aca="false">AM16*Ratio!AM69</f>
        <v>0.150664141978474</v>
      </c>
      <c r="AN40" s="68" t="n">
        <f aca="false">AN16*Ratio!AN69</f>
        <v>0.14133569109919</v>
      </c>
      <c r="AO40" s="67" t="n">
        <f aca="false">AO16*Ratio!AO69</f>
        <v>0.126785830998658</v>
      </c>
      <c r="AP40" s="53" t="n">
        <f aca="false">AP16*Ratio!AP69</f>
        <v>0.160121778979206</v>
      </c>
      <c r="AQ40" s="94" t="n">
        <f aca="false">AQ16*Ratio!AQ69</f>
        <v>0.139111277910266</v>
      </c>
    </row>
    <row r="41" customFormat="false" ht="12.8" hidden="false" customHeight="false" outlineLevel="0" collapsed="false">
      <c r="A41" s="139" t="s">
        <v>186</v>
      </c>
      <c r="B41" s="65" t="n">
        <f aca="false">B17*Ratio!B74</f>
        <v>0.0842324192748372</v>
      </c>
      <c r="C41" s="65" t="n">
        <f aca="false">C17*Ratio!C74</f>
        <v>0.0756373670820207</v>
      </c>
      <c r="D41" s="53" t="n">
        <f aca="false">D17*Ratio!D74</f>
        <v>0.0707037592357831</v>
      </c>
      <c r="E41" s="94" t="n">
        <f aca="false">E17*Ratio!E74</f>
        <v>0.0836039269376964</v>
      </c>
      <c r="F41" s="53" t="n">
        <f aca="false">F17*Ratio!F74</f>
        <v>0.0561148636664131</v>
      </c>
      <c r="G41" s="94" t="n">
        <f aca="false">G17*Ratio!G74</f>
        <v>0.0445342823839918</v>
      </c>
      <c r="H41" s="53" t="n">
        <f aca="false">H17*Ratio!H74</f>
        <v>0.0388803892413042</v>
      </c>
      <c r="I41" s="66" t="n">
        <f aca="false">I17*Ratio!I74</f>
        <v>0.0368994910363699</v>
      </c>
      <c r="J41" s="67" t="n">
        <f aca="false">J17*Ratio!J74</f>
        <v>0.0362542099855422</v>
      </c>
      <c r="K41" s="94" t="n">
        <f aca="false">K17*Ratio!K74</f>
        <v>0.0289922757279521</v>
      </c>
      <c r="L41" s="53" t="n">
        <f aca="false">L17*Ratio!L74</f>
        <v>0.0298716028180689</v>
      </c>
      <c r="M41" s="94" t="n">
        <f aca="false">M17*Ratio!M74</f>
        <v>0.0298681820273511</v>
      </c>
      <c r="N41" s="94" t="n">
        <f aca="false">N17*Ratio!N74</f>
        <v>0.0293289577093022</v>
      </c>
      <c r="O41" s="53" t="n">
        <f aca="false">O17*Ratio!O74</f>
        <v>0.0301845718907097</v>
      </c>
      <c r="P41" s="68" t="n">
        <f aca="false">P17*Ratio!P74</f>
        <v>0.0323312082297133</v>
      </c>
      <c r="Q41" s="67" t="n">
        <f aca="false">Q17*Ratio!Q74</f>
        <v>0.0314768600035249</v>
      </c>
      <c r="R41" s="53" t="n">
        <f aca="false">R17*Ratio!R74</f>
        <v>0.032594107181746</v>
      </c>
      <c r="S41" s="94" t="n">
        <f aca="false">S17*Ratio!S74</f>
        <v>0.0309478525266411</v>
      </c>
      <c r="T41" s="53" t="n">
        <f aca="false">T17*Ratio!T74</f>
        <v>0.0329603254695918</v>
      </c>
      <c r="U41" s="53" t="n">
        <f aca="false">U17*Ratio!U74</f>
        <v>0.0375604832162174</v>
      </c>
      <c r="V41" s="94" t="n">
        <f aca="false">V17*Ratio!V74</f>
        <v>0.0396495316556213</v>
      </c>
      <c r="W41" s="94" t="n">
        <f aca="false">W17*Ratio!W74</f>
        <v>0.0404554436236945</v>
      </c>
      <c r="X41" s="66" t="n">
        <f aca="false">X17*Ratio!X74</f>
        <v>0.0384893471615475</v>
      </c>
      <c r="Y41" s="67" t="n">
        <f aca="false">Y17*Ratio!Y74</f>
        <v>0.0424441791187552</v>
      </c>
      <c r="Z41" s="53" t="n">
        <f aca="false">Z17*Ratio!Z74</f>
        <v>0.0410131320140041</v>
      </c>
      <c r="AA41" s="94" t="n">
        <f aca="false">AA17*Ratio!AA74</f>
        <v>0.0442220639299745</v>
      </c>
      <c r="AB41" s="53" t="n">
        <f aca="false">AB17*Ratio!AB74</f>
        <v>0.0368368401702248</v>
      </c>
      <c r="AC41" s="68" t="n">
        <f aca="false">AC17*Ratio!AC74</f>
        <v>0.03175288535267</v>
      </c>
      <c r="AD41" s="67" t="n">
        <f aca="false">AD17*Ratio!AD74</f>
        <v>0.0327279673319622</v>
      </c>
      <c r="AE41" s="53" t="n">
        <f aca="false">AE17*Ratio!AE74</f>
        <v>0.0302035055758078</v>
      </c>
      <c r="AF41" s="94" t="n">
        <f aca="false">AF17*Ratio!AF74</f>
        <v>0.0303259713575259</v>
      </c>
      <c r="AG41" s="53" t="n">
        <f aca="false">AG17*Ratio!AG74</f>
        <v>0.0386472652018696</v>
      </c>
      <c r="AH41" s="53" t="n">
        <f aca="false">AH17*Ratio!AH74</f>
        <v>0.0449475480013714</v>
      </c>
      <c r="AI41" s="66" t="n">
        <f aca="false">AI17*Ratio!AI74</f>
        <v>0.0601649289067275</v>
      </c>
      <c r="AJ41" s="67" t="n">
        <f aca="false">AJ17*Ratio!AJ74</f>
        <v>0.0586410366032569</v>
      </c>
      <c r="AK41" s="53" t="n">
        <f aca="false">AK17*Ratio!AK74</f>
        <v>0.0543313171915585</v>
      </c>
      <c r="AL41" s="94" t="n">
        <f aca="false">AL17*Ratio!AL74</f>
        <v>0.0564786652763406</v>
      </c>
      <c r="AM41" s="53" t="n">
        <f aca="false">AM17*Ratio!AM74</f>
        <v>0.0583586236631659</v>
      </c>
      <c r="AN41" s="68" t="n">
        <f aca="false">AN17*Ratio!AN74</f>
        <v>0.0567098968205187</v>
      </c>
      <c r="AO41" s="67" t="n">
        <f aca="false">AO17*Ratio!AO74</f>
        <v>0.056905717466402</v>
      </c>
      <c r="AP41" s="53" t="n">
        <f aca="false">AP17*Ratio!AP74</f>
        <v>0.0544130855205109</v>
      </c>
      <c r="AQ41" s="94" t="n">
        <f aca="false">AQ17*Ratio!AQ74</f>
        <v>0.0523675440271427</v>
      </c>
    </row>
    <row r="42" customFormat="false" ht="12.8" hidden="false" customHeight="false" outlineLevel="0" collapsed="false">
      <c r="A42" s="139" t="s">
        <v>192</v>
      </c>
      <c r="B42" s="65" t="n">
        <f aca="false">B18*Ratio!B81</f>
        <v>0.00802093632043186</v>
      </c>
      <c r="C42" s="65" t="n">
        <f aca="false">C18*Ratio!C81</f>
        <v>0.00808972448566743</v>
      </c>
      <c r="D42" s="53" t="n">
        <f aca="false">D18*Ratio!D81</f>
        <v>0.00802152450144818</v>
      </c>
      <c r="E42" s="94" t="n">
        <f aca="false">E18*Ratio!E81</f>
        <v>0.00800637246845178</v>
      </c>
      <c r="F42" s="53" t="n">
        <f aca="false">F18*Ratio!F81</f>
        <v>0.00813529056360965</v>
      </c>
      <c r="G42" s="94" t="n">
        <f aca="false">G18*Ratio!G81</f>
        <v>0.00838903558987976</v>
      </c>
      <c r="H42" s="53" t="n">
        <f aca="false">H18*Ratio!H81</f>
        <v>0.00800744169693643</v>
      </c>
      <c r="I42" s="66" t="n">
        <f aca="false">I18*Ratio!I81</f>
        <v>0.00835221159330598</v>
      </c>
      <c r="J42" s="67" t="n">
        <f aca="false">J18*Ratio!J81</f>
        <v>0.00900104441591106</v>
      </c>
      <c r="K42" s="94" t="n">
        <f aca="false">K18*Ratio!K81</f>
        <v>0.00808021652638376</v>
      </c>
      <c r="L42" s="53" t="n">
        <f aca="false">L18*Ratio!L81</f>
        <v>0.00873460487769455</v>
      </c>
      <c r="M42" s="94" t="n">
        <f aca="false">M18*Ratio!M81</f>
        <v>0.00873360462151573</v>
      </c>
      <c r="N42" s="94" t="n">
        <f aca="false">N18*Ratio!N81</f>
        <v>0.00877421366867887</v>
      </c>
      <c r="O42" s="53" t="n">
        <f aca="false">O18*Ratio!O81</f>
        <v>0.00870698224459166</v>
      </c>
      <c r="P42" s="68" t="n">
        <f aca="false">P18*Ratio!P81</f>
        <v>0.00821055130267277</v>
      </c>
      <c r="Q42" s="67" t="n">
        <f aca="false">Q18*Ratio!Q81</f>
        <v>0.00853179064264565</v>
      </c>
      <c r="R42" s="53" t="n">
        <f aca="false">R18*Ratio!R81</f>
        <v>0.00917114705612734</v>
      </c>
      <c r="S42" s="94" t="n">
        <f aca="false">S18*Ratio!S81</f>
        <v>0.00873940635546175</v>
      </c>
      <c r="T42" s="53" t="n">
        <f aca="false">T18*Ratio!T81</f>
        <v>0.00912516391921027</v>
      </c>
      <c r="U42" s="53" t="n">
        <f aca="false">U18*Ratio!U81</f>
        <v>0.0121334995333873</v>
      </c>
      <c r="V42" s="94" t="n">
        <f aca="false">V18*Ratio!V81</f>
        <v>0.0133689449905111</v>
      </c>
      <c r="W42" s="94" t="n">
        <f aca="false">W18*Ratio!W81</f>
        <v>0.0136406806786384</v>
      </c>
      <c r="X42" s="66" t="n">
        <f aca="false">X18*Ratio!X81</f>
        <v>0.0129777564434474</v>
      </c>
      <c r="Y42" s="67" t="n">
        <f aca="false">Y18*Ratio!Y81</f>
        <v>0.0135982753173665</v>
      </c>
      <c r="Z42" s="53" t="n">
        <f aca="false">Z18*Ratio!Z81</f>
        <v>0.0150539855740764</v>
      </c>
      <c r="AA42" s="94" t="n">
        <f aca="false">AA18*Ratio!AA81</f>
        <v>0.0143481863997447</v>
      </c>
      <c r="AB42" s="53" t="n">
        <f aca="false">AB18*Ratio!AB81</f>
        <v>0.0166711696966912</v>
      </c>
      <c r="AC42" s="68" t="n">
        <f aca="false">AC18*Ratio!AC81</f>
        <v>0.0179337212889544</v>
      </c>
      <c r="AD42" s="67" t="n">
        <f aca="false">AD18*Ratio!AD81</f>
        <v>0.0148322379768257</v>
      </c>
      <c r="AE42" s="53" t="n">
        <f aca="false">AE18*Ratio!AE81</f>
        <v>0.014854194058286</v>
      </c>
      <c r="AF42" s="94" t="n">
        <f aca="false">AF18*Ratio!AF81</f>
        <v>0.0154074288330654</v>
      </c>
      <c r="AG42" s="53" t="n">
        <f aca="false">AG18*Ratio!AG81</f>
        <v>0.0144161311429045</v>
      </c>
      <c r="AH42" s="53" t="n">
        <f aca="false">AH18*Ratio!AH81</f>
        <v>0.00909681378741424</v>
      </c>
      <c r="AI42" s="66" t="n">
        <f aca="false">AI18*Ratio!AI81</f>
        <v>0.0139023391813359</v>
      </c>
      <c r="AJ42" s="67" t="n">
        <f aca="false">AJ18*Ratio!AJ81</f>
        <v>0.0138881721736409</v>
      </c>
      <c r="AK42" s="53" t="n">
        <f aca="false">AK18*Ratio!AK81</f>
        <v>0.0150529728553129</v>
      </c>
      <c r="AL42" s="94" t="n">
        <f aca="false">AL18*Ratio!AL81</f>
        <v>0.0156538089778965</v>
      </c>
      <c r="AM42" s="53" t="n">
        <f aca="false">AM18*Ratio!AM81</f>
        <v>0.0167099708955897</v>
      </c>
      <c r="AN42" s="68" t="n">
        <f aca="false">AN18*Ratio!AN81</f>
        <v>0.0168195967753122</v>
      </c>
      <c r="AO42" s="67" t="n">
        <f aca="false">AO18*Ratio!AO81</f>
        <v>0.0137493671284741</v>
      </c>
      <c r="AP42" s="53" t="n">
        <f aca="false">AP18*Ratio!AP81</f>
        <v>0.0118385792864191</v>
      </c>
      <c r="AQ42" s="94" t="n">
        <f aca="false">AQ18*Ratio!AQ81</f>
        <v>0.0113554288552031</v>
      </c>
    </row>
    <row r="43" customFormat="false" ht="12.8" hidden="false" customHeight="false" outlineLevel="0" collapsed="false">
      <c r="A43" s="139" t="s">
        <v>28</v>
      </c>
      <c r="B43" s="65" t="n">
        <f aca="false">B19*Ratio!B88</f>
        <v>0.00415554559596423</v>
      </c>
      <c r="C43" s="65" t="n">
        <f aca="false">C19*Ratio!C88</f>
        <v>0.00419134037951428</v>
      </c>
      <c r="D43" s="53" t="n">
        <f aca="false">D19*Ratio!D88</f>
        <v>0.00415600551140514</v>
      </c>
      <c r="E43" s="94" t="n">
        <f aca="false">E19*Ratio!E88</f>
        <v>0.00414815514173655</v>
      </c>
      <c r="F43" s="53" t="n">
        <f aca="false">F19*Ratio!F88</f>
        <v>0.00421494846935142</v>
      </c>
      <c r="G43" s="94" t="n">
        <f aca="false">G19*Ratio!G88</f>
        <v>0.00458025629403583</v>
      </c>
      <c r="H43" s="53" t="n">
        <f aca="false">H19*Ratio!H88</f>
        <v>0.00446092290240508</v>
      </c>
      <c r="I43" s="66" t="n">
        <f aca="false">I19*Ratio!I88</f>
        <v>0.00423364549232358</v>
      </c>
      <c r="J43" s="67" t="n">
        <f aca="false">J19*Ratio!J88</f>
        <v>0.00456253181470736</v>
      </c>
      <c r="K43" s="94" t="n">
        <f aca="false">K19*Ratio!K88</f>
        <v>0.00429547380932589</v>
      </c>
      <c r="L43" s="53" t="n">
        <f aca="false">L19*Ratio!L88</f>
        <v>0.00442575425094661</v>
      </c>
      <c r="M43" s="94" t="n">
        <f aca="false">M19*Ratio!M88</f>
        <v>0.00442524742916161</v>
      </c>
      <c r="N43" s="94" t="n">
        <f aca="false">N19*Ratio!N88</f>
        <v>0.00187836051651403</v>
      </c>
      <c r="O43" s="53" t="n">
        <f aca="false">O19*Ratio!O88</f>
        <v>0.00186396779059658</v>
      </c>
      <c r="P43" s="68" t="n">
        <f aca="false">P19*Ratio!P88</f>
        <v>0.00481900655100693</v>
      </c>
      <c r="Q43" s="67" t="n">
        <f aca="false">Q19*Ratio!Q88</f>
        <v>0.00501700374087386</v>
      </c>
      <c r="R43" s="53" t="n">
        <f aca="false">R19*Ratio!R88</f>
        <v>0.00519507846853057</v>
      </c>
      <c r="S43" s="94" t="n">
        <f aca="false">S19*Ratio!S88</f>
        <v>0.00495051507811829</v>
      </c>
      <c r="T43" s="53" t="n">
        <f aca="false">T19*Ratio!T88</f>
        <v>0.00489339960355873</v>
      </c>
      <c r="U43" s="53" t="n">
        <f aca="false">U19*Ratio!U88</f>
        <v>0.00481296370007407</v>
      </c>
      <c r="V43" s="94" t="n">
        <f aca="false">V19*Ratio!V88</f>
        <v>0.00486675433731435</v>
      </c>
      <c r="W43" s="94" t="n">
        <f aca="false">W19*Ratio!W88</f>
        <v>0.00496567544438267</v>
      </c>
      <c r="X43" s="66" t="n">
        <f aca="false">X19*Ratio!X88</f>
        <v>0.00472434829409397</v>
      </c>
      <c r="Y43" s="67" t="n">
        <f aca="false">Y19*Ratio!Y88</f>
        <v>0.00489251020439959</v>
      </c>
      <c r="Z43" s="53" t="n">
        <f aca="false">Z19*Ratio!Z88</f>
        <v>0.00331667473969031</v>
      </c>
      <c r="AA43" s="94" t="n">
        <f aca="false">AA19*Ratio!AA88</f>
        <v>0.00316117397337954</v>
      </c>
      <c r="AB43" s="53" t="n">
        <f aca="false">AB19*Ratio!AB88</f>
        <v>0.0032496231897663</v>
      </c>
      <c r="AC43" s="68" t="n">
        <f aca="false">AC19*Ratio!AC88</f>
        <v>0.00289813135198162</v>
      </c>
      <c r="AD43" s="67" t="n">
        <f aca="false">AD19*Ratio!AD88</f>
        <v>0.00297868969307567</v>
      </c>
      <c r="AE43" s="53" t="n">
        <f aca="false">AE19*Ratio!AE88</f>
        <v>0.00404178894508324</v>
      </c>
      <c r="AF43" s="94" t="n">
        <f aca="false">AF19*Ratio!AF88</f>
        <v>0.00431308017525015</v>
      </c>
      <c r="AG43" s="53" t="n">
        <f aca="false">AG19*Ratio!AG88</f>
        <v>0.00498554889640255</v>
      </c>
      <c r="AH43" s="53" t="n">
        <f aca="false">AH19*Ratio!AH88</f>
        <v>0.00632097366221509</v>
      </c>
      <c r="AI43" s="66" t="n">
        <f aca="false">AI19*Ratio!AI88</f>
        <v>0.00504170029458764</v>
      </c>
      <c r="AJ43" s="67" t="n">
        <f aca="false">AJ19*Ratio!AJ88</f>
        <v>0.00397021378047832</v>
      </c>
      <c r="AK43" s="53" t="n">
        <f aca="false">AK19*Ratio!AK88</f>
        <v>0.00442909430239376</v>
      </c>
      <c r="AL43" s="94" t="n">
        <f aca="false">AL19*Ratio!AL88</f>
        <v>0.00463715986908692</v>
      </c>
      <c r="AM43" s="53" t="n">
        <f aca="false">AM19*Ratio!AM88</f>
        <v>0.00770002540032519</v>
      </c>
      <c r="AN43" s="68" t="n">
        <f aca="false">AN19*Ratio!AN88</f>
        <v>0.00902660292803365</v>
      </c>
      <c r="AO43" s="67" t="n">
        <f aca="false">AO19*Ratio!AO88</f>
        <v>0.00791744220709145</v>
      </c>
      <c r="AP43" s="53" t="n">
        <f aca="false">AP19*Ratio!AP88</f>
        <v>0.00752549100196996</v>
      </c>
      <c r="AQ43" s="94" t="n">
        <f aca="false">AQ19*Ratio!AQ88</f>
        <v>0.00579638921109654</v>
      </c>
    </row>
    <row r="44" customFormat="false" ht="12.8" hidden="false" customHeight="false" outlineLevel="0" collapsed="false">
      <c r="A44" s="139" t="s">
        <v>200</v>
      </c>
      <c r="B44" s="65" t="n">
        <f aca="false">B20*Ratio!B90</f>
        <v>0.000621460571974806</v>
      </c>
      <c r="C44" s="65" t="n">
        <f aca="false">C20*Ratio!C90</f>
        <v>0.000626813670898888</v>
      </c>
      <c r="D44" s="53" t="n">
        <f aca="false">D20*Ratio!D90</f>
        <v>0.000621529352188226</v>
      </c>
      <c r="E44" s="94" t="n">
        <f aca="false">E20*Ratio!E90</f>
        <v>0.000620355331807077</v>
      </c>
      <c r="F44" s="53" t="n">
        <f aca="false">F20*Ratio!F90</f>
        <v>0.000630344253508225</v>
      </c>
      <c r="G44" s="94" t="n">
        <f aca="false">G20*Ratio!G90</f>
        <v>0.000652077147085386</v>
      </c>
      <c r="H44" s="53" t="n">
        <f aca="false">H20*Ratio!H90</f>
        <v>0.000659991080141461</v>
      </c>
      <c r="I44" s="66" t="n">
        <f aca="false">I20*Ratio!I90</f>
        <v>0.00059726430064461</v>
      </c>
      <c r="J44" s="67" t="n">
        <f aca="false">J20*Ratio!J90</f>
        <v>0.000649553766913597</v>
      </c>
      <c r="K44" s="94" t="n">
        <f aca="false">K20*Ratio!K90</f>
        <v>0.000536178449287159</v>
      </c>
      <c r="L44" s="53" t="n">
        <f aca="false">L20*Ratio!L90</f>
        <v>0.000552440582002062</v>
      </c>
      <c r="M44" s="94" t="n">
        <f aca="false">M20*Ratio!M90</f>
        <v>0.000552377318452844</v>
      </c>
      <c r="N44" s="94" t="n">
        <f aca="false">N20*Ratio!N90</f>
        <v>0.000554945732933348</v>
      </c>
      <c r="O44" s="53" t="n">
        <f aca="false">O20*Ratio!O90</f>
        <v>0.000473415270996721</v>
      </c>
      <c r="P44" s="68" t="n">
        <f aca="false">P20*Ratio!P90</f>
        <v>0.00061577268557201</v>
      </c>
      <c r="Q44" s="67" t="n">
        <f aca="false">Q20*Ratio!Q90</f>
        <v>0.000674369775319956</v>
      </c>
      <c r="R44" s="53" t="n">
        <f aca="false">R20*Ratio!R90</f>
        <v>0.000698306017005736</v>
      </c>
      <c r="S44" s="94" t="n">
        <f aca="false">S20*Ratio!S90</f>
        <v>0.000692316055773567</v>
      </c>
      <c r="T44" s="53" t="n">
        <f aca="false">T20*Ratio!T90</f>
        <v>0.000593624156545208</v>
      </c>
      <c r="U44" s="53" t="n">
        <f aca="false">U20*Ratio!U90</f>
        <v>0.000580311819041236</v>
      </c>
      <c r="V44" s="94" t="n">
        <f aca="false">V20*Ratio!V90</f>
        <v>0.000586797499069077</v>
      </c>
      <c r="W44" s="94" t="n">
        <f aca="false">W20*Ratio!W90</f>
        <v>0.000598724679733977</v>
      </c>
      <c r="X44" s="66" t="n">
        <f aca="false">X20*Ratio!X90</f>
        <v>0.000727009109638844</v>
      </c>
      <c r="Y44" s="67" t="n">
        <f aca="false">Y20*Ratio!Y90</f>
        <v>0.000457943945709359</v>
      </c>
      <c r="Z44" s="53" t="n">
        <f aca="false">Z20*Ratio!Z90</f>
        <v>0.000646988268775238</v>
      </c>
      <c r="AA44" s="94" t="n">
        <f aca="false">AA20*Ratio!AA90</f>
        <v>0.00105646521824793</v>
      </c>
      <c r="AB44" s="53" t="n">
        <f aca="false">AB20*Ratio!AB90</f>
        <v>0.00108602497088438</v>
      </c>
      <c r="AC44" s="68" t="n">
        <f aca="false">AC20*Ratio!AC90</f>
        <v>0.00113505394429992</v>
      </c>
      <c r="AD44" s="67" t="n">
        <f aca="false">AD20*Ratio!AD90</f>
        <v>0.000680942462436802</v>
      </c>
      <c r="AE44" s="53" t="n">
        <f aca="false">AE20*Ratio!AE90</f>
        <v>0.000681950457872042</v>
      </c>
      <c r="AF44" s="94" t="n">
        <f aca="false">AF20*Ratio!AF90</f>
        <v>0.000684715553986688</v>
      </c>
      <c r="AG44" s="53" t="n">
        <f aca="false">AG20*Ratio!AG90</f>
        <v>0.000762731094529849</v>
      </c>
      <c r="AH44" s="53" t="n">
        <f aca="false">AH20*Ratio!AH90</f>
        <v>0.000921487594537708</v>
      </c>
      <c r="AI44" s="66" t="n">
        <f aca="false">AI20*Ratio!AI90</f>
        <v>0.00073499187389614</v>
      </c>
      <c r="AJ44" s="67" t="n">
        <f aca="false">AJ20*Ratio!AJ90</f>
        <v>0.00101371408927456</v>
      </c>
      <c r="AK44" s="53" t="n">
        <f aca="false">AK20*Ratio!AK90</f>
        <v>0.000764515812282431</v>
      </c>
      <c r="AL44" s="94" t="n">
        <f aca="false">AL20*Ratio!AL90</f>
        <v>0.000795031293890006</v>
      </c>
      <c r="AM44" s="53" t="n">
        <f aca="false">AM20*Ratio!AM90</f>
        <v>0.000855013092891734</v>
      </c>
      <c r="AN44" s="68" t="n">
        <f aca="false">AN20*Ratio!AN90</f>
        <v>0.00094917832382139</v>
      </c>
      <c r="AO44" s="67" t="n">
        <f aca="false">AO20*Ratio!AO90</f>
        <v>0.000565964795330752</v>
      </c>
      <c r="AP44" s="53" t="n">
        <f aca="false">AP20*Ratio!AP90</f>
        <v>0.0012436851002849</v>
      </c>
      <c r="AQ44" s="94" t="n">
        <f aca="false">AQ20*Ratio!AQ90</f>
        <v>0.00117807054595812</v>
      </c>
    </row>
    <row r="46" customFormat="false" ht="12.8" hidden="false" customHeight="false" outlineLevel="0" collapsed="false">
      <c r="A46" s="1" t="s">
        <v>103</v>
      </c>
    </row>
    <row r="47" customFormat="false" ht="12.8" hidden="false" customHeight="false" outlineLevel="0" collapsed="false">
      <c r="A47" s="139" t="s">
        <v>180</v>
      </c>
      <c r="B47" s="97" t="n">
        <f aca="false">B15*Ratio!B94</f>
        <v>6.16589082655855</v>
      </c>
      <c r="C47" s="72" t="n">
        <f aca="false">C15*Ratio!C94</f>
        <v>6.25683196759407</v>
      </c>
      <c r="D47" s="31" t="n">
        <f aca="false">D15*Ratio!D94</f>
        <v>6.37005919439301</v>
      </c>
      <c r="E47" s="96" t="n">
        <f aca="false">E15*Ratio!E94</f>
        <v>6.42023250469425</v>
      </c>
      <c r="F47" s="31" t="n">
        <f aca="false">F15*Ratio!F94</f>
        <v>6.55548016262577</v>
      </c>
      <c r="G47" s="96" t="n">
        <f aca="false">G15*Ratio!G94</f>
        <v>7.52052995455501</v>
      </c>
      <c r="H47" s="31" t="n">
        <f aca="false">H15*Ratio!H94</f>
        <v>7.61180285205277</v>
      </c>
      <c r="I47" s="74" t="n">
        <f aca="false">I15*Ratio!I94</f>
        <v>7.66393393886032</v>
      </c>
      <c r="J47" s="75" t="n">
        <f aca="false">J15*Ratio!J94</f>
        <v>6.94436286279548</v>
      </c>
      <c r="K47" s="72" t="n">
        <f aca="false">K15*Ratio!K94</f>
        <v>7.45807219679352</v>
      </c>
      <c r="L47" s="31" t="n">
        <f aca="false">L15*Ratio!L94</f>
        <v>7.29335086383503</v>
      </c>
      <c r="M47" s="96" t="n">
        <f aca="false">M15*Ratio!M94</f>
        <v>7.29251565498838</v>
      </c>
      <c r="N47" s="96" t="n">
        <f aca="false">N15*Ratio!N94</f>
        <v>7.2912319915418</v>
      </c>
      <c r="O47" s="31" t="n">
        <f aca="false">O15*Ratio!O94</f>
        <v>7.33827486731732</v>
      </c>
      <c r="P47" s="76" t="n">
        <f aca="false">P15*Ratio!P94</f>
        <v>6.43806016857796</v>
      </c>
      <c r="Q47" s="75" t="n">
        <f aca="false">Q15*Ratio!Q94</f>
        <v>6.04366000212449</v>
      </c>
      <c r="R47" s="31" t="n">
        <f aca="false">R15*Ratio!R94</f>
        <v>5.76958545606735</v>
      </c>
      <c r="S47" s="96" t="n">
        <f aca="false">S15*Ratio!S94</f>
        <v>6.0717265239898</v>
      </c>
      <c r="T47" s="31" t="n">
        <f aca="false">T15*Ratio!T94</f>
        <v>6.10795510996117</v>
      </c>
      <c r="U47" s="31" t="n">
        <f aca="false">U15*Ratio!U94</f>
        <v>5.96690422458693</v>
      </c>
      <c r="V47" s="96" t="n">
        <f aca="false">V15*Ratio!V94</f>
        <v>6.00096606098116</v>
      </c>
      <c r="W47" s="96" t="n">
        <f aca="false">W15*Ratio!W94</f>
        <v>5.8329165190466</v>
      </c>
      <c r="X47" s="74" t="n">
        <f aca="false">X15*Ratio!X94</f>
        <v>6.01668376790363</v>
      </c>
      <c r="Y47" s="75" t="n">
        <f aca="false">Y15*Ratio!Y94</f>
        <v>5.58288035840785</v>
      </c>
      <c r="Z47" s="31" t="n">
        <f aca="false">Z15*Ratio!Z94</f>
        <v>5.44123159138217</v>
      </c>
      <c r="AA47" s="96" t="n">
        <f aca="false">AA15*Ratio!AA94</f>
        <v>5.76852923942628</v>
      </c>
      <c r="AB47" s="31" t="n">
        <f aca="false">AB15*Ratio!AB94</f>
        <v>5.90448430335784</v>
      </c>
      <c r="AC47" s="76" t="n">
        <f aca="false">AC15*Ratio!AC94</f>
        <v>5.61572066713426</v>
      </c>
      <c r="AD47" s="75" t="n">
        <f aca="false">AD15*Ratio!AD94</f>
        <v>5.362496932921</v>
      </c>
      <c r="AE47" s="31" t="n">
        <f aca="false">AE15*Ratio!AE94</f>
        <v>5.50274273210478</v>
      </c>
      <c r="AF47" s="96" t="n">
        <f aca="false">AF15*Ratio!AF94</f>
        <v>5.5635460426517</v>
      </c>
      <c r="AG47" s="31" t="n">
        <f aca="false">AG15*Ratio!AG94</f>
        <v>5.83865840203223</v>
      </c>
      <c r="AH47" s="31" t="n">
        <f aca="false">AH15*Ratio!AH94</f>
        <v>5.13731337486894</v>
      </c>
      <c r="AI47" s="74" t="n">
        <f aca="false">AI15*Ratio!AI94</f>
        <v>5.69515949652776</v>
      </c>
      <c r="AJ47" s="75" t="n">
        <f aca="false">AJ15*Ratio!AJ94</f>
        <v>5.68935591431334</v>
      </c>
      <c r="AK47" s="31" t="n">
        <f aca="false">AK15*Ratio!AK94</f>
        <v>5.54375581533338</v>
      </c>
      <c r="AL47" s="96" t="n">
        <f aca="false">AL15*Ratio!AL94</f>
        <v>5.45128955421599</v>
      </c>
      <c r="AM47" s="31" t="n">
        <f aca="false">AM15*Ratio!AM94</f>
        <v>5.37094704183241</v>
      </c>
      <c r="AN47" s="76" t="n">
        <f aca="false">AN15*Ratio!AN94</f>
        <v>5.76181170752567</v>
      </c>
      <c r="AO47" s="75" t="n">
        <f aca="false">AO15*Ratio!AO94</f>
        <v>5.81883254594045</v>
      </c>
      <c r="AP47" s="31" t="n">
        <f aca="false">AP15*Ratio!AP94</f>
        <v>5.77094538169771</v>
      </c>
      <c r="AQ47" s="96" t="n">
        <f aca="false">AQ15*Ratio!AQ94</f>
        <v>5.7826316585912</v>
      </c>
    </row>
    <row r="48" customFormat="false" ht="12.8" hidden="false" customHeight="false" outlineLevel="0" collapsed="false">
      <c r="A48" s="139" t="s">
        <v>27</v>
      </c>
      <c r="B48" s="97" t="n">
        <f aca="false">B16*Ratio!B99</f>
        <v>1.63339512169365</v>
      </c>
      <c r="C48" s="72" t="n">
        <f aca="false">C16*Ratio!C99</f>
        <v>1.56339257765686</v>
      </c>
      <c r="D48" s="31" t="n">
        <f aca="false">D16*Ratio!D99</f>
        <v>1.55466911520574</v>
      </c>
      <c r="E48" s="96" t="n">
        <f aca="false">E16*Ratio!E99</f>
        <v>1.42939905465898</v>
      </c>
      <c r="F48" s="31" t="n">
        <f aca="false">F16*Ratio!F99</f>
        <v>1.36508220699781</v>
      </c>
      <c r="G48" s="96" t="n">
        <f aca="false">G16*Ratio!G99</f>
        <v>0.829404342923747</v>
      </c>
      <c r="H48" s="31" t="n">
        <f aca="false">H16*Ratio!H99</f>
        <v>0.775809540794254</v>
      </c>
      <c r="I48" s="74" t="n">
        <f aca="false">I16*Ratio!I99</f>
        <v>0.729244524051349</v>
      </c>
      <c r="J48" s="75" t="n">
        <f aca="false">J16*Ratio!J99</f>
        <v>0.761367940923433</v>
      </c>
      <c r="K48" s="72" t="n">
        <f aca="false">K16*Ratio!K99</f>
        <v>0.82495210308949</v>
      </c>
      <c r="L48" s="31" t="n">
        <f aca="false">L16*Ratio!L99</f>
        <v>0.757013119805235</v>
      </c>
      <c r="M48" s="96" t="n">
        <f aca="false">M16*Ratio!M99</f>
        <v>0.757989163009908</v>
      </c>
      <c r="N48" s="96" t="n">
        <f aca="false">N16*Ratio!N99</f>
        <v>0.761518960678114</v>
      </c>
      <c r="O48" s="31" t="n">
        <f aca="false">O16*Ratio!O99</f>
        <v>0.769136283326938</v>
      </c>
      <c r="P48" s="76" t="n">
        <f aca="false">P16*Ratio!P99</f>
        <v>0.744748589031298</v>
      </c>
      <c r="Q48" s="75" t="n">
        <f aca="false">Q16*Ratio!Q99</f>
        <v>0.793097825341438</v>
      </c>
      <c r="R48" s="31" t="n">
        <f aca="false">R16*Ratio!R99</f>
        <v>0.790191332035382</v>
      </c>
      <c r="S48" s="96" t="n">
        <f aca="false">S16*Ratio!S99</f>
        <v>0.835715367135594</v>
      </c>
      <c r="T48" s="31" t="n">
        <f aca="false">T16*Ratio!T99</f>
        <v>0.851826252962173</v>
      </c>
      <c r="U48" s="31" t="n">
        <f aca="false">U16*Ratio!U99</f>
        <v>2.84569837067613</v>
      </c>
      <c r="V48" s="96" t="n">
        <f aca="false">V16*Ratio!V99</f>
        <v>2.57821116322795</v>
      </c>
      <c r="W48" s="96" t="n">
        <f aca="false">W16*Ratio!W99</f>
        <v>2.59166246925783</v>
      </c>
      <c r="X48" s="74" t="n">
        <f aca="false">X16*Ratio!X99</f>
        <v>2.9608357752839</v>
      </c>
      <c r="Y48" s="75" t="n">
        <f aca="false">Y16*Ratio!Y99</f>
        <v>3.22898295558071</v>
      </c>
      <c r="Z48" s="31" t="n">
        <f aca="false">Z16*Ratio!Z99</f>
        <v>3.12135907555261</v>
      </c>
      <c r="AA48" s="96" t="n">
        <f aca="false">AA16*Ratio!AA99</f>
        <v>3.0930299042085</v>
      </c>
      <c r="AB48" s="31" t="n">
        <f aca="false">AB16*Ratio!AB99</f>
        <v>3.10520563914205</v>
      </c>
      <c r="AC48" s="76" t="n">
        <f aca="false">AC16*Ratio!AC99</f>
        <v>1.67443334431123</v>
      </c>
      <c r="AD48" s="75" t="n">
        <f aca="false">AD16*Ratio!AD99</f>
        <v>1.68843136861087</v>
      </c>
      <c r="AE48" s="31" t="n">
        <f aca="false">AE16*Ratio!AE99</f>
        <v>1.63305919429584</v>
      </c>
      <c r="AF48" s="96" t="n">
        <f aca="false">AF16*Ratio!AF99</f>
        <v>1.51855836942356</v>
      </c>
      <c r="AG48" s="31" t="n">
        <f aca="false">AG16*Ratio!AG99</f>
        <v>1.4496522224554</v>
      </c>
      <c r="AH48" s="31" t="n">
        <f aca="false">AH16*Ratio!AH99</f>
        <v>1.24717040849183</v>
      </c>
      <c r="AI48" s="74" t="n">
        <f aca="false">AI16*Ratio!AI99</f>
        <v>2.01340441955868</v>
      </c>
      <c r="AJ48" s="75" t="n">
        <f aca="false">AJ16*Ratio!AJ99</f>
        <v>2.0456235488563</v>
      </c>
      <c r="AK48" s="31" t="n">
        <f aca="false">AK16*Ratio!AK99</f>
        <v>1.9083536079647</v>
      </c>
      <c r="AL48" s="96" t="n">
        <f aca="false">AL16*Ratio!AL99</f>
        <v>1.68673259305087</v>
      </c>
      <c r="AM48" s="31" t="n">
        <f aca="false">AM16*Ratio!AM99</f>
        <v>1.54221882019466</v>
      </c>
      <c r="AN48" s="76" t="n">
        <f aca="false">AN16*Ratio!AN99</f>
        <v>2.17815353414559</v>
      </c>
      <c r="AO48" s="75" t="n">
        <f aca="false">AO16*Ratio!AO99</f>
        <v>1.95849307001536</v>
      </c>
      <c r="AP48" s="31" t="n">
        <f aca="false">AP16*Ratio!AP99</f>
        <v>2.02598553259903</v>
      </c>
      <c r="AQ48" s="96" t="n">
        <f aca="false">AQ16*Ratio!AQ99</f>
        <v>1.93469923022177</v>
      </c>
    </row>
    <row r="49" customFormat="false" ht="12.8" hidden="false" customHeight="false" outlineLevel="0" collapsed="false">
      <c r="A49" s="139" t="s">
        <v>186</v>
      </c>
      <c r="B49" s="97" t="n">
        <f aca="false">B17*Ratio!B104</f>
        <v>1.25267395240586</v>
      </c>
      <c r="C49" s="72" t="n">
        <f aca="false">C17*Ratio!C104</f>
        <v>1.12397077678078</v>
      </c>
      <c r="D49" s="31" t="n">
        <f aca="false">D17*Ratio!D104</f>
        <v>1.05022086472684</v>
      </c>
      <c r="E49" s="96" t="n">
        <f aca="false">E17*Ratio!E104</f>
        <v>1.24328072607605</v>
      </c>
      <c r="F49" s="31" t="n">
        <f aca="false">F17*Ratio!F104</f>
        <v>0.831965249513025</v>
      </c>
      <c r="G49" s="96" t="n">
        <f aca="false">G17*Ratio!G104</f>
        <v>0.658812353320154</v>
      </c>
      <c r="H49" s="31" t="n">
        <f aca="false">H17*Ratio!H104</f>
        <v>0.992959978980624</v>
      </c>
      <c r="I49" s="74" t="n">
        <f aca="false">I17*Ratio!I104</f>
        <v>0.942169948804037</v>
      </c>
      <c r="J49" s="75" t="n">
        <f aca="false">J17*Ratio!J104</f>
        <v>0.925374212238572</v>
      </c>
      <c r="K49" s="72" t="n">
        <f aca="false">K17*Ratio!K104</f>
        <v>0.739535341471993</v>
      </c>
      <c r="L49" s="31" t="n">
        <f aca="false">L17*Ratio!L104</f>
        <v>0.76196522817551</v>
      </c>
      <c r="M49" s="96" t="n">
        <f aca="false">M17*Ratio!M104</f>
        <v>0.761877970601962</v>
      </c>
      <c r="N49" s="96" t="n">
        <f aca="false">N17*Ratio!N104</f>
        <v>0.748052073069769</v>
      </c>
      <c r="O49" s="31" t="n">
        <f aca="false">O17*Ratio!O104</f>
        <v>0.76999171461469</v>
      </c>
      <c r="P49" s="76" t="n">
        <f aca="false">P17*Ratio!P104</f>
        <v>1.18310689054946</v>
      </c>
      <c r="Q49" s="75" t="n">
        <f aca="false">Q17*Ratio!Q104</f>
        <v>1.15268174252907</v>
      </c>
      <c r="R49" s="31" t="n">
        <f aca="false">R17*Ratio!R104</f>
        <v>1.19359530328714</v>
      </c>
      <c r="S49" s="96" t="n">
        <f aca="false">S17*Ratio!S104</f>
        <v>1.13335464385012</v>
      </c>
      <c r="T49" s="31" t="n">
        <f aca="false">T17*Ratio!T104</f>
        <v>1.20607755947897</v>
      </c>
      <c r="U49" s="31" t="n">
        <f aca="false">U17*Ratio!U104</f>
        <v>4.91143388593881</v>
      </c>
      <c r="V49" s="96" t="n">
        <f aca="false">V17*Ratio!V104</f>
        <v>5.18273634252174</v>
      </c>
      <c r="W49" s="96" t="n">
        <f aca="false">W17*Ratio!W104</f>
        <v>5.28808006466415</v>
      </c>
      <c r="X49" s="74" t="n">
        <f aca="false">X17*Ratio!X104</f>
        <v>5.03108435344676</v>
      </c>
      <c r="Y49" s="75" t="n">
        <f aca="false">Y17*Ratio!Y104</f>
        <v>5.54519787164876</v>
      </c>
      <c r="Z49" s="31" t="n">
        <f aca="false">Z17*Ratio!Z104</f>
        <v>5.36097756855813</v>
      </c>
      <c r="AA49" s="96" t="n">
        <f aca="false">AA17*Ratio!AA104</f>
        <v>5.77471225799195</v>
      </c>
      <c r="AB49" s="31" t="n">
        <f aca="false">AB17*Ratio!AB104</f>
        <v>4.81861752084634</v>
      </c>
      <c r="AC49" s="76" t="n">
        <f aca="false">AC17*Ratio!AC104</f>
        <v>0.518982344001675</v>
      </c>
      <c r="AD49" s="75" t="n">
        <f aca="false">AD17*Ratio!AD104</f>
        <v>0.534899829958155</v>
      </c>
      <c r="AE49" s="31" t="n">
        <f aca="false">AE17*Ratio!AE104</f>
        <v>0.49417524249794</v>
      </c>
      <c r="AF49" s="96" t="n">
        <f aca="false">AF17*Ratio!AF104</f>
        <v>0.496178968761647</v>
      </c>
      <c r="AG49" s="31" t="n">
        <f aca="false">AG17*Ratio!AG104</f>
        <v>0.630497541303701</v>
      </c>
      <c r="AH49" s="31" t="n">
        <f aca="false">AH17*Ratio!AH104</f>
        <v>0.648117340386761</v>
      </c>
      <c r="AI49" s="74" t="n">
        <f aca="false">AI17*Ratio!AI104</f>
        <v>0.864659112274756</v>
      </c>
      <c r="AJ49" s="75" t="n">
        <f aca="false">AJ17*Ratio!AJ104</f>
        <v>0.842876436534316</v>
      </c>
      <c r="AK49" s="31" t="n">
        <f aca="false">AK17*Ratio!AK104</f>
        <v>0.781467095982163</v>
      </c>
      <c r="AL49" s="96" t="n">
        <f aca="false">AL17*Ratio!AL104</f>
        <v>0.812355036505139</v>
      </c>
      <c r="AM49" s="31" t="n">
        <f aca="false">AM17*Ratio!AM104</f>
        <v>0.839347597233273</v>
      </c>
      <c r="AN49" s="76" t="n">
        <f aca="false">AN17*Ratio!AN104</f>
        <v>0.784899738041632</v>
      </c>
      <c r="AO49" s="75" t="n">
        <f aca="false">AO17*Ratio!AO104</f>
        <v>0.78772018210186</v>
      </c>
      <c r="AP49" s="31" t="n">
        <f aca="false">AP17*Ratio!AP104</f>
        <v>0.753480556388295</v>
      </c>
      <c r="AQ49" s="96" t="n">
        <f aca="false">AQ17*Ratio!AQ104</f>
        <v>0.725427637290322</v>
      </c>
    </row>
    <row r="50" customFormat="false" ht="12.8" hidden="false" customHeight="false" outlineLevel="0" collapsed="false">
      <c r="A50" s="139" t="s">
        <v>192</v>
      </c>
      <c r="B50" s="97" t="n">
        <f aca="false">B18*Ratio!B111</f>
        <v>0.0808030794125513</v>
      </c>
      <c r="C50" s="72" t="n">
        <f aca="false">C18*Ratio!C111</f>
        <v>0.0814962802543565</v>
      </c>
      <c r="D50" s="31" t="n">
        <f aca="false">D18*Ratio!D111</f>
        <v>0.0808092302766815</v>
      </c>
      <c r="E50" s="96" t="n">
        <f aca="false">E18*Ratio!E111</f>
        <v>0.0806565879549701</v>
      </c>
      <c r="F50" s="31" t="n">
        <f aca="false">F18*Ratio!F111</f>
        <v>0.0819553151528441</v>
      </c>
      <c r="G50" s="96" t="n">
        <f aca="false">G18*Ratio!G111</f>
        <v>0.0955132113752387</v>
      </c>
      <c r="H50" s="31" t="n">
        <f aca="false">H18*Ratio!H111</f>
        <v>0.0913714542728959</v>
      </c>
      <c r="I50" s="74" t="n">
        <f aca="false">I18*Ratio!I111</f>
        <v>0.09517727971059</v>
      </c>
      <c r="J50" s="75" t="n">
        <f aca="false">J18*Ratio!J111</f>
        <v>0.10257102714534</v>
      </c>
      <c r="K50" s="72" t="n">
        <f aca="false">K18*Ratio!K111</f>
        <v>0.0920760104719708</v>
      </c>
      <c r="L50" s="31" t="n">
        <f aca="false">L18*Ratio!L111</f>
        <v>0.0995333622578474</v>
      </c>
      <c r="M50" s="96" t="n">
        <f aca="false">M18*Ratio!M111</f>
        <v>0.099521964047855</v>
      </c>
      <c r="N50" s="96" t="n">
        <f aca="false">N18*Ratio!N111</f>
        <v>0.0999847159477785</v>
      </c>
      <c r="O50" s="31" t="n">
        <f aca="false">O18*Ratio!O111</f>
        <v>0.0992185943220743</v>
      </c>
      <c r="P50" s="76" t="n">
        <f aca="false">P18*Ratio!P111</f>
        <v>0.144553471726782</v>
      </c>
      <c r="Q50" s="75" t="n">
        <f aca="false">Q18*Ratio!Q111</f>
        <v>0.15023303776628</v>
      </c>
      <c r="R50" s="31" t="n">
        <f aca="false">R18*Ratio!R111</f>
        <v>0.160986762582784</v>
      </c>
      <c r="S50" s="96" t="n">
        <f aca="false">S18*Ratio!S111</f>
        <v>0.153408153576734</v>
      </c>
      <c r="T50" s="31" t="n">
        <f aca="false">T18*Ratio!T111</f>
        <v>0.159460613892364</v>
      </c>
      <c r="U50" s="31" t="n">
        <f aca="false">U18*Ratio!U111</f>
        <v>0.349552589087863</v>
      </c>
      <c r="V50" s="96" t="n">
        <f aca="false">V18*Ratio!V111</f>
        <v>0.382384049748665</v>
      </c>
      <c r="W50" s="96" t="n">
        <f aca="false">W18*Ratio!W111</f>
        <v>0.390156345390626</v>
      </c>
      <c r="X50" s="74" t="n">
        <f aca="false">X18*Ratio!X111</f>
        <v>0.371195114425222</v>
      </c>
      <c r="Y50" s="75" t="n">
        <f aca="false">Y18*Ratio!Y111</f>
        <v>0.388569090393933</v>
      </c>
      <c r="Z50" s="31" t="n">
        <f aca="false">Z18*Ratio!Z111</f>
        <v>0.427635032618075</v>
      </c>
      <c r="AA50" s="96" t="n">
        <f aca="false">AA18*Ratio!AA111</f>
        <v>0.407585561237094</v>
      </c>
      <c r="AB50" s="31" t="n">
        <f aca="false">AB18*Ratio!AB111</f>
        <v>0.469106399440728</v>
      </c>
      <c r="AC50" s="76" t="n">
        <f aca="false">AC18*Ratio!AC111</f>
        <v>0.365784995649321</v>
      </c>
      <c r="AD50" s="75" t="n">
        <f aca="false">AD18*Ratio!AD111</f>
        <v>0.312238973973045</v>
      </c>
      <c r="AE50" s="31" t="n">
        <f aca="false">AE18*Ratio!AE111</f>
        <v>0.312701179633333</v>
      </c>
      <c r="AF50" s="96" t="n">
        <f aca="false">AF18*Ratio!AF111</f>
        <v>0.322766806117156</v>
      </c>
      <c r="AG50" s="31" t="n">
        <f aca="false">AG18*Ratio!AG111</f>
        <v>0.305791103932146</v>
      </c>
      <c r="AH50" s="31" t="n">
        <f aca="false">AH18*Ratio!AH111</f>
        <v>0.431895288752726</v>
      </c>
      <c r="AI50" s="74" t="n">
        <f aca="false">AI18*Ratio!AI111</f>
        <v>0.575916040061511</v>
      </c>
      <c r="AJ50" s="75" t="n">
        <f aca="false">AJ18*Ratio!AJ111</f>
        <v>0.575329159906681</v>
      </c>
      <c r="AK50" s="31" t="n">
        <f aca="false">AK18*Ratio!AK111</f>
        <v>0.618871360578148</v>
      </c>
      <c r="AL50" s="96" t="n">
        <f aca="false">AL18*Ratio!AL111</f>
        <v>0.64357347571792</v>
      </c>
      <c r="AM50" s="31" t="n">
        <f aca="false">AM18*Ratio!AM111</f>
        <v>0.681641831785926</v>
      </c>
      <c r="AN50" s="76" t="n">
        <f aca="false">AN18*Ratio!AN111</f>
        <v>0.386225150790914</v>
      </c>
      <c r="AO50" s="75" t="n">
        <f aca="false">AO18*Ratio!AO111</f>
        <v>0.330873720487714</v>
      </c>
      <c r="AP50" s="31" t="n">
        <f aca="false">AP18*Ratio!AP111</f>
        <v>0.294766937153313</v>
      </c>
      <c r="AQ50" s="96" t="n">
        <f aca="false">AQ18*Ratio!AQ111</f>
        <v>0.28632974973562</v>
      </c>
    </row>
    <row r="51" customFormat="false" ht="12.8" hidden="false" customHeight="false" outlineLevel="0" collapsed="false">
      <c r="A51" s="139" t="s">
        <v>28</v>
      </c>
      <c r="B51" s="97" t="n">
        <f aca="false">B19*Ratio!B118</f>
        <v>0.0401781022778668</v>
      </c>
      <c r="C51" s="72" t="n">
        <f aca="false">C19*Ratio!C118</f>
        <v>0.0405241859487775</v>
      </c>
      <c r="D51" s="31" t="n">
        <f aca="false">D19*Ratio!D118</f>
        <v>0.0401825489935139</v>
      </c>
      <c r="E51" s="96" t="n">
        <f aca="false">E19*Ratio!E118</f>
        <v>0.040106647298254</v>
      </c>
      <c r="F51" s="31" t="n">
        <f aca="false">F19*Ratio!F118</f>
        <v>0.0407524419566005</v>
      </c>
      <c r="G51" s="96" t="n">
        <f aca="false">G19*Ratio!G118</f>
        <v>0.0596830266645599</v>
      </c>
      <c r="H51" s="31" t="n">
        <f aca="false">H19*Ratio!H118</f>
        <v>0.0580678580503015</v>
      </c>
      <c r="I51" s="74" t="n">
        <f aca="false">I19*Ratio!I118</f>
        <v>0.0550194100073863</v>
      </c>
      <c r="J51" s="75" t="n">
        <f aca="false">J19*Ratio!J118</f>
        <v>0.0592935353326798</v>
      </c>
      <c r="K51" s="72" t="n">
        <f aca="false">K19*Ratio!K118</f>
        <v>0.0558229155274836</v>
      </c>
      <c r="L51" s="31" t="n">
        <f aca="false">L19*Ratio!L118</f>
        <v>0.0575160079336548</v>
      </c>
      <c r="M51" s="96" t="n">
        <f aca="false">M19*Ratio!M118</f>
        <v>0.0575094214030536</v>
      </c>
      <c r="N51" s="96" t="n">
        <f aca="false">N19*Ratio!N118</f>
        <v>0.0236726935076863</v>
      </c>
      <c r="O51" s="31" t="n">
        <f aca="false">O19*Ratio!O118</f>
        <v>0.0234913041596945</v>
      </c>
      <c r="P51" s="76" t="n">
        <f aca="false">P19*Ratio!P118</f>
        <v>0.222018175849884</v>
      </c>
      <c r="Q51" s="75" t="n">
        <f aca="false">Q19*Ratio!Q118</f>
        <v>0.231140175260421</v>
      </c>
      <c r="R51" s="31" t="n">
        <f aca="false">R19*Ratio!R118</f>
        <v>0.239344319782915</v>
      </c>
      <c r="S51" s="96" t="n">
        <f aca="false">S19*Ratio!S118</f>
        <v>0.228076952277957</v>
      </c>
      <c r="T51" s="31" t="n">
        <f aca="false">T19*Ratio!T118</f>
        <v>0.22544556480415</v>
      </c>
      <c r="U51" s="31" t="n">
        <f aca="false">U19*Ratio!U118</f>
        <v>0.0464306238879458</v>
      </c>
      <c r="V51" s="96" t="n">
        <f aca="false">V19*Ratio!V118</f>
        <v>0.0469495417527031</v>
      </c>
      <c r="W51" s="96" t="n">
        <f aca="false">W19*Ratio!W118</f>
        <v>0.0479038329136353</v>
      </c>
      <c r="X51" s="74" t="n">
        <f aca="false">X19*Ratio!X118</f>
        <v>0.0455757517463429</v>
      </c>
      <c r="Y51" s="75" t="n">
        <f aca="false">Y19*Ratio!Y118</f>
        <v>0.0471980084048668</v>
      </c>
      <c r="Z51" s="31" t="n">
        <f aca="false">Z19*Ratio!Z118</f>
        <v>0.032534986204853</v>
      </c>
      <c r="AA51" s="96" t="n">
        <f aca="false">AA19*Ratio!AA118</f>
        <v>0.0310095983740169</v>
      </c>
      <c r="AB51" s="31" t="n">
        <f aca="false">AB19*Ratio!AB118</f>
        <v>0.0318772427048089</v>
      </c>
      <c r="AC51" s="76" t="n">
        <f aca="false">AC19*Ratio!AC118</f>
        <v>0.0274372923056579</v>
      </c>
      <c r="AD51" s="75" t="n">
        <f aca="false">AD19*Ratio!AD118</f>
        <v>0.0281999571002487</v>
      </c>
      <c r="AE51" s="31" t="n">
        <f aca="false">AE19*Ratio!AE118</f>
        <v>0.0378902804317939</v>
      </c>
      <c r="AF51" s="96" t="n">
        <f aca="false">AF19*Ratio!AF118</f>
        <v>0.0403604727384596</v>
      </c>
      <c r="AG51" s="31" t="n">
        <f aca="false">AG19*Ratio!AG118</f>
        <v>0.0464825591232455</v>
      </c>
      <c r="AH51" s="31" t="n">
        <f aca="false">AH19*Ratio!AH118</f>
        <v>0.0667909884180554</v>
      </c>
      <c r="AI51" s="74" t="n">
        <f aca="false">AI19*Ratio!AI118</f>
        <v>0.0532734613333452</v>
      </c>
      <c r="AJ51" s="75" t="n">
        <f aca="false">AJ19*Ratio!AJ118</f>
        <v>0.0424987296161823</v>
      </c>
      <c r="AK51" s="31" t="n">
        <f aca="false">AK19*Ratio!AK118</f>
        <v>0.0472262533004306</v>
      </c>
      <c r="AL51" s="96" t="n">
        <f aca="false">AL19*Ratio!AL118</f>
        <v>0.0494262007670863</v>
      </c>
      <c r="AM51" s="31" t="n">
        <f aca="false">AM19*Ratio!AM118</f>
        <v>0.0801148296941259</v>
      </c>
      <c r="AN51" s="76" t="n">
        <f aca="false">AN19*Ratio!AN118</f>
        <v>0.10792286228344</v>
      </c>
      <c r="AO51" s="75" t="n">
        <f aca="false">AO19*Ratio!AO118</f>
        <v>0.0956789749527554</v>
      </c>
      <c r="AP51" s="31" t="n">
        <f aca="false">AP19*Ratio!AP118</f>
        <v>0.0913130023966188</v>
      </c>
      <c r="AQ51" s="96" t="n">
        <f aca="false">AQ19*Ratio!AQ118</f>
        <v>0.0718485093099472</v>
      </c>
    </row>
    <row r="52" customFormat="false" ht="12.8" hidden="false" customHeight="false" outlineLevel="0" collapsed="false">
      <c r="A52" s="139" t="s">
        <v>200</v>
      </c>
      <c r="B52" s="97" t="n">
        <f aca="false">B20*Ratio!B120</f>
        <v>0.0282953391330345</v>
      </c>
      <c r="C52" s="72" t="n">
        <f aca="false">C20*Ratio!C120</f>
        <v>0.0285390677882382</v>
      </c>
      <c r="D52" s="31" t="n">
        <f aca="false">D20*Ratio!D120</f>
        <v>0.028298470722635</v>
      </c>
      <c r="E52" s="96" t="n">
        <f aca="false">E20*Ratio!E120</f>
        <v>0.0282450171226293</v>
      </c>
      <c r="F52" s="31" t="n">
        <f aca="false">F20*Ratio!F120</f>
        <v>0.0286998165738787</v>
      </c>
      <c r="G52" s="96" t="n">
        <f aca="false">G20*Ratio!G120</f>
        <v>0.00280431039939818</v>
      </c>
      <c r="H52" s="31" t="n">
        <f aca="false">H20*Ratio!H120</f>
        <v>0.00283834490722979</v>
      </c>
      <c r="I52" s="74" t="n">
        <f aca="false">I20*Ratio!I120</f>
        <v>0.00254828170524085</v>
      </c>
      <c r="J52" s="75" t="n">
        <f aca="false">J20*Ratio!J120</f>
        <v>0.00277331131493658</v>
      </c>
      <c r="K52" s="72" t="n">
        <f aca="false">K20*Ratio!K120</f>
        <v>0.00226551329757861</v>
      </c>
      <c r="L52" s="31" t="n">
        <f aca="false">L20*Ratio!L120</f>
        <v>0.00233422564131712</v>
      </c>
      <c r="M52" s="96" t="n">
        <f aca="false">M20*Ratio!M120</f>
        <v>0.00233395833402009</v>
      </c>
      <c r="N52" s="96" t="n">
        <f aca="false">N20*Ratio!N120</f>
        <v>0.00234481064851914</v>
      </c>
      <c r="O52" s="31" t="n">
        <f aca="false">O20*Ratio!O120</f>
        <v>0.00197445762675572</v>
      </c>
      <c r="P52" s="76" t="n">
        <f aca="false">P20*Ratio!P120</f>
        <v>0.0259843099183521</v>
      </c>
      <c r="Q52" s="75" t="n">
        <f aca="false">Q20*Ratio!Q120</f>
        <v>0.0284757144824352</v>
      </c>
      <c r="R52" s="31" t="n">
        <f aca="false">R20*Ratio!R120</f>
        <v>0.0294864382855644</v>
      </c>
      <c r="S52" s="96" t="n">
        <f aca="false">S20*Ratio!S120</f>
        <v>0.0292482129299249</v>
      </c>
      <c r="T52" s="31" t="n">
        <f aca="false">T20*Ratio!T120</f>
        <v>0.0250323327615859</v>
      </c>
      <c r="U52" s="31" t="n">
        <f aca="false">U20*Ratio!U120</f>
        <v>0.0321994199832676</v>
      </c>
      <c r="V52" s="96" t="n">
        <f aca="false">V20*Ratio!V120</f>
        <v>0.0325592870896081</v>
      </c>
      <c r="W52" s="96" t="n">
        <f aca="false">W20*Ratio!W120</f>
        <v>0.0332210835356635</v>
      </c>
      <c r="X52" s="74" t="n">
        <f aca="false">X20*Ratio!X120</f>
        <v>0.0397010076054219</v>
      </c>
      <c r="Y52" s="75" t="n">
        <f aca="false">Y20*Ratio!Y120</f>
        <v>0.0258821029245907</v>
      </c>
      <c r="Z52" s="31" t="n">
        <f aca="false">Z20*Ratio!Z120</f>
        <v>0.0357437070199023</v>
      </c>
      <c r="AA52" s="96" t="n">
        <f aca="false">AA20*Ratio!AA120</f>
        <v>0.0565199185971427</v>
      </c>
      <c r="AB52" s="31" t="n">
        <f aca="false">AB20*Ratio!AB120</f>
        <v>0.0581013382065216</v>
      </c>
      <c r="AC52" s="76" t="n">
        <f aca="false">AC20*Ratio!AC120</f>
        <v>0.0145045419027658</v>
      </c>
      <c r="AD52" s="75" t="n">
        <f aca="false">AD20*Ratio!AD120</f>
        <v>0.00862187860587448</v>
      </c>
      <c r="AE52" s="31" t="n">
        <f aca="false">AE20*Ratio!AE120</f>
        <v>0.00863464152602901</v>
      </c>
      <c r="AF52" s="96" t="n">
        <f aca="false">AF20*Ratio!AF120</f>
        <v>0.00866965230057924</v>
      </c>
      <c r="AG52" s="31" t="n">
        <f aca="false">AG20*Ratio!AG120</f>
        <v>0.00967448232647798</v>
      </c>
      <c r="AH52" s="31" t="n">
        <f aca="false">AH20*Ratio!AH120</f>
        <v>0.0416728908515246</v>
      </c>
      <c r="AI52" s="74" t="n">
        <f aca="false">AI20*Ratio!AI120</f>
        <v>0.033238902313164</v>
      </c>
      <c r="AJ52" s="75" t="n">
        <f aca="false">AJ20*Ratio!AJ120</f>
        <v>0.045219930231575</v>
      </c>
      <c r="AK52" s="31" t="n">
        <f aca="false">AK20*Ratio!AK120</f>
        <v>0.0345740780324815</v>
      </c>
      <c r="AL52" s="96" t="n">
        <f aca="false">AL20*Ratio!AL120</f>
        <v>0.0359540948030297</v>
      </c>
      <c r="AM52" s="31" t="n">
        <f aca="false">AM20*Ratio!AM120</f>
        <v>0.0385805237175611</v>
      </c>
      <c r="AN52" s="76" t="n">
        <f aca="false">AN20*Ratio!AN120</f>
        <v>0.0733459361290663</v>
      </c>
      <c r="AO52" s="75" t="n">
        <f aca="false">AO20*Ratio!AO120</f>
        <v>0.0472080957067325</v>
      </c>
      <c r="AP52" s="31" t="n">
        <f aca="false">AP20*Ratio!AP120</f>
        <v>0.0933145349542738</v>
      </c>
      <c r="AQ52" s="96" t="n">
        <f aca="false">AQ20*Ratio!AQ120</f>
        <v>0.0891095001432041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A933"/>
    <pageSetUpPr fitToPage="false"/>
  </sheetPr>
  <dimension ref="A1:AR132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B41" activePane="bottomRight" state="frozen"/>
      <selection pane="topLeft" activeCell="A1" activeCellId="0" sqref="A1"/>
      <selection pane="topRight" activeCell="B1" activeCellId="0" sqref="B1"/>
      <selection pane="bottomLeft" activeCell="A41" activeCellId="0" sqref="A41"/>
      <selection pane="bottomRight" activeCell="J98" activeCellId="0" sqref="J9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69"/>
    <col collapsed="false" customWidth="true" hidden="false" outlineLevel="0" max="2" min="2" style="1" width="13.45"/>
    <col collapsed="false" customWidth="true" hidden="false" outlineLevel="0" max="3" min="3" style="22" width="13.6"/>
    <col collapsed="false" customWidth="true" hidden="false" outlineLevel="0" max="8" min="4" style="1" width="13.6"/>
    <col collapsed="false" customWidth="true" hidden="false" outlineLevel="0" max="9" min="9" style="42" width="13.6"/>
    <col collapsed="false" customWidth="true" hidden="false" outlineLevel="0" max="10" min="10" style="21" width="13.6"/>
    <col collapsed="false" customWidth="true" hidden="false" outlineLevel="0" max="11" min="11" style="22" width="13.6"/>
    <col collapsed="false" customWidth="true" hidden="false" outlineLevel="0" max="15" min="12" style="1" width="13.6"/>
    <col collapsed="false" customWidth="true" hidden="false" outlineLevel="0" max="16" min="16" style="42" width="13.6"/>
    <col collapsed="false" customWidth="true" hidden="false" outlineLevel="0" max="17" min="17" style="21" width="13.6"/>
    <col collapsed="false" customWidth="true" hidden="false" outlineLevel="0" max="23" min="18" style="1" width="13.6"/>
    <col collapsed="false" customWidth="true" hidden="false" outlineLevel="0" max="24" min="24" style="42" width="13.6"/>
    <col collapsed="false" customWidth="true" hidden="false" outlineLevel="0" max="25" min="25" style="21" width="13.6"/>
    <col collapsed="false" customWidth="true" hidden="false" outlineLevel="0" max="28" min="26" style="1" width="13.6"/>
    <col collapsed="false" customWidth="true" hidden="false" outlineLevel="0" max="29" min="29" style="42" width="13.6"/>
    <col collapsed="false" customWidth="true" hidden="false" outlineLevel="0" max="30" min="30" style="21" width="13.6"/>
    <col collapsed="false" customWidth="true" hidden="false" outlineLevel="0" max="34" min="31" style="1" width="13.6"/>
    <col collapsed="false" customWidth="true" hidden="false" outlineLevel="0" max="35" min="35" style="42" width="13.6"/>
    <col collapsed="false" customWidth="true" hidden="false" outlineLevel="0" max="36" min="36" style="21" width="14.2"/>
    <col collapsed="false" customWidth="true" hidden="false" outlineLevel="0" max="37" min="37" style="1" width="14.2"/>
    <col collapsed="false" customWidth="true" hidden="false" outlineLevel="0" max="39" min="38" style="1" width="13.6"/>
    <col collapsed="false" customWidth="true" hidden="false" outlineLevel="0" max="40" min="40" style="42" width="13.6"/>
    <col collapsed="false" customWidth="true" hidden="false" outlineLevel="0" max="42" min="41" style="1" width="13.6"/>
    <col collapsed="false" customWidth="true" hidden="false" outlineLevel="0" max="44" min="43" style="1" width="12.97"/>
  </cols>
  <sheetData>
    <row r="1" customFormat="false" ht="12.8" hidden="false" customHeight="false" outlineLevel="0" collapsed="false">
      <c r="A1" s="180" t="s">
        <v>209</v>
      </c>
      <c r="B1" s="203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24" t="s">
        <v>79</v>
      </c>
    </row>
    <row r="2" customFormat="false" ht="12.8" hidden="false" customHeight="false" outlineLevel="0" collapsed="false">
      <c r="A2" s="18"/>
      <c r="B2" s="18"/>
      <c r="C2" s="204" t="s">
        <v>222</v>
      </c>
      <c r="D2" s="204"/>
      <c r="E2" s="204"/>
      <c r="F2" s="204"/>
      <c r="G2" s="204"/>
      <c r="H2" s="204"/>
      <c r="I2" s="204"/>
      <c r="J2" s="46"/>
      <c r="K2" s="27"/>
      <c r="L2" s="23"/>
      <c r="M2" s="19"/>
      <c r="N2" s="19"/>
      <c r="O2" s="23"/>
      <c r="P2" s="47"/>
      <c r="Q2" s="46"/>
      <c r="R2" s="23"/>
      <c r="S2" s="19"/>
      <c r="T2" s="23"/>
      <c r="U2" s="23"/>
      <c r="V2" s="28"/>
      <c r="W2" s="28"/>
      <c r="X2" s="45"/>
      <c r="Y2" s="46"/>
      <c r="Z2" s="23"/>
      <c r="AA2" s="19"/>
      <c r="AB2" s="23"/>
      <c r="AC2" s="47"/>
      <c r="AD2" s="46"/>
      <c r="AE2" s="23"/>
      <c r="AF2" s="19"/>
      <c r="AG2" s="23"/>
      <c r="AH2" s="23"/>
      <c r="AI2" s="45"/>
      <c r="AJ2" s="46"/>
      <c r="AK2" s="23"/>
      <c r="AL2" s="23"/>
      <c r="AM2" s="23"/>
      <c r="AN2" s="47"/>
      <c r="AO2" s="46"/>
      <c r="AP2" s="23"/>
    </row>
    <row r="3" customFormat="false" ht="38.2" hidden="false" customHeight="true" outlineLevel="0" collapsed="false">
      <c r="A3" s="205" t="s">
        <v>223</v>
      </c>
      <c r="B3" s="16" t="s">
        <v>105</v>
      </c>
      <c r="C3" s="104" t="s">
        <v>106</v>
      </c>
      <c r="D3" s="104" t="s">
        <v>107</v>
      </c>
      <c r="E3" s="104" t="s">
        <v>108</v>
      </c>
      <c r="F3" s="104" t="s">
        <v>109</v>
      </c>
      <c r="G3" s="137" t="s">
        <v>224</v>
      </c>
      <c r="H3" s="107"/>
      <c r="I3" s="145" t="s">
        <v>111</v>
      </c>
      <c r="J3" s="104"/>
      <c r="K3" s="16"/>
      <c r="L3" s="146"/>
      <c r="M3" s="24"/>
      <c r="N3" s="24"/>
      <c r="O3" s="146"/>
      <c r="P3" s="206"/>
      <c r="Q3" s="104"/>
      <c r="R3" s="146"/>
      <c r="S3" s="24"/>
      <c r="T3" s="146"/>
      <c r="U3" s="146"/>
      <c r="V3" s="24"/>
      <c r="W3" s="24"/>
      <c r="X3" s="207"/>
      <c r="Y3" s="104"/>
      <c r="Z3" s="146"/>
      <c r="AA3" s="24"/>
      <c r="AB3" s="146"/>
      <c r="AC3" s="206"/>
      <c r="AD3" s="104"/>
      <c r="AE3" s="146"/>
      <c r="AF3" s="24"/>
      <c r="AG3" s="146"/>
      <c r="AH3" s="146"/>
      <c r="AI3" s="207"/>
      <c r="AJ3" s="104"/>
      <c r="AK3" s="146"/>
      <c r="AL3" s="146"/>
      <c r="AM3" s="146"/>
      <c r="AN3" s="206"/>
      <c r="AO3" s="104"/>
      <c r="AP3" s="146"/>
      <c r="AQ3" s="208"/>
      <c r="AR3" s="208"/>
    </row>
    <row r="4" customFormat="false" ht="12.8" hidden="false" customHeight="false" outlineLevel="0" collapsed="false">
      <c r="A4" s="139" t="s">
        <v>24</v>
      </c>
      <c r="B4" s="140" t="n">
        <f aca="false">SLOPE('Historical Prices Outview - ALL'!C31:AR31,'Historical Prices Outview - ALL'!C90:AR90)</f>
        <v>3.91824688637975</v>
      </c>
      <c r="C4" s="140" t="n">
        <f aca="false">SLOPE('Historical Prices Outview - ALL'!C31:AJ31,'Historical Prices Outview - ALL'!C90:AJ90)</f>
        <v>4.24742503345095</v>
      </c>
      <c r="D4" s="140" t="n">
        <f aca="false">SLOPE('Historical Prices Outview - ALL'!C31:AD31,'Historical Prices Outview - ALL'!C90:AD90)</f>
        <v>4.60498181729156</v>
      </c>
      <c r="E4" s="140" t="n">
        <f aca="false">SLOPE('Historical Prices Outview - ALL'!C31:Y31,'Historical Prices Outview - ALL'!C90:Y90)</f>
        <v>4.50767325125715</v>
      </c>
      <c r="F4" s="140" t="n">
        <f aca="false">SLOPE('Historical Prices Outview - ALL'!C31:Q31,'Historical Prices Outview - ALL'!C90:Q90)</f>
        <v>4.35993604899089</v>
      </c>
      <c r="G4" s="140" t="n">
        <f aca="false">SLOPE('Historical Prices Outview - ALL'!C31:L31,'Historical Prices Outview - ALL'!C90:L90)</f>
        <v>4.25470313915864</v>
      </c>
      <c r="H4" s="107"/>
      <c r="I4" s="111" t="n">
        <f aca="false">AVERAGE(B4/2,C4:F4,G4/2)</f>
        <v>3.63441519395996</v>
      </c>
      <c r="J4" s="46"/>
      <c r="K4" s="27"/>
      <c r="L4" s="23"/>
      <c r="M4" s="19"/>
      <c r="N4" s="19"/>
      <c r="O4" s="23"/>
      <c r="P4" s="47"/>
      <c r="Q4" s="46"/>
      <c r="R4" s="23"/>
      <c r="S4" s="19"/>
      <c r="T4" s="23"/>
      <c r="U4" s="23"/>
      <c r="V4" s="19"/>
      <c r="W4" s="19"/>
      <c r="X4" s="45"/>
      <c r="Y4" s="46"/>
      <c r="Z4" s="23"/>
      <c r="AA4" s="19"/>
      <c r="AB4" s="23"/>
      <c r="AC4" s="47"/>
      <c r="AD4" s="46"/>
      <c r="AE4" s="23"/>
      <c r="AF4" s="19"/>
      <c r="AG4" s="23"/>
      <c r="AH4" s="23"/>
      <c r="AI4" s="45"/>
      <c r="AJ4" s="46"/>
      <c r="AK4" s="23"/>
      <c r="AL4" s="23"/>
      <c r="AM4" s="23"/>
      <c r="AN4" s="47"/>
      <c r="AO4" s="46"/>
      <c r="AP4" s="23"/>
    </row>
    <row r="5" customFormat="false" ht="12.8" hidden="false" customHeight="false" outlineLevel="0" collapsed="false">
      <c r="A5" s="139" t="s">
        <v>180</v>
      </c>
      <c r="B5" s="140" t="n">
        <f aca="false">SLOPE('Historical Prices Outview - ALL'!C37:AR37,'Historical Prices Outview - ALL'!C90:AR90)</f>
        <v>0.0297793374911306</v>
      </c>
      <c r="C5" s="140" t="n">
        <f aca="false">SLOPE('Historical Prices Outview - ALL'!C37:AJ37,'Historical Prices Outview - ALL'!C90:AJ90)</f>
        <v>0.0275769678634347</v>
      </c>
      <c r="D5" s="140" t="n">
        <f aca="false">SLOPE('Historical Prices Outview - ALL'!C37:AC37,'Historical Prices Outview - ALL'!C90:AC90)</f>
        <v>0.0191806681487904</v>
      </c>
      <c r="E5" s="140" t="n">
        <f aca="false">SLOPE('Historical Prices Outview - ALL'!C37:Y37,'Historical Prices Outview - ALL'!C90:Y90)</f>
        <v>0.0159646939847267</v>
      </c>
      <c r="F5" s="140" t="n">
        <f aca="false">SLOPE('Historical Prices Outview - ALL'!C37:Q37,'Historical Prices Outview - ALL'!C90:Q90)</f>
        <v>0.00683774660940512</v>
      </c>
      <c r="G5" s="140" t="n">
        <f aca="false">SLOPE('Historical Prices Outview - ALL'!C37:L37,'Historical Prices Outview - ALL'!C90:L90)</f>
        <v>0.00408964637297014</v>
      </c>
      <c r="H5" s="107"/>
      <c r="I5" s="111" t="n">
        <f aca="false">AVERAGE(B5/2,C5:F5,G5/2)</f>
        <v>0.0144157614230679</v>
      </c>
      <c r="J5" s="46"/>
      <c r="K5" s="27"/>
      <c r="L5" s="23"/>
      <c r="M5" s="19"/>
      <c r="N5" s="19"/>
      <c r="O5" s="23"/>
      <c r="P5" s="47"/>
      <c r="Q5" s="46"/>
      <c r="R5" s="23"/>
      <c r="S5" s="19"/>
      <c r="T5" s="23"/>
      <c r="U5" s="23"/>
      <c r="V5" s="19"/>
      <c r="W5" s="19"/>
      <c r="X5" s="45"/>
      <c r="Y5" s="46"/>
      <c r="Z5" s="23"/>
      <c r="AA5" s="19"/>
      <c r="AB5" s="23"/>
      <c r="AC5" s="47"/>
      <c r="AD5" s="46"/>
      <c r="AE5" s="23"/>
      <c r="AF5" s="19"/>
      <c r="AG5" s="23"/>
      <c r="AH5" s="23"/>
      <c r="AI5" s="45"/>
      <c r="AJ5" s="46"/>
      <c r="AK5" s="23"/>
      <c r="AL5" s="23"/>
      <c r="AM5" s="23"/>
      <c r="AN5" s="47"/>
      <c r="AO5" s="46"/>
      <c r="AP5" s="23"/>
    </row>
    <row r="6" customFormat="false" ht="12.8" hidden="false" customHeight="false" outlineLevel="0" collapsed="false">
      <c r="A6" s="139" t="s">
        <v>181</v>
      </c>
      <c r="B6" s="140" t="n">
        <f aca="false">SLOPE('Historical Prices Outview - ALL'!C46:AR46,'Historical Prices Outview - ALL'!C90:AR90)</f>
        <v>6.34504595685112</v>
      </c>
      <c r="C6" s="140" t="n">
        <f aca="false">SLOPE('Historical Prices Outview - ALL'!C46:AJ46,'Historical Prices Outview - ALL'!C90:AJ90)</f>
        <v>6.757502468284</v>
      </c>
      <c r="D6" s="140" t="n">
        <f aca="false">SLOPE('Historical Prices Outview - ALL'!C46:AC46,'Historical Prices Outview - ALL'!C90:AC90)</f>
        <v>6.71870452266972</v>
      </c>
      <c r="E6" s="140" t="n">
        <f aca="false">SLOPE('Historical Prices Outview - ALL'!C46:Y46,'Historical Prices Outview - ALL'!C90:Y90)</f>
        <v>6.65413818742251</v>
      </c>
      <c r="F6" s="140" t="n">
        <f aca="false">SLOPE('Historical Prices Outview - ALL'!C46:Q46,'Historical Prices Outview - ALL'!C90:Q90)</f>
        <v>6.12316331873077</v>
      </c>
      <c r="G6" s="140" t="n">
        <f aca="false">SLOPE('Historical Prices Outview - ALL'!C46:L46,'Historical Prices Outview - ALL'!C90:L90)</f>
        <v>5.72696581064619</v>
      </c>
      <c r="H6" s="107"/>
      <c r="I6" s="111" t="n">
        <f aca="false">AVERAGE(B6/2,C6:F6,G6/2)</f>
        <v>5.38158573014261</v>
      </c>
      <c r="J6" s="46"/>
      <c r="K6" s="27"/>
      <c r="L6" s="23"/>
      <c r="M6" s="19"/>
      <c r="N6" s="19"/>
      <c r="O6" s="23"/>
      <c r="P6" s="47"/>
      <c r="Q6" s="46"/>
      <c r="R6" s="23"/>
      <c r="S6" s="19"/>
      <c r="T6" s="23"/>
      <c r="U6" s="23"/>
      <c r="V6" s="19"/>
      <c r="W6" s="19"/>
      <c r="X6" s="45"/>
      <c r="Y6" s="46"/>
      <c r="Z6" s="23"/>
      <c r="AA6" s="19"/>
      <c r="AB6" s="23"/>
      <c r="AC6" s="47"/>
      <c r="AD6" s="46"/>
      <c r="AE6" s="23"/>
      <c r="AF6" s="19"/>
      <c r="AG6" s="23"/>
      <c r="AH6" s="23"/>
      <c r="AI6" s="45"/>
      <c r="AJ6" s="46"/>
      <c r="AK6" s="23"/>
      <c r="AL6" s="23"/>
      <c r="AM6" s="23"/>
      <c r="AN6" s="47"/>
      <c r="AO6" s="46"/>
      <c r="AP6" s="23"/>
    </row>
    <row r="7" customFormat="false" ht="12.8" hidden="false" customHeight="false" outlineLevel="0" collapsed="false">
      <c r="A7" s="139" t="s">
        <v>30</v>
      </c>
      <c r="B7" s="140" t="n">
        <f aca="false">SLOPE('Historical Prices Outview - ALL'!C4:AR4,'Historical Prices Outview - ALL'!C90:AR90)</f>
        <v>2.91750098287425</v>
      </c>
      <c r="C7" s="140" t="n">
        <f aca="false">SLOPE('Historical Prices Outview - ALL'!C4:AJ4,'Historical Prices Outview - ALL'!C90:AJ90)</f>
        <v>2.43966488966486</v>
      </c>
      <c r="D7" s="140" t="n">
        <f aca="false">SLOPE('Historical Prices Outview - ALL'!C4:AC4,'Historical Prices Outview - ALL'!C90:AC90)</f>
        <v>1.89567587686851</v>
      </c>
      <c r="E7" s="140" t="n">
        <f aca="false">SLOPE('Historical Prices Outview - ALL'!C4:Y4,'Historical Prices Outview - ALL'!C90:Y90)</f>
        <v>1.86365621893683</v>
      </c>
      <c r="F7" s="140" t="n">
        <f aca="false">SLOPE('Historical Prices Outview - ALL'!C4:Q4,'Historical Prices Outview - ALL'!C90:Q90)</f>
        <v>1.69042475056624</v>
      </c>
      <c r="G7" s="140" t="n">
        <f aca="false">SLOPE('Historical Prices Outview - ALL'!C4:L4,'Historical Prices Outview - ALL'!C90:L90)</f>
        <v>1.62487136786173</v>
      </c>
      <c r="H7" s="107"/>
      <c r="I7" s="111" t="n">
        <f aca="false">AVERAGE(B7/2,C7:F7,G7/2)</f>
        <v>1.69343465190074</v>
      </c>
      <c r="J7" s="46"/>
      <c r="K7" s="27"/>
      <c r="L7" s="23"/>
      <c r="M7" s="19"/>
      <c r="N7" s="19"/>
      <c r="O7" s="23"/>
      <c r="P7" s="47"/>
      <c r="Q7" s="46"/>
      <c r="R7" s="23"/>
      <c r="S7" s="19"/>
      <c r="T7" s="23"/>
      <c r="U7" s="23"/>
      <c r="V7" s="19"/>
      <c r="W7" s="19"/>
      <c r="X7" s="45"/>
      <c r="Y7" s="46"/>
      <c r="Z7" s="23"/>
      <c r="AA7" s="19"/>
      <c r="AB7" s="23"/>
      <c r="AC7" s="47"/>
      <c r="AD7" s="46"/>
      <c r="AE7" s="23"/>
      <c r="AF7" s="19"/>
      <c r="AG7" s="23"/>
      <c r="AH7" s="23"/>
      <c r="AI7" s="45"/>
      <c r="AJ7" s="46"/>
      <c r="AK7" s="23"/>
      <c r="AL7" s="23"/>
      <c r="AM7" s="23"/>
      <c r="AN7" s="47"/>
      <c r="AO7" s="46"/>
      <c r="AP7" s="23"/>
    </row>
    <row r="8" customFormat="false" ht="12.8" hidden="false" customHeight="false" outlineLevel="0" collapsed="false">
      <c r="A8" s="139" t="s">
        <v>182</v>
      </c>
      <c r="B8" s="140" t="n">
        <f aca="false">SLOPE('Historical Prices Outview - ALL'!C70:AR70,'Historical Prices Outview - ALL'!C90:AR90)</f>
        <v>0.139504575223917</v>
      </c>
      <c r="C8" s="140" t="n">
        <f aca="false">SLOPE('Historical Prices Outview - ALL'!C70:AJ70,'Historical Prices Outview - ALL'!C90:AJ90)</f>
        <v>0.167629480515678</v>
      </c>
      <c r="D8" s="140" t="n">
        <f aca="false">SLOPE('Historical Prices Outview - ALL'!C70:AC70,'Historical Prices Outview - ALL'!C90:AC90)</f>
        <v>0.167486736019387</v>
      </c>
      <c r="E8" s="140" t="n">
        <f aca="false">SLOPE('Historical Prices Outview - ALL'!C70:Y70,'Historical Prices Outview - ALL'!C90:Y90)</f>
        <v>0.16440367747636</v>
      </c>
      <c r="F8" s="140" t="n">
        <f aca="false">SLOPE('Historical Prices Outview - ALL'!C70:Q70,'Historical Prices Outview - ALL'!C90:Q90)</f>
        <v>0.190904031779644</v>
      </c>
      <c r="G8" s="140" t="n">
        <f aca="false">SLOPE('Historical Prices Outview - ALL'!C70:L70,'Historical Prices Outview - ALL'!C90:L90)</f>
        <v>0.200309222937799</v>
      </c>
      <c r="H8" s="107"/>
      <c r="I8" s="111" t="n">
        <f aca="false">AVERAGE(B8/2,C8:F8,G8/2)</f>
        <v>0.143388470811988</v>
      </c>
      <c r="J8" s="46"/>
      <c r="K8" s="27"/>
      <c r="L8" s="23"/>
      <c r="M8" s="19"/>
      <c r="N8" s="19"/>
      <c r="O8" s="23"/>
      <c r="P8" s="47"/>
      <c r="Q8" s="46"/>
      <c r="R8" s="23"/>
      <c r="S8" s="19"/>
      <c r="T8" s="23"/>
      <c r="U8" s="23"/>
      <c r="V8" s="19"/>
      <c r="W8" s="19"/>
      <c r="X8" s="45"/>
      <c r="Y8" s="46"/>
      <c r="Z8" s="23"/>
      <c r="AA8" s="19"/>
      <c r="AB8" s="23"/>
      <c r="AC8" s="47"/>
      <c r="AD8" s="46"/>
      <c r="AE8" s="23"/>
      <c r="AF8" s="19"/>
      <c r="AG8" s="23"/>
      <c r="AH8" s="23"/>
      <c r="AI8" s="45"/>
      <c r="AJ8" s="46"/>
      <c r="AK8" s="23"/>
      <c r="AL8" s="23"/>
      <c r="AM8" s="23"/>
      <c r="AN8" s="47"/>
      <c r="AO8" s="46"/>
      <c r="AP8" s="23"/>
    </row>
    <row r="9" customFormat="false" ht="12.8" hidden="false" customHeight="false" outlineLevel="0" collapsed="false">
      <c r="A9" s="139" t="s">
        <v>27</v>
      </c>
      <c r="B9" s="140" t="n">
        <f aca="false">SLOPE('Historical Prices Outview - ALL'!C40:AR40,'Historical Prices Outview - ALL'!C90:AR90)</f>
        <v>5.14603475632232</v>
      </c>
      <c r="C9" s="140" t="n">
        <f aca="false">SLOPE('Historical Prices Outview - ALL'!C40:AJ40,'Historical Prices Outview - ALL'!C90:AJ90)</f>
        <v>4.1511265340444</v>
      </c>
      <c r="D9" s="140" t="n">
        <f aca="false">SLOPE('Historical Prices Outview - ALL'!C40:AC40,'Historical Prices Outview - ALL'!C90:AC90)</f>
        <v>4.94359791248778</v>
      </c>
      <c r="E9" s="140" t="n">
        <f aca="false">SLOPE('Historical Prices Outview - ALL'!C40:Y40,'Historical Prices Outview - ALL'!C90:Y90)</f>
        <v>5.95135622856726</v>
      </c>
      <c r="F9" s="140" t="n">
        <f aca="false">SLOPE('Historical Prices Outview - ALL'!C40:Q40,'Historical Prices Outview - ALL'!C90:Q90)</f>
        <v>7.12516709171844</v>
      </c>
      <c r="G9" s="140" t="n">
        <f aca="false">SLOPE('Historical Prices Outview - ALL'!C40:L40,'Historical Prices Outview - ALL'!C90:L90)</f>
        <v>8.34158617772417</v>
      </c>
      <c r="H9" s="107"/>
      <c r="I9" s="111" t="n">
        <f aca="false">AVERAGE(B9/2,C9:F9,G9/2)</f>
        <v>4.81917637230685</v>
      </c>
      <c r="J9" s="46"/>
      <c r="K9" s="27"/>
      <c r="L9" s="23"/>
      <c r="M9" s="19"/>
      <c r="N9" s="19"/>
      <c r="O9" s="23"/>
      <c r="P9" s="47"/>
      <c r="Q9" s="46"/>
      <c r="R9" s="23"/>
      <c r="S9" s="19"/>
      <c r="T9" s="23"/>
      <c r="U9" s="23"/>
      <c r="V9" s="19"/>
      <c r="W9" s="19"/>
      <c r="X9" s="45"/>
      <c r="Y9" s="46"/>
      <c r="Z9" s="23"/>
      <c r="AA9" s="19"/>
      <c r="AB9" s="23"/>
      <c r="AC9" s="47"/>
      <c r="AD9" s="46"/>
      <c r="AE9" s="23"/>
      <c r="AF9" s="19"/>
      <c r="AG9" s="23"/>
      <c r="AH9" s="23"/>
      <c r="AI9" s="45"/>
      <c r="AJ9" s="46"/>
      <c r="AK9" s="23"/>
      <c r="AL9" s="23"/>
      <c r="AM9" s="23"/>
      <c r="AN9" s="47"/>
      <c r="AO9" s="46"/>
      <c r="AP9" s="23"/>
    </row>
    <row r="10" customFormat="false" ht="12.8" hidden="false" customHeight="false" outlineLevel="0" collapsed="false">
      <c r="A10" s="139" t="s">
        <v>184</v>
      </c>
      <c r="B10" s="140" t="n">
        <f aca="false">SLOPE('Historical Prices Outview - ALL'!C16:AR16,'Historical Prices Outview - ALL'!C90:AR90)</f>
        <v>0.128700500268279</v>
      </c>
      <c r="C10" s="140" t="n">
        <f aca="false">SLOPE('Historical Prices Outview - ALL'!C16:AJ16,'Historical Prices Outview - ALL'!C90:AJ90)</f>
        <v>0.111166366207426</v>
      </c>
      <c r="D10" s="140" t="n">
        <f aca="false">SLOPE('Historical Prices Outview - ALL'!C16:AC16,'Historical Prices Outview - ALL'!C90:AC90)</f>
        <v>0.0836737423783493</v>
      </c>
      <c r="E10" s="140" t="n">
        <f aca="false">SLOPE('Historical Prices Outview - ALL'!C16:Y16,'Historical Prices Outview - ALL'!C90:Y90)</f>
        <v>0.0901380095452702</v>
      </c>
      <c r="F10" s="140" t="n">
        <f aca="false">SLOPE('Historical Prices Outview - ALL'!C16:Q16,'Historical Prices Outview - ALL'!C90:Q90)</f>
        <v>0.135135202451525</v>
      </c>
      <c r="G10" s="140" t="n">
        <f aca="false">SLOPE('Historical Prices Outview - ALL'!C16:L16,'Historical Prices Outview - ALL'!C90:L90)</f>
        <v>0.150374904451638</v>
      </c>
      <c r="H10" s="107"/>
      <c r="I10" s="111" t="n">
        <f aca="false">AVERAGE(B10/2,C10:F10,G10/2)</f>
        <v>0.0932751704904216</v>
      </c>
      <c r="J10" s="46"/>
      <c r="K10" s="27"/>
      <c r="L10" s="23"/>
      <c r="M10" s="19"/>
      <c r="N10" s="19"/>
      <c r="O10" s="23"/>
      <c r="P10" s="47"/>
      <c r="Q10" s="46"/>
      <c r="R10" s="23"/>
      <c r="S10" s="19"/>
      <c r="T10" s="23"/>
      <c r="U10" s="23"/>
      <c r="V10" s="19"/>
      <c r="W10" s="19"/>
      <c r="X10" s="45"/>
      <c r="Y10" s="46"/>
      <c r="Z10" s="23"/>
      <c r="AA10" s="19"/>
      <c r="AB10" s="23"/>
      <c r="AC10" s="47"/>
      <c r="AD10" s="46"/>
      <c r="AE10" s="23"/>
      <c r="AF10" s="19"/>
      <c r="AG10" s="23"/>
      <c r="AH10" s="23"/>
      <c r="AI10" s="45"/>
      <c r="AJ10" s="46"/>
      <c r="AK10" s="23"/>
      <c r="AL10" s="23"/>
      <c r="AM10" s="23"/>
      <c r="AN10" s="47"/>
      <c r="AO10" s="46"/>
      <c r="AP10" s="23"/>
    </row>
    <row r="11" customFormat="false" ht="23.85" hidden="false" customHeight="false" outlineLevel="0" collapsed="false">
      <c r="A11" s="108" t="s">
        <v>225</v>
      </c>
      <c r="B11" s="140" t="n">
        <f aca="false">SLOPE('Historical Prices Outview - ALL'!C79:AR79,'Historical Prices Outview - ALL'!C90:AR90)</f>
        <v>1.13090714302447</v>
      </c>
      <c r="C11" s="140" t="n">
        <f aca="false">SLOPE('Historical Prices Outview - ALL'!C79:AJ79,'Historical Prices Outview - ALL'!C90:AJ90)</f>
        <v>1.29405272443695</v>
      </c>
      <c r="D11" s="140" t="n">
        <f aca="false">SLOPE('Historical Prices Outview - ALL'!C79:AC79,'Historical Prices Outview - ALL'!C90:AC90)</f>
        <v>1.36083438405975</v>
      </c>
      <c r="E11" s="140" t="n">
        <f aca="false">SLOPE('Historical Prices Outview - ALL'!C79:Y79,'Historical Prices Outview - ALL'!C90:Y90)</f>
        <v>1.26215346408247</v>
      </c>
      <c r="F11" s="140" t="n">
        <f aca="false">SLOPE('Historical Prices Outview - ALL'!C79:Q79,'Historical Prices Outview - ALL'!C90:Q90)</f>
        <v>0.775232286025681</v>
      </c>
      <c r="G11" s="140" t="n">
        <f aca="false">SLOPE('Historical Prices Outview - ALL'!C79:L79,'Historical Prices Outview - ALL'!C90:L90)</f>
        <v>0.543042050977302</v>
      </c>
      <c r="H11" s="107"/>
      <c r="I11" s="111" t="n">
        <f aca="false">AVERAGE(B11/2,C11:F11,G11/2)</f>
        <v>0.921541242600956</v>
      </c>
      <c r="J11" s="46"/>
      <c r="K11" s="27"/>
      <c r="L11" s="23"/>
      <c r="M11" s="19"/>
      <c r="N11" s="19"/>
      <c r="O11" s="23"/>
      <c r="P11" s="47"/>
      <c r="Q11" s="46"/>
      <c r="R11" s="23"/>
      <c r="S11" s="19"/>
      <c r="T11" s="23"/>
      <c r="U11" s="23"/>
      <c r="V11" s="19"/>
      <c r="W11" s="19"/>
      <c r="X11" s="45"/>
      <c r="Y11" s="46"/>
      <c r="Z11" s="23"/>
      <c r="AA11" s="19"/>
      <c r="AB11" s="23"/>
      <c r="AC11" s="47"/>
      <c r="AD11" s="46"/>
      <c r="AE11" s="23"/>
      <c r="AF11" s="19"/>
      <c r="AG11" s="23"/>
      <c r="AH11" s="23"/>
      <c r="AI11" s="45"/>
      <c r="AJ11" s="46"/>
      <c r="AK11" s="23"/>
      <c r="AL11" s="23"/>
      <c r="AM11" s="23"/>
      <c r="AN11" s="47"/>
      <c r="AO11" s="46"/>
      <c r="AP11" s="23"/>
    </row>
    <row r="12" customFormat="false" ht="23.85" hidden="false" customHeight="false" outlineLevel="0" collapsed="false">
      <c r="A12" s="108" t="s">
        <v>226</v>
      </c>
      <c r="B12" s="140" t="n">
        <f aca="false">SLOPE('Historical Prices Outview - ALL'!C69:AR69,'Historical Prices Outview - ALL'!C90:AR90)</f>
        <v>0.123435115778822</v>
      </c>
      <c r="C12" s="140" t="n">
        <f aca="false">SLOPE('Historical Prices Outview - ALL'!C69:AJ69,'Historical Prices Outview - ALL'!C90:AJ90)</f>
        <v>0.0960464500249106</v>
      </c>
      <c r="D12" s="140" t="n">
        <f aca="false">SLOPE('Historical Prices Outview - ALL'!C69:AC69,'Historical Prices Outview - ALL'!C90:AC90)</f>
        <v>0.129649472254409</v>
      </c>
      <c r="E12" s="140" t="n">
        <f aca="false">SLOPE('Historical Prices Outview - ALL'!C69:Y69,'Historical Prices Outview - ALL'!C90:Y90)</f>
        <v>0.170349629991979</v>
      </c>
      <c r="F12" s="140" t="n">
        <f aca="false">SLOPE('Historical Prices Outview - ALL'!C69:Q69,'Historical Prices Outview - ALL'!C90:Q90)</f>
        <v>0.25500651399568</v>
      </c>
      <c r="G12" s="140" t="n">
        <f aca="false">SLOPE('Historical Prices Outview - ALL'!C69:L69,'Historical Prices Outview - ALL'!C90:L90)</f>
        <v>0.266403142258523</v>
      </c>
      <c r="H12" s="107"/>
      <c r="I12" s="111" t="n">
        <f aca="false">AVERAGE(B12/2,C12:F12,G12/2)</f>
        <v>0.140995199214275</v>
      </c>
      <c r="J12" s="46"/>
      <c r="K12" s="27"/>
      <c r="L12" s="23"/>
      <c r="M12" s="19"/>
      <c r="N12" s="19"/>
      <c r="O12" s="23"/>
      <c r="P12" s="47"/>
      <c r="Q12" s="46"/>
      <c r="R12" s="23"/>
      <c r="S12" s="19"/>
      <c r="T12" s="23"/>
      <c r="U12" s="23"/>
      <c r="V12" s="19"/>
      <c r="W12" s="19"/>
      <c r="X12" s="45"/>
      <c r="Y12" s="46"/>
      <c r="Z12" s="23"/>
      <c r="AA12" s="19"/>
      <c r="AB12" s="23"/>
      <c r="AC12" s="47"/>
      <c r="AD12" s="46"/>
      <c r="AE12" s="23"/>
      <c r="AF12" s="19"/>
      <c r="AG12" s="23"/>
      <c r="AH12" s="23"/>
      <c r="AI12" s="45"/>
      <c r="AJ12" s="46"/>
      <c r="AK12" s="23"/>
      <c r="AL12" s="23"/>
      <c r="AM12" s="23"/>
      <c r="AN12" s="47"/>
      <c r="AO12" s="46"/>
      <c r="AP12" s="23"/>
    </row>
    <row r="13" customFormat="false" ht="12.8" hidden="false" customHeight="false" outlineLevel="0" collapsed="false">
      <c r="A13" s="139" t="s">
        <v>186</v>
      </c>
      <c r="B13" s="140" t="n">
        <f aca="false">SLOPE('Historical Prices Outview - ALL'!C36:AR36,'Historical Prices Outview - ALL'!C90:AR90)</f>
        <v>0.473761684213134</v>
      </c>
      <c r="C13" s="140" t="n">
        <f aca="false">SLOPE('Historical Prices Outview - ALL'!C36:AJ36,'Historical Prices Outview - ALL'!C90:AJ90)</f>
        <v>0.791947961116549</v>
      </c>
      <c r="D13" s="140" t="n">
        <f aca="false">SLOPE('Historical Prices Outview - ALL'!C36:AC36,'Historical Prices Outview - ALL'!C90:AC90)</f>
        <v>1.11871302786507</v>
      </c>
      <c r="E13" s="140" t="n">
        <f aca="false">SLOPE('Historical Prices Outview - ALL'!C36:Y36,'Historical Prices Outview - ALL'!C90:Y90)</f>
        <v>1.16697031783149</v>
      </c>
      <c r="F13" s="140" t="n">
        <f aca="false">SLOPE('Historical Prices Outview - ALL'!C36:Q36,'Historical Prices Outview - ALL'!C90:Q90)</f>
        <v>1.23403460439137</v>
      </c>
      <c r="G13" s="140" t="n">
        <f aca="false">SLOPE('Historical Prices Outview - ALL'!C36:L36,'Historical Prices Outview - ALL'!C90:L90)</f>
        <v>1.37770858404882</v>
      </c>
      <c r="H13" s="107"/>
      <c r="I13" s="111" t="n">
        <f aca="false">AVERAGE(B13/2,C13:F13,G13/2)</f>
        <v>0.872900174222576</v>
      </c>
      <c r="J13" s="46"/>
      <c r="K13" s="27"/>
      <c r="L13" s="23"/>
      <c r="M13" s="19"/>
      <c r="N13" s="19"/>
      <c r="O13" s="23"/>
      <c r="P13" s="47"/>
      <c r="Q13" s="46"/>
      <c r="R13" s="23"/>
      <c r="S13" s="19"/>
      <c r="T13" s="23"/>
      <c r="U13" s="23"/>
      <c r="V13" s="19"/>
      <c r="W13" s="19"/>
      <c r="X13" s="45"/>
      <c r="Y13" s="46"/>
      <c r="Z13" s="23"/>
      <c r="AA13" s="19"/>
      <c r="AB13" s="23"/>
      <c r="AC13" s="47"/>
      <c r="AD13" s="46"/>
      <c r="AE13" s="23"/>
      <c r="AF13" s="19"/>
      <c r="AG13" s="23"/>
      <c r="AH13" s="23"/>
      <c r="AI13" s="45"/>
      <c r="AJ13" s="46"/>
      <c r="AK13" s="23"/>
      <c r="AL13" s="23"/>
      <c r="AM13" s="23"/>
      <c r="AN13" s="47"/>
      <c r="AO13" s="46"/>
      <c r="AP13" s="23"/>
    </row>
    <row r="14" customFormat="false" ht="12.8" hidden="false" customHeight="false" outlineLevel="0" collapsed="false">
      <c r="A14" s="139" t="s">
        <v>189</v>
      </c>
      <c r="B14" s="140" t="n">
        <f aca="false">SLOPE('Historical Prices Outview - ALL'!C77:AR77,'Historical Prices Outview - ALL'!C90:AR90)</f>
        <v>0.0758319459467068</v>
      </c>
      <c r="C14" s="140" t="n">
        <f aca="false">SLOPE('Historical Prices Outview - ALL'!C77:AJ77,'Historical Prices Outview - ALL'!C90:AJ90)</f>
        <v>0.0962975797004906</v>
      </c>
      <c r="D14" s="140" t="n">
        <f aca="false">SLOPE('Historical Prices Outview - ALL'!C77:AC77,'Historical Prices Outview - ALL'!C90:AC90)</f>
        <v>0.127922666375279</v>
      </c>
      <c r="E14" s="140" t="n">
        <f aca="false">SLOPE('Historical Prices Outview - ALL'!C77:Y77,'Historical Prices Outview - ALL'!C90:Y90)</f>
        <v>0.142495234184702</v>
      </c>
      <c r="F14" s="140" t="n">
        <f aca="false">SLOPE('Historical Prices Outview - ALL'!C77:Q77,'Historical Prices Outview - ALL'!C90:Q90)</f>
        <v>0.165456190733764</v>
      </c>
      <c r="G14" s="140" t="n">
        <f aca="false">SLOPE('Historical Prices Outview - ALL'!C77:L77,'Historical Prices Outview - ALL'!C90:L90)</f>
        <v>0.165243759544729</v>
      </c>
      <c r="H14" s="107"/>
      <c r="I14" s="111" t="n">
        <f aca="false">AVERAGE(B14/2,C14:F14,G14/2)</f>
        <v>0.108784920623326</v>
      </c>
      <c r="J14" s="46"/>
      <c r="K14" s="27"/>
      <c r="L14" s="23"/>
      <c r="M14" s="19"/>
      <c r="N14" s="19"/>
      <c r="O14" s="23"/>
      <c r="P14" s="47"/>
      <c r="Q14" s="46"/>
      <c r="R14" s="23"/>
      <c r="S14" s="19"/>
      <c r="T14" s="23"/>
      <c r="U14" s="23"/>
      <c r="V14" s="19"/>
      <c r="W14" s="19"/>
      <c r="X14" s="45"/>
      <c r="Y14" s="46"/>
      <c r="Z14" s="23"/>
      <c r="AA14" s="19"/>
      <c r="AB14" s="23"/>
      <c r="AC14" s="47"/>
      <c r="AD14" s="46"/>
      <c r="AE14" s="23"/>
      <c r="AF14" s="19"/>
      <c r="AG14" s="23"/>
      <c r="AH14" s="23"/>
      <c r="AI14" s="45"/>
      <c r="AJ14" s="46"/>
      <c r="AK14" s="23"/>
      <c r="AL14" s="23"/>
      <c r="AM14" s="23"/>
      <c r="AN14" s="47"/>
      <c r="AO14" s="46"/>
      <c r="AP14" s="23"/>
    </row>
    <row r="15" customFormat="false" ht="35.05" hidden="false" customHeight="false" outlineLevel="0" collapsed="false">
      <c r="A15" s="209" t="s">
        <v>227</v>
      </c>
      <c r="B15" s="16" t="s">
        <v>105</v>
      </c>
      <c r="C15" s="104" t="s">
        <v>106</v>
      </c>
      <c r="D15" s="104" t="s">
        <v>107</v>
      </c>
      <c r="E15" s="104" t="s">
        <v>108</v>
      </c>
      <c r="F15" s="104" t="s">
        <v>109</v>
      </c>
      <c r="G15" s="137" t="s">
        <v>224</v>
      </c>
      <c r="H15" s="107"/>
      <c r="I15" s="108" t="s">
        <v>111</v>
      </c>
      <c r="J15" s="46"/>
      <c r="K15" s="27"/>
      <c r="L15" s="23"/>
      <c r="M15" s="19"/>
      <c r="N15" s="19"/>
      <c r="O15" s="23"/>
      <c r="P15" s="47"/>
      <c r="Q15" s="46"/>
      <c r="R15" s="23"/>
      <c r="S15" s="19"/>
      <c r="T15" s="23"/>
      <c r="U15" s="23"/>
      <c r="V15" s="19"/>
      <c r="W15" s="19"/>
      <c r="X15" s="45"/>
      <c r="Y15" s="46"/>
      <c r="Z15" s="23"/>
      <c r="AA15" s="19"/>
      <c r="AB15" s="23"/>
      <c r="AC15" s="47"/>
      <c r="AD15" s="46"/>
      <c r="AE15" s="23"/>
      <c r="AF15" s="19"/>
      <c r="AG15" s="23"/>
      <c r="AH15" s="23"/>
      <c r="AI15" s="45"/>
      <c r="AJ15" s="46"/>
      <c r="AK15" s="23"/>
      <c r="AL15" s="23"/>
      <c r="AM15" s="23"/>
      <c r="AN15" s="47"/>
      <c r="AO15" s="46"/>
      <c r="AP15" s="23"/>
    </row>
    <row r="16" customFormat="false" ht="12.8" hidden="false" customHeight="false" outlineLevel="0" collapsed="false">
      <c r="A16" s="139" t="s">
        <v>24</v>
      </c>
      <c r="B16" s="140" t="n">
        <f aca="false">SLOPE('Historical Prices Outview - ALL'!C90:AR90,'Historical Prices Outview - ALL'!C31:AR31)</f>
        <v>0.244571256882684</v>
      </c>
      <c r="C16" s="140" t="n">
        <f aca="false">SLOPE('Historical Prices Outview - ALL'!C90:AJ90,'Historical Prices Outview - ALL'!C31:AJ31)</f>
        <v>0.227506124326652</v>
      </c>
      <c r="D16" s="140" t="n">
        <f aca="false">SLOPE('Historical Prices Outview - ALL'!E90:AC90,'Historical Prices Outview - ALL'!E31:AC31)</f>
        <v>0.201151890294151</v>
      </c>
      <c r="E16" s="140" t="n">
        <f aca="false">SLOPE('Historical Prices Outview - ALL'!F90:Y90,'Historical Prices Outview - ALL'!F31:Y31)</f>
        <v>0.206459402372038</v>
      </c>
      <c r="F16" s="140" t="n">
        <f aca="false">SLOPE('Historical Prices Outview - ALL'!G90:Q90,'Historical Prices Outview - ALL'!G31:Q31)</f>
        <v>0.213977788655102</v>
      </c>
      <c r="G16" s="140" t="n">
        <f aca="false">SLOPE('Historical Prices Outview - ALL'!G90:L90,'Historical Prices Outview - ALL'!G31:L31)</f>
        <v>0.212705407502497</v>
      </c>
      <c r="H16" s="107"/>
      <c r="I16" s="111" t="n">
        <f aca="false">AVERAGE(B16/2,C16:F16,G16/2)</f>
        <v>0.179622256306756</v>
      </c>
      <c r="J16" s="46"/>
      <c r="K16" s="27"/>
      <c r="L16" s="23"/>
      <c r="M16" s="19"/>
      <c r="N16" s="19"/>
      <c r="O16" s="23"/>
      <c r="P16" s="47"/>
      <c r="Q16" s="46"/>
      <c r="R16" s="23"/>
      <c r="S16" s="19"/>
      <c r="T16" s="23"/>
      <c r="U16" s="23"/>
      <c r="V16" s="19"/>
      <c r="W16" s="19"/>
      <c r="X16" s="45"/>
      <c r="Y16" s="46"/>
      <c r="Z16" s="23"/>
      <c r="AA16" s="19"/>
      <c r="AB16" s="23"/>
      <c r="AC16" s="47"/>
      <c r="AD16" s="46"/>
      <c r="AE16" s="23"/>
      <c r="AF16" s="19"/>
      <c r="AG16" s="23"/>
      <c r="AH16" s="23"/>
      <c r="AI16" s="45"/>
      <c r="AJ16" s="46"/>
      <c r="AK16" s="23"/>
      <c r="AL16" s="23"/>
      <c r="AM16" s="23"/>
      <c r="AN16" s="47"/>
      <c r="AO16" s="46"/>
      <c r="AP16" s="23"/>
    </row>
    <row r="17" customFormat="false" ht="12.8" hidden="false" customHeight="false" outlineLevel="0" collapsed="false">
      <c r="A17" s="139" t="s">
        <v>180</v>
      </c>
      <c r="B17" s="140" t="n">
        <f aca="false">SLOPE('Historical Prices Outview - ALL'!C90:AR90,'Historical Prices Outview - ALL'!C37:AR37)</f>
        <v>26.998483654468</v>
      </c>
      <c r="C17" s="140" t="n">
        <f aca="false">SLOPE('Historical Prices Outview - ALL'!C90:AJ90,'Historical Prices Outview - ALL'!C37:AJ37)</f>
        <v>25.114364857148</v>
      </c>
      <c r="D17" s="140" t="n">
        <f aca="false">SLOPE('Historical Prices Outview - ALL'!E90:AC90,'Historical Prices Outview - ALL'!E37:AC37)</f>
        <v>19.66985800862</v>
      </c>
      <c r="E17" s="140" t="n">
        <f aca="false">SLOPE('Historical Prices Outview - ALL'!F90:Y90,'Historical Prices Outview - ALL'!F37:Y37)</f>
        <v>19.8806756438173</v>
      </c>
      <c r="F17" s="140" t="n">
        <f aca="false">SLOPE('Historical Prices Outview - ALL'!G90:Q90,'Historical Prices Outview - ALL'!G37:Q37)</f>
        <v>38.7245506389676</v>
      </c>
      <c r="G17" s="140" t="n">
        <f aca="false">SLOPE('Historical Prices Outview - ALL'!G90:L90,'Historical Prices Outview - ALL'!G37:L37)</f>
        <v>30.3363326471409</v>
      </c>
      <c r="H17" s="107"/>
      <c r="I17" s="111" t="n">
        <f aca="false">AVERAGE(B17/2,C17:F17,G17/2)</f>
        <v>22.0094762165596</v>
      </c>
      <c r="J17" s="46"/>
      <c r="K17" s="27"/>
      <c r="L17" s="23"/>
      <c r="M17" s="19"/>
      <c r="N17" s="19"/>
      <c r="O17" s="23"/>
      <c r="P17" s="47"/>
      <c r="Q17" s="46"/>
      <c r="R17" s="23"/>
      <c r="S17" s="19"/>
      <c r="T17" s="23"/>
      <c r="U17" s="23"/>
      <c r="V17" s="19"/>
      <c r="W17" s="19"/>
      <c r="X17" s="45"/>
      <c r="Y17" s="46"/>
      <c r="Z17" s="23"/>
      <c r="AA17" s="19"/>
      <c r="AB17" s="23"/>
      <c r="AC17" s="47"/>
      <c r="AD17" s="46"/>
      <c r="AE17" s="23"/>
      <c r="AF17" s="19"/>
      <c r="AG17" s="23"/>
      <c r="AH17" s="23"/>
      <c r="AI17" s="45"/>
      <c r="AJ17" s="46"/>
      <c r="AK17" s="23"/>
      <c r="AL17" s="23"/>
      <c r="AM17" s="23"/>
      <c r="AN17" s="47"/>
      <c r="AO17" s="46"/>
      <c r="AP17" s="23"/>
    </row>
    <row r="18" customFormat="false" ht="12.8" hidden="false" customHeight="false" outlineLevel="0" collapsed="false">
      <c r="A18" s="139" t="s">
        <v>181</v>
      </c>
      <c r="B18" s="140" t="n">
        <f aca="false">SLOPE('Historical Prices Outview - ALL'!C90:AR90,'Historical Prices Outview - ALL'!C46:AR46)</f>
        <v>0.152539254177771</v>
      </c>
      <c r="C18" s="140" t="n">
        <f aca="false">SLOPE('Historical Prices Outview - ALL'!C90:AJ90,'Historical Prices Outview - ALL'!C46:AJ46)</f>
        <v>0.143360816238031</v>
      </c>
      <c r="D18" s="140" t="n">
        <f aca="false">SLOPE('Historical Prices Outview - ALL'!E90:AC90,'Historical Prices Outview - ALL'!E46:AC46)</f>
        <v>0.135169733464525</v>
      </c>
      <c r="E18" s="140" t="n">
        <f aca="false">SLOPE('Historical Prices Outview - ALL'!F90:Y90,'Historical Prices Outview - ALL'!F46:Y46)</f>
        <v>0.129077726492802</v>
      </c>
      <c r="F18" s="140" t="n">
        <f aca="false">SLOPE('Historical Prices Outview - ALL'!G90:Q90,'Historical Prices Outview - ALL'!G46:Q46)</f>
        <v>0.131313480281697</v>
      </c>
      <c r="G18" s="140" t="n">
        <f aca="false">SLOPE('Historical Prices Outview - ALL'!G90:L90,'Historical Prices Outview - ALL'!G46:L46)</f>
        <v>0.127890764440555</v>
      </c>
      <c r="H18" s="107"/>
      <c r="I18" s="111" t="n">
        <f aca="false">AVERAGE(B18/2,C18:F18,G18/2)</f>
        <v>0.11318946096437</v>
      </c>
      <c r="J18" s="46"/>
      <c r="K18" s="27"/>
      <c r="L18" s="23"/>
      <c r="M18" s="19"/>
      <c r="N18" s="19"/>
      <c r="O18" s="23"/>
      <c r="P18" s="47"/>
      <c r="Q18" s="46"/>
      <c r="R18" s="23"/>
      <c r="S18" s="19"/>
      <c r="T18" s="23"/>
      <c r="U18" s="23"/>
      <c r="V18" s="19"/>
      <c r="W18" s="19"/>
      <c r="X18" s="45"/>
      <c r="Y18" s="46"/>
      <c r="Z18" s="23"/>
      <c r="AA18" s="19"/>
      <c r="AB18" s="23"/>
      <c r="AC18" s="47"/>
      <c r="AD18" s="46"/>
      <c r="AE18" s="23"/>
      <c r="AF18" s="19"/>
      <c r="AG18" s="23"/>
      <c r="AH18" s="23"/>
      <c r="AI18" s="45"/>
      <c r="AJ18" s="46"/>
      <c r="AK18" s="23"/>
      <c r="AL18" s="23"/>
      <c r="AM18" s="23"/>
      <c r="AN18" s="47"/>
      <c r="AO18" s="46"/>
      <c r="AP18" s="23"/>
    </row>
    <row r="19" customFormat="false" ht="12.8" hidden="false" customHeight="false" outlineLevel="0" collapsed="false">
      <c r="A19" s="139" t="s">
        <v>30</v>
      </c>
      <c r="B19" s="140" t="n">
        <f aca="false">SLOPE('Historical Prices Outview - ALL'!C90:AR90,'Historical Prices Outview - ALL'!C4:AR4)</f>
        <v>0.31726026864838</v>
      </c>
      <c r="C19" s="140" t="n">
        <f aca="false">SLOPE('Historical Prices Outview - ALL'!C90:AJ90,'Historical Prices Outview - ALL'!C4:AJ4)</f>
        <v>0.377144804849993</v>
      </c>
      <c r="D19" s="140" t="n">
        <f aca="false">SLOPE('Historical Prices Outview - ALL'!E90:AC90,'Historical Prices Outview - ALL'!E4:AC4)</f>
        <v>0.463649958136842</v>
      </c>
      <c r="E19" s="140" t="n">
        <f aca="false">SLOPE('Historical Prices Outview - ALL'!F90:Y90,'Historical Prices Outview - ALL'!F4:Y4)</f>
        <v>0.450103375185647</v>
      </c>
      <c r="F19" s="140" t="n">
        <f aca="false">SLOPE('Historical Prices Outview - ALL'!G90:Q90,'Historical Prices Outview - ALL'!G4:Q4)</f>
        <v>0.509023435764832</v>
      </c>
      <c r="G19" s="140" t="n">
        <f aca="false">SLOPE('Historical Prices Outview - ALL'!G90:L90,'Historical Prices Outview - ALL'!G4:L4)</f>
        <v>0.479974373191682</v>
      </c>
      <c r="H19" s="107"/>
      <c r="I19" s="111" t="n">
        <f aca="false">AVERAGE(B19/2,C19:F19,G19/2)</f>
        <v>0.366423149142891</v>
      </c>
      <c r="J19" s="46"/>
      <c r="K19" s="27"/>
      <c r="L19" s="23"/>
      <c r="M19" s="19"/>
      <c r="N19" s="19"/>
      <c r="O19" s="23"/>
      <c r="P19" s="47"/>
      <c r="Q19" s="46"/>
      <c r="R19" s="23"/>
      <c r="S19" s="19"/>
      <c r="T19" s="23"/>
      <c r="U19" s="23"/>
      <c r="V19" s="19"/>
      <c r="W19" s="19"/>
      <c r="X19" s="45"/>
      <c r="Y19" s="46"/>
      <c r="Z19" s="23"/>
      <c r="AA19" s="19"/>
      <c r="AB19" s="23"/>
      <c r="AC19" s="47"/>
      <c r="AD19" s="46"/>
      <c r="AE19" s="23"/>
      <c r="AF19" s="19"/>
      <c r="AG19" s="23"/>
      <c r="AH19" s="23"/>
      <c r="AI19" s="45"/>
      <c r="AJ19" s="46"/>
      <c r="AK19" s="23"/>
      <c r="AL19" s="23"/>
      <c r="AM19" s="23"/>
      <c r="AN19" s="47"/>
      <c r="AO19" s="46"/>
      <c r="AP19" s="23"/>
    </row>
    <row r="20" customFormat="false" ht="12.8" hidden="false" customHeight="false" outlineLevel="0" collapsed="false">
      <c r="A20" s="139" t="s">
        <v>182</v>
      </c>
      <c r="B20" s="140" t="n">
        <f aca="false">SLOPE('Historical Prices Outview - ALL'!C90:AR90,'Historical Prices Outview - ALL'!C70:AR70)</f>
        <v>6.08677527678631</v>
      </c>
      <c r="C20" s="140" t="n">
        <f aca="false">SLOPE('Historical Prices Outview - ALL'!C90:AJ90,'Historical Prices Outview - ALL'!C70:AJ70)</f>
        <v>5.37423631855675</v>
      </c>
      <c r="D20" s="140" t="n">
        <f aca="false">SLOPE('Historical Prices Outview - ALL'!E90:AC90,'Historical Prices Outview - ALL'!E70:AC70)</f>
        <v>5.6292004335623</v>
      </c>
      <c r="E20" s="140" t="n">
        <f aca="false">SLOPE('Historical Prices Outview - ALL'!F90:Y90,'Historical Prices Outview - ALL'!F70:Y70)</f>
        <v>5.787715775997</v>
      </c>
      <c r="F20" s="140" t="n">
        <f aca="false">SLOPE('Historical Prices Outview - ALL'!G90:Q90,'Historical Prices Outview - ALL'!G70:Q70)</f>
        <v>5.56427332889807</v>
      </c>
      <c r="G20" s="140" t="n">
        <f aca="false">SLOPE('Historical Prices Outview - ALL'!G90:L90,'Historical Prices Outview - ALL'!G70:L70)</f>
        <v>5.32556014393373</v>
      </c>
      <c r="H20" s="107"/>
      <c r="I20" s="111" t="n">
        <f aca="false">AVERAGE(B20/2,C20:F20,G20/2)</f>
        <v>4.67693226122902</v>
      </c>
      <c r="J20" s="46"/>
      <c r="K20" s="27"/>
      <c r="L20" s="23"/>
      <c r="M20" s="19"/>
      <c r="N20" s="19"/>
      <c r="O20" s="23"/>
      <c r="P20" s="47"/>
      <c r="Q20" s="46"/>
      <c r="R20" s="23"/>
      <c r="S20" s="19"/>
      <c r="T20" s="23"/>
      <c r="U20" s="23"/>
      <c r="V20" s="19"/>
      <c r="W20" s="19"/>
      <c r="X20" s="45"/>
      <c r="Y20" s="46"/>
      <c r="Z20" s="23"/>
      <c r="AA20" s="19"/>
      <c r="AB20" s="23"/>
      <c r="AC20" s="47"/>
      <c r="AD20" s="46"/>
      <c r="AE20" s="23"/>
      <c r="AF20" s="19"/>
      <c r="AG20" s="23"/>
      <c r="AH20" s="23"/>
      <c r="AI20" s="45"/>
      <c r="AJ20" s="46"/>
      <c r="AK20" s="23"/>
      <c r="AL20" s="23"/>
      <c r="AM20" s="23"/>
      <c r="AN20" s="47"/>
      <c r="AO20" s="46"/>
      <c r="AP20" s="23"/>
    </row>
    <row r="21" customFormat="false" ht="12.8" hidden="false" customHeight="false" outlineLevel="0" collapsed="false">
      <c r="A21" s="139" t="s">
        <v>27</v>
      </c>
      <c r="B21" s="140" t="n">
        <f aca="false">SLOPE('Historical Prices Outview - ALL'!C90:AR90,'Historical Prices Outview - ALL'!C40:AR40)</f>
        <v>0.107195043336423</v>
      </c>
      <c r="C21" s="140" t="n">
        <f aca="false">SLOPE('Historical Prices Outview - ALL'!C90:AJ90,'Historical Prices Outview - ALL'!C40:AJ40)</f>
        <v>0.113848928626734</v>
      </c>
      <c r="D21" s="140" t="n">
        <f aca="false">SLOPE('Historical Prices Outview - ALL'!E90:AC90,'Historical Prices Outview - ALL'!E40:AC40)</f>
        <v>0.0848669244154387</v>
      </c>
      <c r="E21" s="140" t="n">
        <f aca="false">SLOPE('Historical Prices Outview - ALL'!F90:Y90,'Historical Prices Outview - ALL'!F40:Y40)</f>
        <v>0.110031328526646</v>
      </c>
      <c r="F21" s="140" t="n">
        <f aca="false">SLOPE('Historical Prices Outview - ALL'!G90:Q90,'Historical Prices Outview - ALL'!G40:Q40)</f>
        <v>0.130640050212506</v>
      </c>
      <c r="G21" s="140" t="n">
        <f aca="false">SLOPE('Historical Prices Outview - ALL'!G90:L90,'Historical Prices Outview - ALL'!G40:L40)</f>
        <v>0.0929294390257258</v>
      </c>
      <c r="H21" s="107"/>
      <c r="I21" s="111" t="n">
        <f aca="false">AVERAGE(B21/2,C21:F21,G21/2)</f>
        <v>0.0899082454937332</v>
      </c>
      <c r="J21" s="46"/>
      <c r="K21" s="27"/>
      <c r="L21" s="23"/>
      <c r="M21" s="19"/>
      <c r="N21" s="19"/>
      <c r="O21" s="23"/>
      <c r="P21" s="47"/>
      <c r="Q21" s="46"/>
      <c r="R21" s="23"/>
      <c r="S21" s="19"/>
      <c r="T21" s="23"/>
      <c r="U21" s="23"/>
      <c r="V21" s="19"/>
      <c r="W21" s="19"/>
      <c r="X21" s="45"/>
      <c r="Y21" s="46"/>
      <c r="Z21" s="23"/>
      <c r="AA21" s="19"/>
      <c r="AB21" s="23"/>
      <c r="AC21" s="47"/>
      <c r="AD21" s="46"/>
      <c r="AE21" s="23"/>
      <c r="AF21" s="19"/>
      <c r="AG21" s="23"/>
      <c r="AH21" s="23"/>
      <c r="AI21" s="45"/>
      <c r="AJ21" s="46"/>
      <c r="AK21" s="23"/>
      <c r="AL21" s="23"/>
      <c r="AM21" s="23"/>
      <c r="AN21" s="47"/>
      <c r="AO21" s="46"/>
      <c r="AP21" s="23"/>
    </row>
    <row r="22" customFormat="false" ht="12.8" hidden="false" customHeight="false" outlineLevel="0" collapsed="false">
      <c r="A22" s="139" t="s">
        <v>184</v>
      </c>
      <c r="B22" s="140" t="n">
        <f aca="false">SLOPE('Historical Prices Outview - ALL'!C90:AR90,'Historical Prices Outview - ALL'!C16:AR16)</f>
        <v>5.90964834011479</v>
      </c>
      <c r="C22" s="140" t="n">
        <f aca="false">SLOPE('Historical Prices Outview - ALL'!C90:AJ90,'Historical Prices Outview - ALL'!C16:AJ16)</f>
        <v>5.64553362968437</v>
      </c>
      <c r="D22" s="140" t="n">
        <f aca="false">SLOPE('Historical Prices Outview - ALL'!E90:AC90,'Historical Prices Outview - ALL'!E16:AC16)</f>
        <v>3.35990583800106</v>
      </c>
      <c r="E22" s="140" t="n">
        <f aca="false">SLOPE('Historical Prices Outview - ALL'!F90:Y90,'Historical Prices Outview - ALL'!F16:Y16)</f>
        <v>2.52101356611611</v>
      </c>
      <c r="F22" s="140" t="n">
        <f aca="false">SLOPE('Historical Prices Outview - ALL'!G90:Q90,'Historical Prices Outview - ALL'!G16:Q16)</f>
        <v>6.62710461712071</v>
      </c>
      <c r="G22" s="140" t="n">
        <f aca="false">SLOPE('Historical Prices Outview - ALL'!G90:L90,'Historical Prices Outview - ALL'!G16:L16)</f>
        <v>5.56654662046361</v>
      </c>
      <c r="H22" s="107"/>
      <c r="I22" s="111" t="n">
        <f aca="false">AVERAGE(B22/2,C22:F22,G22/2)</f>
        <v>3.98194252186858</v>
      </c>
      <c r="J22" s="46"/>
      <c r="K22" s="27"/>
      <c r="L22" s="23"/>
      <c r="M22" s="19"/>
      <c r="N22" s="19"/>
      <c r="O22" s="23"/>
      <c r="P22" s="47"/>
      <c r="Q22" s="46"/>
      <c r="R22" s="23"/>
      <c r="S22" s="19"/>
      <c r="T22" s="23"/>
      <c r="U22" s="23"/>
      <c r="V22" s="19"/>
      <c r="W22" s="19"/>
      <c r="X22" s="45"/>
      <c r="Y22" s="46"/>
      <c r="Z22" s="23"/>
      <c r="AA22" s="19"/>
      <c r="AB22" s="23"/>
      <c r="AC22" s="47"/>
      <c r="AD22" s="46"/>
      <c r="AE22" s="23"/>
      <c r="AF22" s="19"/>
      <c r="AG22" s="23"/>
      <c r="AH22" s="23"/>
      <c r="AI22" s="45"/>
      <c r="AJ22" s="46"/>
      <c r="AK22" s="23"/>
      <c r="AL22" s="23"/>
      <c r="AM22" s="23"/>
      <c r="AN22" s="47"/>
      <c r="AO22" s="46"/>
      <c r="AP22" s="23"/>
    </row>
    <row r="23" customFormat="false" ht="24.85" hidden="false" customHeight="false" outlineLevel="0" collapsed="false">
      <c r="A23" s="108" t="s">
        <v>225</v>
      </c>
      <c r="B23" s="140" t="n">
        <f aca="false">SLOPE('Historical Prices Outview - ALL'!C90:AR90,'Historical Prices Outview - ALL'!C79:AR79)</f>
        <v>0.651976005976333</v>
      </c>
      <c r="C23" s="140" t="n">
        <f aca="false">SLOPE('Historical Prices Outview - ALL'!C90:AJ90,'Historical Prices Outview - ALL'!C79:AJ79)</f>
        <v>0.556252925888171</v>
      </c>
      <c r="D23" s="140" t="n">
        <f aca="false">SLOPE('Historical Prices Outview - ALL'!E90:AC90,'Historical Prices Outview - ALL'!E79:AC79)</f>
        <v>0.377458851378053</v>
      </c>
      <c r="E23" s="140" t="n">
        <f aca="false">SLOPE('Historical Prices Outview - ALL'!F90:Y90,'Historical Prices Outview - ALL'!F79:Y79)</f>
        <v>0.342774279090121</v>
      </c>
      <c r="F23" s="140" t="n">
        <f aca="false">SLOPE('Historical Prices Outview - ALL'!G90:Q90,'Historical Prices Outview - ALL'!G79:Q79)</f>
        <v>0.661077562654698</v>
      </c>
      <c r="G23" s="140" t="n">
        <f aca="false">SLOPE('Historical Prices Outview - ALL'!G90:L90,'Historical Prices Outview - ALL'!G79:L79)</f>
        <v>0.60302693245198</v>
      </c>
      <c r="H23" s="107"/>
      <c r="I23" s="111" t="n">
        <f aca="false">AVERAGE(B23/2,C23:F23,G23/2)</f>
        <v>0.427510848037534</v>
      </c>
      <c r="J23" s="46"/>
      <c r="K23" s="27"/>
      <c r="L23" s="23"/>
      <c r="M23" s="19"/>
      <c r="N23" s="19"/>
      <c r="O23" s="23"/>
      <c r="P23" s="47"/>
      <c r="Q23" s="46"/>
      <c r="R23" s="23"/>
      <c r="S23" s="19"/>
      <c r="T23" s="23"/>
      <c r="U23" s="23"/>
      <c r="V23" s="19"/>
      <c r="W23" s="19"/>
      <c r="X23" s="45"/>
      <c r="Y23" s="46"/>
      <c r="Z23" s="23"/>
      <c r="AA23" s="19"/>
      <c r="AB23" s="23"/>
      <c r="AC23" s="47"/>
      <c r="AD23" s="46"/>
      <c r="AE23" s="23"/>
      <c r="AF23" s="19"/>
      <c r="AG23" s="23"/>
      <c r="AH23" s="23"/>
      <c r="AI23" s="45"/>
      <c r="AJ23" s="46"/>
      <c r="AK23" s="23"/>
      <c r="AL23" s="23"/>
      <c r="AM23" s="23"/>
      <c r="AN23" s="47"/>
      <c r="AO23" s="46"/>
      <c r="AP23" s="23"/>
    </row>
    <row r="24" customFormat="false" ht="23.85" hidden="false" customHeight="false" outlineLevel="0" collapsed="false">
      <c r="A24" s="108" t="s">
        <v>226</v>
      </c>
      <c r="B24" s="140" t="n">
        <f aca="false">SLOPE('Historical Prices Outview - ALL'!C90:AR90,'Historical Prices Outview - ALL'!C69:AR69)</f>
        <v>2.42882950480642</v>
      </c>
      <c r="C24" s="140" t="n">
        <f aca="false">SLOPE('Historical Prices Outview - ALL'!C90:AJ90,'Historical Prices Outview - ALL'!C69:AJ69)</f>
        <v>1.66813387131527</v>
      </c>
      <c r="D24" s="140" t="n">
        <f aca="false">SLOPE('Historical Prices Outview - ALL'!E90:AC90,'Historical Prices Outview - ALL'!E69:AC69)</f>
        <v>0.823563298492314</v>
      </c>
      <c r="E24" s="140" t="n">
        <f aca="false">SLOPE('Historical Prices Outview - ALL'!F90:Y90,'Historical Prices Outview - ALL'!F69:Y69)</f>
        <v>0.979178252593953</v>
      </c>
      <c r="F24" s="140" t="n">
        <f aca="false">SLOPE('Historical Prices Outview - ALL'!G90:Q90,'Historical Prices Outview - ALL'!G69:Q69)</f>
        <v>2.38257316442494</v>
      </c>
      <c r="G24" s="140" t="n">
        <f aca="false">SLOPE('Historical Prices Outview - ALL'!G90:L90,'Historical Prices Outview - ALL'!G69:L69)</f>
        <v>1.9411217385357</v>
      </c>
      <c r="H24" s="107"/>
      <c r="I24" s="111" t="n">
        <f aca="false">AVERAGE(B24/2,C24:F24,G24/2)</f>
        <v>1.33973736808292</v>
      </c>
      <c r="J24" s="46"/>
      <c r="K24" s="27"/>
      <c r="L24" s="23"/>
      <c r="M24" s="19"/>
      <c r="N24" s="19"/>
      <c r="O24" s="23"/>
      <c r="P24" s="47"/>
      <c r="Q24" s="46"/>
      <c r="R24" s="23"/>
      <c r="S24" s="19"/>
      <c r="T24" s="23"/>
      <c r="U24" s="23"/>
      <c r="V24" s="19"/>
      <c r="W24" s="19"/>
      <c r="X24" s="45"/>
      <c r="Y24" s="46"/>
      <c r="Z24" s="23"/>
      <c r="AA24" s="19"/>
      <c r="AB24" s="23"/>
      <c r="AC24" s="47"/>
      <c r="AD24" s="46"/>
      <c r="AE24" s="23"/>
      <c r="AF24" s="19"/>
      <c r="AG24" s="23"/>
      <c r="AH24" s="23"/>
      <c r="AI24" s="45"/>
      <c r="AJ24" s="46"/>
      <c r="AK24" s="23"/>
      <c r="AL24" s="23"/>
      <c r="AM24" s="23"/>
      <c r="AN24" s="47"/>
      <c r="AO24" s="46"/>
      <c r="AP24" s="23"/>
    </row>
    <row r="25" customFormat="false" ht="12.8" hidden="false" customHeight="false" outlineLevel="0" collapsed="false">
      <c r="A25" s="139" t="s">
        <v>186</v>
      </c>
      <c r="B25" s="140" t="n">
        <f aca="false">SLOPE('Historical Prices Outview - ALL'!C90:AR90,'Historical Prices Outview - ALL'!C36:AR36)</f>
        <v>0.891889015195892</v>
      </c>
      <c r="C25" s="140" t="n">
        <f aca="false">SLOPE('Historical Prices Outview - ALL'!C90:AJ90,'Historical Prices Outview - ALL'!C36:AJ36)</f>
        <v>0.929109428167999</v>
      </c>
      <c r="D25" s="140" t="n">
        <f aca="false">SLOPE('Historical Prices Outview - ALL'!E90:AC90,'Historical Prices Outview - ALL'!E36:AC36)</f>
        <v>0.837149001245845</v>
      </c>
      <c r="E25" s="140" t="n">
        <f aca="false">SLOPE('Historical Prices Outview - ALL'!F90:Y90,'Historical Prices Outview - ALL'!F36:Y36)</f>
        <v>0.779398303458038</v>
      </c>
      <c r="F25" s="140" t="n">
        <f aca="false">SLOPE('Historical Prices Outview - ALL'!G90:Q90,'Historical Prices Outview - ALL'!G36:Q36)</f>
        <v>0.98292261372042</v>
      </c>
      <c r="G25" s="140" t="n">
        <f aca="false">SLOPE('Historical Prices Outview - ALL'!G90:L90,'Historical Prices Outview - ALL'!G36:L36)</f>
        <v>0.836895872345449</v>
      </c>
      <c r="H25" s="107"/>
      <c r="I25" s="111" t="n">
        <f aca="false">AVERAGE(B25/2,C25:F25,G25/2)</f>
        <v>0.732161965060496</v>
      </c>
      <c r="J25" s="46"/>
      <c r="K25" s="27"/>
      <c r="L25" s="23"/>
      <c r="M25" s="19"/>
      <c r="N25" s="19"/>
      <c r="O25" s="23"/>
      <c r="P25" s="47"/>
      <c r="Q25" s="46"/>
      <c r="R25" s="23"/>
      <c r="S25" s="19"/>
      <c r="T25" s="23"/>
      <c r="U25" s="23"/>
      <c r="V25" s="19"/>
      <c r="W25" s="19"/>
      <c r="X25" s="45"/>
      <c r="Y25" s="46"/>
      <c r="Z25" s="23"/>
      <c r="AA25" s="19"/>
      <c r="AB25" s="23"/>
      <c r="AC25" s="47"/>
      <c r="AD25" s="46"/>
      <c r="AE25" s="23"/>
      <c r="AF25" s="19"/>
      <c r="AG25" s="23"/>
      <c r="AH25" s="23"/>
      <c r="AI25" s="45"/>
      <c r="AJ25" s="46"/>
      <c r="AK25" s="23"/>
      <c r="AL25" s="23"/>
      <c r="AM25" s="23"/>
      <c r="AN25" s="47"/>
      <c r="AO25" s="46"/>
      <c r="AP25" s="23"/>
    </row>
    <row r="26" customFormat="false" ht="12.8" hidden="false" customHeight="false" outlineLevel="0" collapsed="false">
      <c r="A26" s="139" t="s">
        <v>189</v>
      </c>
      <c r="B26" s="140" t="n">
        <f aca="false">SLOPE('Historical Prices Outview - ALL'!C90:AR90,'Historical Prices Outview - ALL'!C77:AR77)</f>
        <v>5.88945153406631</v>
      </c>
      <c r="C26" s="140" t="n">
        <f aca="false">SLOPE('Historical Prices Outview - ALL'!C90:AJ90,'Historical Prices Outview - ALL'!C77:AJ77)</f>
        <v>5.59064529433719</v>
      </c>
      <c r="D26" s="140" t="n">
        <f aca="false">SLOPE('Historical Prices Outview - ALL'!E90:AC90,'Historical Prices Outview - ALL'!E77:AC77)</f>
        <v>5.02447605720795</v>
      </c>
      <c r="E26" s="140" t="n">
        <f aca="false">SLOPE('Historical Prices Outview - ALL'!F90:Y90,'Historical Prices Outview - ALL'!F77:Y77)</f>
        <v>6.25862088449461</v>
      </c>
      <c r="F26" s="140" t="n">
        <f aca="false">SLOPE('Historical Prices Outview - ALL'!G90:Q90,'Historical Prices Outview - ALL'!G77:Q77)</f>
        <v>5.7321132083556</v>
      </c>
      <c r="G26" s="140" t="n">
        <f aca="false">SLOPE('Historical Prices Outview - ALL'!G90:L90,'Historical Prices Outview - ALL'!G77:L77)</f>
        <v>5.16284044718703</v>
      </c>
      <c r="H26" s="107"/>
      <c r="I26" s="111" t="n">
        <f aca="false">AVERAGE(B26/2,C26:F26,G26/2)</f>
        <v>4.688666905837</v>
      </c>
      <c r="J26" s="46"/>
      <c r="K26" s="27"/>
      <c r="L26" s="23"/>
      <c r="M26" s="19"/>
      <c r="N26" s="19"/>
      <c r="O26" s="23"/>
      <c r="P26" s="47"/>
      <c r="Q26" s="46"/>
      <c r="R26" s="23"/>
      <c r="S26" s="19"/>
      <c r="T26" s="23"/>
      <c r="U26" s="23"/>
      <c r="V26" s="19"/>
      <c r="W26" s="19"/>
      <c r="X26" s="45"/>
      <c r="Y26" s="46"/>
      <c r="Z26" s="23"/>
      <c r="AA26" s="19"/>
      <c r="AB26" s="23"/>
      <c r="AC26" s="47"/>
      <c r="AD26" s="46"/>
      <c r="AE26" s="23"/>
      <c r="AF26" s="19"/>
      <c r="AG26" s="23"/>
      <c r="AH26" s="23"/>
      <c r="AI26" s="45"/>
      <c r="AJ26" s="46"/>
      <c r="AK26" s="23"/>
      <c r="AL26" s="23"/>
      <c r="AM26" s="23"/>
      <c r="AN26" s="47"/>
      <c r="AO26" s="46"/>
      <c r="AP26" s="23"/>
    </row>
    <row r="27" customFormat="false" ht="12.8" hidden="false" customHeight="false" outlineLevel="0" collapsed="false">
      <c r="A27" s="18"/>
      <c r="B27" s="18"/>
      <c r="C27" s="27"/>
      <c r="D27" s="23"/>
      <c r="E27" s="28"/>
      <c r="F27" s="23"/>
      <c r="G27" s="28"/>
      <c r="H27" s="23"/>
      <c r="I27" s="45"/>
      <c r="J27" s="46"/>
      <c r="K27" s="27"/>
      <c r="L27" s="23"/>
      <c r="M27" s="19"/>
      <c r="N27" s="19"/>
      <c r="O27" s="23"/>
      <c r="P27" s="47"/>
      <c r="Q27" s="46"/>
      <c r="R27" s="23"/>
      <c r="S27" s="19"/>
      <c r="T27" s="23"/>
      <c r="U27" s="23"/>
      <c r="V27" s="28"/>
      <c r="W27" s="28"/>
      <c r="X27" s="45"/>
      <c r="Y27" s="46"/>
      <c r="Z27" s="23"/>
      <c r="AA27" s="19"/>
      <c r="AB27" s="23"/>
      <c r="AC27" s="47"/>
      <c r="AD27" s="46"/>
      <c r="AE27" s="23"/>
      <c r="AF27" s="19"/>
      <c r="AG27" s="23"/>
      <c r="AH27" s="23"/>
      <c r="AI27" s="45"/>
      <c r="AJ27" s="46"/>
      <c r="AK27" s="23"/>
      <c r="AL27" s="23"/>
      <c r="AM27" s="23"/>
      <c r="AN27" s="47"/>
      <c r="AO27" s="46"/>
      <c r="AP27" s="23"/>
    </row>
    <row r="28" customFormat="false" ht="12.8" hidden="false" customHeight="false" outlineLevel="0" collapsed="false">
      <c r="A28" s="139" t="s">
        <v>228</v>
      </c>
      <c r="B28" s="210" t="n">
        <v>8661.64</v>
      </c>
      <c r="C28" s="22" t="n">
        <v>8365.24</v>
      </c>
      <c r="D28" s="1" t="n">
        <v>8480.61</v>
      </c>
      <c r="E28" s="1" t="n">
        <v>8213.86</v>
      </c>
      <c r="F28" s="1" t="n">
        <v>7704.56</v>
      </c>
      <c r="G28" s="1" t="n">
        <v>7187.14</v>
      </c>
      <c r="H28" s="1" t="n">
        <v>7067.13</v>
      </c>
      <c r="I28" s="1" t="n">
        <v>6697.75</v>
      </c>
      <c r="J28" s="21" t="n">
        <v>6116.23</v>
      </c>
      <c r="K28" s="22" t="n">
        <v>5961.4</v>
      </c>
      <c r="L28" s="1" t="n">
        <v>5803.06</v>
      </c>
      <c r="M28" s="1" t="n">
        <v>5794.16</v>
      </c>
      <c r="N28" s="1" t="n">
        <v>5765.8</v>
      </c>
      <c r="O28" s="1" t="n">
        <v>5713.34</v>
      </c>
      <c r="P28" s="42" t="n">
        <v>5843.35</v>
      </c>
      <c r="Q28" s="21" t="n">
        <v>5652.33</v>
      </c>
      <c r="R28" s="1" t="n">
        <v>5586.34</v>
      </c>
      <c r="S28" s="1" t="n">
        <v>5757.08</v>
      </c>
      <c r="T28" s="1" t="n">
        <v>5787.23</v>
      </c>
      <c r="U28" s="1" t="n">
        <v>6097.34</v>
      </c>
      <c r="V28" s="1" t="n">
        <v>5869.12</v>
      </c>
      <c r="W28" s="1" t="n">
        <v>5627.16</v>
      </c>
      <c r="X28" s="42" t="n">
        <v>6160.18</v>
      </c>
      <c r="Y28" s="21" t="n">
        <v>6153.48</v>
      </c>
      <c r="Z28" s="1" t="n">
        <v>5697.25</v>
      </c>
      <c r="AA28" s="1" t="n">
        <v>5885.39</v>
      </c>
      <c r="AB28" s="1" t="n">
        <v>5281.14</v>
      </c>
      <c r="AC28" s="42" t="n">
        <v>4845.05</v>
      </c>
      <c r="AD28" s="21" t="n">
        <v>4704.85</v>
      </c>
      <c r="AE28" s="1" t="n">
        <v>4485.18</v>
      </c>
      <c r="AF28" s="1" t="n">
        <v>4495.26</v>
      </c>
      <c r="AG28" s="1" t="n">
        <v>4116.66</v>
      </c>
      <c r="AH28" s="1" t="n">
        <v>3623.23</v>
      </c>
      <c r="AI28" s="42" t="n">
        <v>4997.82</v>
      </c>
      <c r="AJ28" s="21" t="n">
        <v>4648.89</v>
      </c>
      <c r="AK28" s="1" t="n">
        <v>4328.09</v>
      </c>
      <c r="AL28" s="1" t="n">
        <v>4084.65</v>
      </c>
      <c r="AM28" s="1" t="n">
        <v>3821.61</v>
      </c>
      <c r="AN28" s="42" t="n">
        <v>3664.66</v>
      </c>
      <c r="AO28" s="1" t="n">
        <v>3469.03</v>
      </c>
      <c r="AP28" s="1" t="n">
        <v>3530.08</v>
      </c>
      <c r="AQ28" s="1" t="n">
        <v>3424.26</v>
      </c>
    </row>
    <row r="29" customFormat="false" ht="12.8" hidden="false" customHeight="false" outlineLevel="0" collapsed="false">
      <c r="A29" s="139" t="s">
        <v>87</v>
      </c>
      <c r="B29" s="194" t="n">
        <f aca="false">B28/$AQ28*1000</f>
        <v>2529.4925034898</v>
      </c>
      <c r="C29" s="194" t="n">
        <f aca="false">C28/$AQ28*1000</f>
        <v>2442.93365573876</v>
      </c>
      <c r="D29" s="194" t="n">
        <f aca="false">D28/$AQ28*1000</f>
        <v>2476.62560670043</v>
      </c>
      <c r="E29" s="194" t="n">
        <f aca="false">E28/$AQ28*1000</f>
        <v>2398.72556406348</v>
      </c>
      <c r="F29" s="194" t="n">
        <f aca="false">F28/$AQ28*1000</f>
        <v>2249.99269915252</v>
      </c>
      <c r="G29" s="194" t="n">
        <f aca="false">G28/$AQ28*1000</f>
        <v>2098.88851897928</v>
      </c>
      <c r="H29" s="194" t="n">
        <f aca="false">H28/$AQ28*1000</f>
        <v>2063.84153072489</v>
      </c>
      <c r="I29" s="194" t="n">
        <f aca="false">I28/$AQ28*1000</f>
        <v>1955.97004900329</v>
      </c>
      <c r="J29" s="197" t="n">
        <f aca="false">J28/$AQ28*1000</f>
        <v>1786.14649588524</v>
      </c>
      <c r="K29" s="194" t="n">
        <f aca="false">K28/$AQ28*1000</f>
        <v>1740.93088725739</v>
      </c>
      <c r="L29" s="194" t="n">
        <f aca="false">L28/$AQ28*1000</f>
        <v>1694.69023964302</v>
      </c>
      <c r="M29" s="194" t="n">
        <f aca="false">M28/$AQ28*1000</f>
        <v>1692.09113793929</v>
      </c>
      <c r="N29" s="194" t="n">
        <f aca="false">N28/$AQ28*1000</f>
        <v>1683.80905655528</v>
      </c>
      <c r="O29" s="194" t="n">
        <f aca="false">O28/$AQ28*1000</f>
        <v>1668.48895819827</v>
      </c>
      <c r="P29" s="198" t="n">
        <f aca="false">P28/$AQ28*1000</f>
        <v>1706.45628544561</v>
      </c>
      <c r="Q29" s="194" t="n">
        <f aca="false">Q28/$AQ28*1000</f>
        <v>1650.67197000228</v>
      </c>
      <c r="R29" s="194" t="n">
        <f aca="false">R28/$AQ28*1000</f>
        <v>1631.4006529878</v>
      </c>
      <c r="S29" s="194" t="n">
        <f aca="false">S28/$AQ28*1000</f>
        <v>1681.26252095343</v>
      </c>
      <c r="T29" s="194" t="n">
        <f aca="false">T28/$AQ28*1000</f>
        <v>1690.06734301718</v>
      </c>
      <c r="U29" s="194" t="n">
        <f aca="false">U28/$AQ28*1000</f>
        <v>1780.62997552756</v>
      </c>
      <c r="V29" s="194" t="n">
        <f aca="false">V28/$AQ28*1000</f>
        <v>1713.98199903045</v>
      </c>
      <c r="W29" s="194" t="n">
        <f aca="false">W28/$AQ28*1000</f>
        <v>1643.32147675702</v>
      </c>
      <c r="X29" s="194" t="n">
        <f aca="false">X28/$AQ28*1000</f>
        <v>1798.98138575926</v>
      </c>
      <c r="Y29" s="194" t="n">
        <f aca="false">Y28/$AQ28*1000</f>
        <v>1797.02475863398</v>
      </c>
      <c r="Z29" s="194" t="n">
        <f aca="false">Z28/$AQ28*1000</f>
        <v>1663.79013275861</v>
      </c>
      <c r="AA29" s="194" t="n">
        <f aca="false">AA28/$AQ28*1000</f>
        <v>1718.73339057198</v>
      </c>
      <c r="AB29" s="194" t="n">
        <f aca="false">AB28/$AQ28*1000</f>
        <v>1542.27190692296</v>
      </c>
      <c r="AC29" s="194" t="n">
        <f aca="false">AC28/$AQ28*1000</f>
        <v>1414.91884377939</v>
      </c>
      <c r="AD29" s="194" t="n">
        <f aca="false">AD28/$AQ28*1000</f>
        <v>1373.97569109822</v>
      </c>
      <c r="AE29" s="194" t="n">
        <f aca="false">AE28/$AQ28*1000</f>
        <v>1309.82460444008</v>
      </c>
      <c r="AF29" s="194" t="n">
        <f aca="false">AF28/$AQ28*1000</f>
        <v>1312.76830614498</v>
      </c>
      <c r="AG29" s="194" t="n">
        <f aca="false">AG28/$AQ28*1000</f>
        <v>1202.20427187188</v>
      </c>
      <c r="AH29" s="194" t="n">
        <f aca="false">AH28/$AQ28*1000</f>
        <v>1058.10598494273</v>
      </c>
      <c r="AI29" s="194" t="n">
        <f aca="false">AI28/$AQ28*1000</f>
        <v>1459.53286257469</v>
      </c>
      <c r="AJ29" s="194" t="n">
        <f aca="false">AJ28/$AQ28*1000</f>
        <v>1357.63347409367</v>
      </c>
      <c r="AK29" s="194" t="n">
        <f aca="false">AK28/$AQ28*1000</f>
        <v>1263.94899919983</v>
      </c>
      <c r="AL29" s="194" t="n">
        <f aca="false">AL28/$AQ28*1000</f>
        <v>1192.85626675545</v>
      </c>
      <c r="AM29" s="194" t="n">
        <f aca="false">AM28/$AQ28*1000</f>
        <v>1116.03966988488</v>
      </c>
      <c r="AN29" s="194" t="n">
        <f aca="false">AN28/$AQ28*1000</f>
        <v>1070.20494939053</v>
      </c>
      <c r="AO29" s="197" t="n">
        <f aca="false">AO28/$AQ28*1000</f>
        <v>1013.07435767144</v>
      </c>
      <c r="AP29" s="194" t="n">
        <f aca="false">AP28/$AQ28*1000</f>
        <v>1030.9030272234</v>
      </c>
      <c r="AQ29" s="194" t="n">
        <v>1000</v>
      </c>
    </row>
    <row r="30" customFormat="false" ht="12.8" hidden="false" customHeight="false" outlineLevel="0" collapsed="false">
      <c r="A30" s="139" t="s">
        <v>88</v>
      </c>
      <c r="B30" s="194" t="n">
        <v>2357.88418489233</v>
      </c>
      <c r="C30" s="194" t="n">
        <v>2315.03515863226</v>
      </c>
      <c r="D30" s="194" t="n">
        <v>2383.47762422071</v>
      </c>
      <c r="E30" s="194" t="n">
        <v>2309.10587504497</v>
      </c>
      <c r="F30" s="194" t="n">
        <v>2196.18068370589</v>
      </c>
      <c r="G30" s="194" t="n">
        <v>1999.97909620747</v>
      </c>
      <c r="H30" s="194" t="n">
        <v>2025.61520729777</v>
      </c>
      <c r="I30" s="194" t="n">
        <v>1895.48927884179</v>
      </c>
      <c r="J30" s="197" t="n">
        <v>1672.03223390021</v>
      </c>
      <c r="K30" s="194" t="n">
        <v>1682.11736036407</v>
      </c>
      <c r="L30" s="194" t="n">
        <v>1633.1300237283</v>
      </c>
      <c r="M30" s="194" t="n">
        <v>1632.37278780319</v>
      </c>
      <c r="N30" s="194" t="n">
        <v>1621.85858375668</v>
      </c>
      <c r="O30" s="194" t="n">
        <v>1586.36725386777</v>
      </c>
      <c r="P30" s="198" t="n">
        <v>1575.19663541599</v>
      </c>
      <c r="Q30" s="194" t="n">
        <v>1489.11026843092</v>
      </c>
      <c r="R30" s="194" t="n">
        <v>1416.6838242412</v>
      </c>
      <c r="S30" s="194" t="n">
        <v>1496.09472566544</v>
      </c>
      <c r="T30" s="194" t="n">
        <v>1508.44432347978</v>
      </c>
      <c r="U30" s="194" t="n">
        <v>1557.69850277827</v>
      </c>
      <c r="V30" s="194" t="n">
        <v>1532.8455318585</v>
      </c>
      <c r="W30" s="194" t="n">
        <v>1460.13807591235</v>
      </c>
      <c r="X30" s="194" t="n">
        <v>1563.71128271391</v>
      </c>
      <c r="Y30" s="194" t="n">
        <v>1497.15146610851</v>
      </c>
      <c r="Z30" s="194" t="n">
        <v>1387.31849883393</v>
      </c>
      <c r="AA30" s="194" t="n">
        <v>1455.29784438881</v>
      </c>
      <c r="AB30" s="194" t="n">
        <v>1318.13499696619</v>
      </c>
      <c r="AC30" s="194" t="n">
        <v>1222.98801694993</v>
      </c>
      <c r="AD30" s="194" t="n">
        <v>1167.43690521359</v>
      </c>
      <c r="AE30" s="194" t="n">
        <v>1162.5723491976</v>
      </c>
      <c r="AF30" s="194" t="n">
        <v>1170.47750651959</v>
      </c>
      <c r="AG30" s="194" t="n">
        <v>1113.8172248871</v>
      </c>
      <c r="AH30" s="194" t="n">
        <v>975.659232671201</v>
      </c>
      <c r="AI30" s="194" t="n">
        <v>1192.34955523803</v>
      </c>
      <c r="AJ30" s="194" t="n">
        <v>1148.86822015431</v>
      </c>
      <c r="AK30" s="194" t="n">
        <v>1099.12401521379</v>
      </c>
      <c r="AL30" s="194" t="n">
        <v>1052.32955818867</v>
      </c>
      <c r="AM30" s="194" t="n">
        <v>1036.90442620961</v>
      </c>
      <c r="AN30" s="194" t="n">
        <v>1032.20539379818</v>
      </c>
      <c r="AO30" s="197" t="n">
        <v>1008.58049367492</v>
      </c>
      <c r="AP30" s="194" t="n">
        <v>1007.43119859785</v>
      </c>
      <c r="AQ30" s="194" t="n">
        <v>1000</v>
      </c>
    </row>
    <row r="31" customFormat="false" ht="12.8" hidden="false" customHeight="false" outlineLevel="0" collapsed="false">
      <c r="I31" s="1"/>
    </row>
    <row r="32" customFormat="false" ht="12.8" hidden="false" customHeight="false" outlineLevel="0" collapsed="false">
      <c r="A32" s="139" t="s">
        <v>24</v>
      </c>
      <c r="B32" s="168" t="n">
        <v>889062183.8</v>
      </c>
      <c r="C32" s="168" t="n">
        <v>869378456.52</v>
      </c>
      <c r="D32" s="32" t="n">
        <v>899672259.78</v>
      </c>
      <c r="E32" s="32" t="n">
        <v>869685667.34</v>
      </c>
      <c r="F32" s="32" t="n">
        <v>804146000.28</v>
      </c>
      <c r="G32" s="32" t="n">
        <v>667246707.26</v>
      </c>
      <c r="H32" s="32" t="n">
        <v>665115131.1</v>
      </c>
      <c r="I32" s="167" t="n">
        <v>619203604.32</v>
      </c>
      <c r="J32" s="33" t="n">
        <v>527217866.14</v>
      </c>
      <c r="K32" s="168" t="n">
        <v>481133649.08</v>
      </c>
      <c r="L32" s="32" t="n">
        <v>462882584.08</v>
      </c>
      <c r="M32" s="32" t="n">
        <v>461004114.06</v>
      </c>
      <c r="N32" s="32" t="n">
        <v>456267360.5</v>
      </c>
      <c r="O32" s="32" t="n">
        <v>433578600</v>
      </c>
      <c r="P32" s="167" t="n">
        <v>459315010.42</v>
      </c>
      <c r="Q32" s="33" t="n">
        <v>432772959.08</v>
      </c>
      <c r="R32" s="32" t="n">
        <v>410855375.56</v>
      </c>
      <c r="S32" s="32" t="n">
        <v>422381525.3</v>
      </c>
      <c r="T32" s="32" t="n">
        <v>431806486.44</v>
      </c>
      <c r="U32" s="32" t="n">
        <v>467236899.08</v>
      </c>
      <c r="V32" s="32" t="n">
        <v>450212083.3</v>
      </c>
      <c r="W32" s="32" t="n">
        <v>414399232.1</v>
      </c>
      <c r="X32" s="167" t="n">
        <v>460399698.08</v>
      </c>
      <c r="Y32" s="33" t="n">
        <v>434539513.94</v>
      </c>
      <c r="Z32" s="32" t="n">
        <v>379379792.68</v>
      </c>
      <c r="AA32" s="32" t="n">
        <v>394664364.78</v>
      </c>
      <c r="AB32" s="32" t="n">
        <v>326064077.5</v>
      </c>
      <c r="AC32" s="167" t="n">
        <v>295535697.1</v>
      </c>
      <c r="AD32" s="33" t="n">
        <v>270510429.7</v>
      </c>
      <c r="AE32" s="32" t="n">
        <v>256123031.78</v>
      </c>
      <c r="AF32" s="32" t="n">
        <v>262117533.86</v>
      </c>
      <c r="AG32" s="32" t="n">
        <v>214980128.44</v>
      </c>
      <c r="AH32" s="32" t="n">
        <v>223353383.54</v>
      </c>
      <c r="AI32" s="167" t="n">
        <v>293175102.5</v>
      </c>
      <c r="AJ32" s="33" t="n">
        <v>246361584</v>
      </c>
      <c r="AK32" s="32" t="n">
        <v>209372882.46</v>
      </c>
      <c r="AL32" s="32" t="n">
        <v>204101381.96</v>
      </c>
      <c r="AM32" s="32" t="n">
        <v>197031827.3</v>
      </c>
      <c r="AN32" s="167" t="n">
        <v>209362506.22</v>
      </c>
      <c r="AO32" s="33" t="n">
        <v>187157723.2</v>
      </c>
      <c r="AP32" s="32" t="n">
        <v>194797600.48</v>
      </c>
      <c r="AQ32" s="32" t="n">
        <v>191033990</v>
      </c>
      <c r="AR32" s="32"/>
    </row>
    <row r="33" customFormat="false" ht="12.8" hidden="false" customHeight="false" outlineLevel="0" collapsed="false">
      <c r="A33" s="139" t="s">
        <v>180</v>
      </c>
      <c r="B33" s="168" t="n">
        <v>636821421.902439</v>
      </c>
      <c r="C33" s="168" t="n">
        <v>640997811.014634</v>
      </c>
      <c r="D33" s="32" t="n">
        <v>649833679.02439</v>
      </c>
      <c r="E33" s="32" t="n">
        <v>653121806.273171</v>
      </c>
      <c r="F33" s="32" t="n">
        <v>654773661.668293</v>
      </c>
      <c r="G33" s="32" t="n">
        <v>654508741.463415</v>
      </c>
      <c r="H33" s="32" t="n">
        <v>654508741.463415</v>
      </c>
      <c r="I33" s="167" t="n">
        <v>654508741.463415</v>
      </c>
      <c r="J33" s="33" t="n">
        <v>598096321.365854</v>
      </c>
      <c r="K33" s="168" t="n">
        <v>640483554.146341</v>
      </c>
      <c r="L33" s="32" t="n">
        <v>623341658.536585</v>
      </c>
      <c r="M33" s="32" t="n">
        <v>623341658.536585</v>
      </c>
      <c r="N33" s="32" t="n">
        <v>621783304.390244</v>
      </c>
      <c r="O33" s="32" t="n">
        <v>626364865.580488</v>
      </c>
      <c r="P33" s="167" t="n">
        <v>599966346.341463</v>
      </c>
      <c r="Q33" s="33" t="n">
        <v>568799263.414634</v>
      </c>
      <c r="R33" s="32" t="n">
        <v>545423951.219512</v>
      </c>
      <c r="S33" s="32" t="n">
        <v>574097667.512195</v>
      </c>
      <c r="T33" s="32" t="n">
        <v>579318153.902439</v>
      </c>
      <c r="U33" s="32" t="n">
        <v>561007492.682927</v>
      </c>
      <c r="V33" s="32" t="n">
        <v>559449138.536585</v>
      </c>
      <c r="W33" s="32" t="n">
        <v>545688871.42439</v>
      </c>
      <c r="X33" s="167" t="n">
        <v>568799263.414634</v>
      </c>
      <c r="Y33" s="33" t="n">
        <v>537632180.487805</v>
      </c>
      <c r="Z33" s="32" t="n">
        <v>522858983.180488</v>
      </c>
      <c r="AA33" s="32" t="n">
        <v>552233958.839024</v>
      </c>
      <c r="AB33" s="32" t="n">
        <v>536073826.341463</v>
      </c>
      <c r="AC33" s="167" t="n">
        <v>508397456.702439</v>
      </c>
      <c r="AD33" s="33" t="n">
        <v>489323201.95122</v>
      </c>
      <c r="AE33" s="32" t="n">
        <v>495556618.536585</v>
      </c>
      <c r="AF33" s="32" t="n">
        <v>497348725.804878</v>
      </c>
      <c r="AG33" s="32" t="n">
        <v>487593428.84878</v>
      </c>
      <c r="AH33" s="32" t="n">
        <v>418932345.160976</v>
      </c>
      <c r="AI33" s="167" t="n">
        <v>498673326.829268</v>
      </c>
      <c r="AJ33" s="33" t="n">
        <v>498673326.829268</v>
      </c>
      <c r="AK33" s="32" t="n">
        <v>481531431.219512</v>
      </c>
      <c r="AL33" s="32" t="n">
        <v>467506243.902439</v>
      </c>
      <c r="AM33" s="32" t="n">
        <v>458156119.02439</v>
      </c>
      <c r="AN33" s="167" t="n">
        <v>456410762.380488</v>
      </c>
      <c r="AO33" s="33" t="n">
        <v>453029133.882927</v>
      </c>
      <c r="AP33" s="32" t="n">
        <v>449709839.551219</v>
      </c>
      <c r="AQ33" s="32" t="n">
        <v>446811300.839024</v>
      </c>
      <c r="AR33" s="32"/>
    </row>
    <row r="34" customFormat="false" ht="12.8" hidden="false" customHeight="false" outlineLevel="0" collapsed="false">
      <c r="A34" s="139" t="s">
        <v>181</v>
      </c>
      <c r="B34" s="168" t="n">
        <v>626662189.932683</v>
      </c>
      <c r="C34" s="168" t="n">
        <v>599396396.661463</v>
      </c>
      <c r="D34" s="32" t="n">
        <v>614694781.682927</v>
      </c>
      <c r="E34" s="32" t="n">
        <v>573912882.881951</v>
      </c>
      <c r="F34" s="32" t="n">
        <v>540210941.463415</v>
      </c>
      <c r="G34" s="32" t="n">
        <v>528828321.973171</v>
      </c>
      <c r="H34" s="32" t="n">
        <v>552015036.585366</v>
      </c>
      <c r="I34" s="167" t="n">
        <v>465341037.897561</v>
      </c>
      <c r="J34" s="33" t="n">
        <v>410217580.138537</v>
      </c>
      <c r="K34" s="168" t="n">
        <v>399083957.619512</v>
      </c>
      <c r="L34" s="32" t="n">
        <v>391733894.766342</v>
      </c>
      <c r="M34" s="32" t="n">
        <v>393006931.707317</v>
      </c>
      <c r="N34" s="32" t="n">
        <v>388381948.366829</v>
      </c>
      <c r="O34" s="32" t="n">
        <v>362732899.512195</v>
      </c>
      <c r="P34" s="167" t="n">
        <v>369181823.856585</v>
      </c>
      <c r="Q34" s="33" t="n">
        <v>329125946.341463</v>
      </c>
      <c r="R34" s="32" t="n">
        <v>315363760.146341</v>
      </c>
      <c r="S34" s="32" t="n">
        <v>347500617.423415</v>
      </c>
      <c r="T34" s="32" t="n">
        <v>344401834.146341</v>
      </c>
      <c r="U34" s="32" t="n">
        <v>391618214.634146</v>
      </c>
      <c r="V34" s="32" t="n">
        <v>386025434.365366</v>
      </c>
      <c r="W34" s="32" t="n">
        <v>366418415.752683</v>
      </c>
      <c r="X34" s="167" t="n">
        <v>395784365.853659</v>
      </c>
      <c r="Y34" s="33" t="n">
        <v>405434283.051707</v>
      </c>
      <c r="Z34" s="32" t="n">
        <v>361080326.195122</v>
      </c>
      <c r="AA34" s="32" t="n">
        <v>374802100.723415</v>
      </c>
      <c r="AB34" s="32" t="n">
        <v>306780238.78878</v>
      </c>
      <c r="AC34" s="167" t="n">
        <v>257553412.594146</v>
      </c>
      <c r="AD34" s="33" t="n">
        <v>255662813.170732</v>
      </c>
      <c r="AE34" s="32" t="n">
        <v>244171179.390244</v>
      </c>
      <c r="AF34" s="32" t="n">
        <v>241328058.926341</v>
      </c>
      <c r="AG34" s="32" t="n">
        <v>222194731.707317</v>
      </c>
      <c r="AH34" s="32" t="n">
        <v>192726155.414634</v>
      </c>
      <c r="AI34" s="167" t="n">
        <v>258670635.479512</v>
      </c>
      <c r="AJ34" s="33" t="n">
        <v>238917246.087317</v>
      </c>
      <c r="AK34" s="32" t="n">
        <v>233998826.829268</v>
      </c>
      <c r="AL34" s="32" t="n">
        <v>235877205.542439</v>
      </c>
      <c r="AM34" s="32" t="n">
        <v>217804580.423902</v>
      </c>
      <c r="AN34" s="167" t="n">
        <v>212473712.195122</v>
      </c>
      <c r="AO34" s="33" t="n">
        <v>195809107.317073</v>
      </c>
      <c r="AP34" s="32" t="n">
        <v>198258804.234146</v>
      </c>
      <c r="AQ34" s="32" t="n">
        <v>194420390.243902</v>
      </c>
      <c r="AR34" s="32"/>
    </row>
    <row r="35" customFormat="false" ht="12.8" hidden="false" customHeight="false" outlineLevel="0" collapsed="false">
      <c r="A35" s="139" t="s">
        <v>30</v>
      </c>
      <c r="B35" s="168" t="n">
        <v>518290128.416098</v>
      </c>
      <c r="C35" s="168" t="n">
        <v>512282402.401626</v>
      </c>
      <c r="D35" s="32" t="n">
        <v>518986487.469106</v>
      </c>
      <c r="E35" s="32" t="n">
        <v>515020592.327642</v>
      </c>
      <c r="F35" s="32" t="n">
        <v>479189055.560976</v>
      </c>
      <c r="G35" s="32" t="n">
        <v>467290904.655935</v>
      </c>
      <c r="H35" s="32" t="n">
        <v>474678780.798862</v>
      </c>
      <c r="I35" s="167" t="n">
        <v>471234223.985854</v>
      </c>
      <c r="J35" s="33" t="n">
        <v>422529587.09187</v>
      </c>
      <c r="K35" s="168" t="n">
        <v>411979933.631057</v>
      </c>
      <c r="L35" s="32" t="n">
        <v>409332046.95122</v>
      </c>
      <c r="M35" s="32" t="n">
        <v>407624431.185203</v>
      </c>
      <c r="N35" s="32" t="n">
        <v>407168492.88813</v>
      </c>
      <c r="O35" s="32" t="n">
        <v>415406103.958374</v>
      </c>
      <c r="P35" s="167" t="n">
        <v>416945913.949919</v>
      </c>
      <c r="Q35" s="33" t="n">
        <v>399319092.680325</v>
      </c>
      <c r="R35" s="32" t="n">
        <v>374020219.330732</v>
      </c>
      <c r="S35" s="32" t="n">
        <v>392622920.783902</v>
      </c>
      <c r="T35" s="32" t="n">
        <v>389896135.133821</v>
      </c>
      <c r="U35" s="32" t="n">
        <v>418932585.365854</v>
      </c>
      <c r="V35" s="32" t="n">
        <v>408122030.000488</v>
      </c>
      <c r="W35" s="32" t="n">
        <v>383416178.999512</v>
      </c>
      <c r="X35" s="167" t="n">
        <v>423701434.629268</v>
      </c>
      <c r="Y35" s="33" t="n">
        <v>429177116.260325</v>
      </c>
      <c r="Z35" s="32" t="n">
        <v>398316214.619024</v>
      </c>
      <c r="AA35" s="32" t="n">
        <v>417615740.605854</v>
      </c>
      <c r="AB35" s="32" t="n">
        <v>360747504.065041</v>
      </c>
      <c r="AC35" s="167" t="n">
        <v>332681813.729431</v>
      </c>
      <c r="AD35" s="33" t="n">
        <v>307379682.015285</v>
      </c>
      <c r="AE35" s="32" t="n">
        <v>290926570.205691</v>
      </c>
      <c r="AF35" s="32" t="n">
        <v>298712199.56439</v>
      </c>
      <c r="AG35" s="32" t="n">
        <v>277078520.856098</v>
      </c>
      <c r="AH35" s="32" t="n">
        <v>225862848.593496</v>
      </c>
      <c r="AI35" s="167" t="n">
        <v>303340473.671382</v>
      </c>
      <c r="AJ35" s="33" t="n">
        <v>276964012.616098</v>
      </c>
      <c r="AK35" s="32" t="n">
        <v>260700118.690894</v>
      </c>
      <c r="AL35" s="32" t="n">
        <v>232671899.547642</v>
      </c>
      <c r="AM35" s="32" t="n">
        <v>210536432.698211</v>
      </c>
      <c r="AN35" s="167" t="n">
        <v>197829276.422764</v>
      </c>
      <c r="AO35" s="33" t="n">
        <v>190861962.04748</v>
      </c>
      <c r="AP35" s="32" t="n">
        <v>194392632.780813</v>
      </c>
      <c r="AQ35" s="32" t="n">
        <v>187301500.55252</v>
      </c>
      <c r="AR35" s="32"/>
    </row>
    <row r="36" customFormat="false" ht="12.8" hidden="false" customHeight="false" outlineLevel="0" collapsed="false">
      <c r="A36" s="139" t="s">
        <v>182</v>
      </c>
      <c r="B36" s="168" t="n">
        <v>562794123.892683</v>
      </c>
      <c r="C36" s="168" t="n">
        <v>511029658.536585</v>
      </c>
      <c r="D36" s="32" t="n">
        <v>511029658.536585</v>
      </c>
      <c r="E36" s="32" t="n">
        <v>445473070.507317</v>
      </c>
      <c r="F36" s="32" t="n">
        <v>442892370.731707</v>
      </c>
      <c r="G36" s="32" t="n">
        <v>452045479.726829</v>
      </c>
      <c r="H36" s="32" t="n">
        <v>429361440.995122</v>
      </c>
      <c r="I36" s="167" t="n">
        <v>400306565.853659</v>
      </c>
      <c r="J36" s="33" t="n">
        <v>374124813.014634</v>
      </c>
      <c r="K36" s="168" t="n">
        <v>380220261.219512</v>
      </c>
      <c r="L36" s="32" t="n">
        <v>368168478.439024</v>
      </c>
      <c r="M36" s="32" t="n">
        <v>368793070.243902</v>
      </c>
      <c r="N36" s="32" t="n">
        <v>365059714.682927</v>
      </c>
      <c r="O36" s="32" t="n">
        <v>350907032.195122</v>
      </c>
      <c r="P36" s="167" t="n">
        <v>373610944.302439</v>
      </c>
      <c r="Q36" s="33" t="n">
        <v>382136622.439024</v>
      </c>
      <c r="R36" s="32" t="n">
        <v>383272243.902439</v>
      </c>
      <c r="S36" s="32" t="n">
        <v>399031830.760976</v>
      </c>
      <c r="T36" s="32" t="n">
        <v>388822593.804878</v>
      </c>
      <c r="U36" s="32" t="n">
        <v>425858048.780488</v>
      </c>
      <c r="V36" s="32" t="n">
        <v>398035322.926829</v>
      </c>
      <c r="W36" s="32" t="n">
        <v>384217648.770732</v>
      </c>
      <c r="X36" s="167" t="n">
        <v>425858048.780488</v>
      </c>
      <c r="Y36" s="33" t="n">
        <v>389878721.765854</v>
      </c>
      <c r="Z36" s="32" t="n">
        <v>371916029.268293</v>
      </c>
      <c r="AA36" s="32" t="n">
        <v>381952083.95122</v>
      </c>
      <c r="AB36" s="32" t="n">
        <v>340686439.02439</v>
      </c>
      <c r="AC36" s="167" t="n">
        <v>338415196.097561</v>
      </c>
      <c r="AD36" s="33" t="n">
        <v>325065965.795122</v>
      </c>
      <c r="AE36" s="32" t="n">
        <v>323300074.419512</v>
      </c>
      <c r="AF36" s="32" t="n">
        <v>335666992.156098</v>
      </c>
      <c r="AG36" s="32" t="n">
        <v>298100634.146341</v>
      </c>
      <c r="AH36" s="32" t="n">
        <v>251525958.878049</v>
      </c>
      <c r="AI36" s="167" t="n">
        <v>354881707.317073</v>
      </c>
      <c r="AJ36" s="33" t="n">
        <v>341140687.609756</v>
      </c>
      <c r="AK36" s="32" t="n">
        <v>340686439.02439</v>
      </c>
      <c r="AL36" s="32" t="n">
        <v>340686439.02439</v>
      </c>
      <c r="AM36" s="32" t="n">
        <v>293805145.960976</v>
      </c>
      <c r="AN36" s="167" t="n">
        <v>334554083.121951</v>
      </c>
      <c r="AO36" s="33" t="n">
        <v>340686439.02439</v>
      </c>
      <c r="AP36" s="32" t="n">
        <v>328106592.263415</v>
      </c>
      <c r="AQ36" s="32" t="n">
        <v>322082120.4</v>
      </c>
      <c r="AR36" s="32"/>
    </row>
    <row r="37" customFormat="false" ht="12.8" hidden="false" customHeight="false" outlineLevel="0" collapsed="false">
      <c r="A37" s="139" t="s">
        <v>27</v>
      </c>
      <c r="B37" s="33" t="n">
        <v>159310018.722602</v>
      </c>
      <c r="C37" s="168" t="n">
        <v>155096643.94439</v>
      </c>
      <c r="D37" s="32" t="n">
        <v>155324715.447154</v>
      </c>
      <c r="E37" s="32" t="n">
        <v>148928279.203577</v>
      </c>
      <c r="F37" s="32" t="n">
        <v>144269067.671545</v>
      </c>
      <c r="G37" s="32" t="n">
        <v>129700833.686829</v>
      </c>
      <c r="H37" s="32" t="n">
        <v>124259735.810732</v>
      </c>
      <c r="I37" s="167" t="n">
        <v>119691434.920976</v>
      </c>
      <c r="J37" s="33" t="n">
        <v>117636543.756098</v>
      </c>
      <c r="K37" s="168" t="n">
        <v>126998969.398374</v>
      </c>
      <c r="L37" s="32" t="n">
        <v>119234560.97561</v>
      </c>
      <c r="M37" s="32" t="n">
        <v>119325928.455285</v>
      </c>
      <c r="N37" s="32" t="n">
        <v>119326385.292683</v>
      </c>
      <c r="O37" s="32" t="n">
        <v>120480996.133333</v>
      </c>
      <c r="P37" s="167" t="n">
        <v>121650847.069593</v>
      </c>
      <c r="Q37" s="33" t="n">
        <v>123152508.145041</v>
      </c>
      <c r="R37" s="32" t="n">
        <v>120605164.538211</v>
      </c>
      <c r="S37" s="32" t="n">
        <v>127608244.299837</v>
      </c>
      <c r="T37" s="32" t="n">
        <v>129741821.138211</v>
      </c>
      <c r="U37" s="32" t="n">
        <v>134316280.196098</v>
      </c>
      <c r="V37" s="32" t="n">
        <v>126074860.435447</v>
      </c>
      <c r="W37" s="32" t="n">
        <v>124990712.195122</v>
      </c>
      <c r="X37" s="167" t="n">
        <v>138878569.105691</v>
      </c>
      <c r="Y37" s="33" t="n">
        <v>143044926.178862</v>
      </c>
      <c r="Z37" s="32" t="n">
        <v>138029162.194146</v>
      </c>
      <c r="AA37" s="32" t="n">
        <v>141135656.503089</v>
      </c>
      <c r="AB37" s="32" t="n">
        <v>139238410.787642</v>
      </c>
      <c r="AC37" s="167" t="n">
        <v>131569243.825691</v>
      </c>
      <c r="AD37" s="33" t="n">
        <v>134541025.922602</v>
      </c>
      <c r="AE37" s="32" t="n">
        <v>127841030.364553</v>
      </c>
      <c r="AF37" s="32" t="n">
        <v>122864463.028618</v>
      </c>
      <c r="AG37" s="32" t="n">
        <v>118777723.577236</v>
      </c>
      <c r="AH37" s="32" t="n">
        <v>92274594.2865041</v>
      </c>
      <c r="AI37" s="167" t="n">
        <v>140863728.610081</v>
      </c>
      <c r="AJ37" s="33" t="n">
        <v>142259513.050081</v>
      </c>
      <c r="AK37" s="32" t="n">
        <v>133396447.23122</v>
      </c>
      <c r="AL37" s="32" t="n">
        <v>121168043.033496</v>
      </c>
      <c r="AM37" s="32" t="n">
        <v>113260918.60748</v>
      </c>
      <c r="AN37" s="167" t="n">
        <v>94108504.0650407</v>
      </c>
      <c r="AO37" s="33" t="n">
        <v>86790517.1479675</v>
      </c>
      <c r="AP37" s="32" t="n">
        <v>88339762.4068293</v>
      </c>
      <c r="AQ37" s="32" t="n">
        <v>85068605.6260163</v>
      </c>
      <c r="AR37" s="32"/>
    </row>
    <row r="38" customFormat="false" ht="12.8" hidden="false" customHeight="false" outlineLevel="0" collapsed="false">
      <c r="A38" s="139" t="s">
        <v>184</v>
      </c>
      <c r="B38" s="168" t="n">
        <v>81419457.5100813</v>
      </c>
      <c r="C38" s="168" t="n">
        <v>71933147.5726829</v>
      </c>
      <c r="D38" s="32" t="n">
        <v>71915168.7804878</v>
      </c>
      <c r="E38" s="32" t="n">
        <v>71915168.7804878</v>
      </c>
      <c r="F38" s="32" t="n">
        <v>66921059.8373984</v>
      </c>
      <c r="G38" s="32" t="n">
        <v>68918703.4146342</v>
      </c>
      <c r="H38" s="32" t="n">
        <v>61427540</v>
      </c>
      <c r="I38" s="167" t="n">
        <v>58573906.1499187</v>
      </c>
      <c r="J38" s="33" t="n">
        <v>58893029.7113821</v>
      </c>
      <c r="K38" s="168" t="n">
        <v>55934020.1626016</v>
      </c>
      <c r="L38" s="32" t="n">
        <v>55714279.3691057</v>
      </c>
      <c r="M38" s="32" t="n">
        <v>55434609.2682927</v>
      </c>
      <c r="N38" s="32" t="n">
        <v>55434609.2682927</v>
      </c>
      <c r="O38" s="32" t="n">
        <v>57400789.959187</v>
      </c>
      <c r="P38" s="167" t="n">
        <v>59979248.4065041</v>
      </c>
      <c r="Q38" s="33" t="n">
        <v>63678884.3115447</v>
      </c>
      <c r="R38" s="32" t="n">
        <v>74891657.7105691</v>
      </c>
      <c r="S38" s="32" t="n">
        <v>69336710.3331707</v>
      </c>
      <c r="T38" s="32" t="n">
        <v>65922238.0487805</v>
      </c>
      <c r="U38" s="32" t="n">
        <v>64920919.2056911</v>
      </c>
      <c r="V38" s="32" t="n">
        <v>59138240.4604878</v>
      </c>
      <c r="W38" s="32" t="n">
        <v>59138240.4604878</v>
      </c>
      <c r="X38" s="167" t="n">
        <v>65690511.3938211</v>
      </c>
      <c r="Y38" s="33" t="n">
        <v>69556950.537561</v>
      </c>
      <c r="Z38" s="32" t="n">
        <v>65173121.7073171</v>
      </c>
      <c r="AA38" s="32" t="n">
        <v>64973357.3495935</v>
      </c>
      <c r="AB38" s="32" t="n">
        <v>59929307.3170732</v>
      </c>
      <c r="AC38" s="167" t="n">
        <v>52594958.923252</v>
      </c>
      <c r="AD38" s="33" t="n">
        <v>55881582.0186992</v>
      </c>
      <c r="AE38" s="32" t="n">
        <v>51439322.1138211</v>
      </c>
      <c r="AF38" s="32" t="n">
        <v>51426337.4305691</v>
      </c>
      <c r="AG38" s="32" t="n">
        <v>46500148.3691057</v>
      </c>
      <c r="AH38" s="32" t="n">
        <v>39496409.9873171</v>
      </c>
      <c r="AI38" s="167" t="n">
        <v>59899342.6634146</v>
      </c>
      <c r="AJ38" s="33" t="n">
        <v>56248149.615122</v>
      </c>
      <c r="AK38" s="32" t="n">
        <v>51127190.3048781</v>
      </c>
      <c r="AL38" s="32" t="n">
        <v>46815776.0543089</v>
      </c>
      <c r="AM38" s="32" t="n">
        <v>43515169.4538211</v>
      </c>
      <c r="AN38" s="167" t="n">
        <v>40951693.3333333</v>
      </c>
      <c r="AO38" s="33" t="n">
        <v>39976843.2676423</v>
      </c>
      <c r="AP38" s="32" t="n">
        <v>43178566.5110569</v>
      </c>
      <c r="AQ38" s="32" t="n">
        <v>40672522.6434146</v>
      </c>
      <c r="AR38" s="32"/>
    </row>
    <row r="39" customFormat="false" ht="12.8" hidden="false" customHeight="false" outlineLevel="0" collapsed="false">
      <c r="A39" s="139" t="s">
        <v>229</v>
      </c>
      <c r="B39" s="33" t="n">
        <v>62220057.0713821</v>
      </c>
      <c r="C39" s="168" t="n">
        <v>62144861.7886179</v>
      </c>
      <c r="D39" s="32" t="n">
        <v>63831650.8943089</v>
      </c>
      <c r="E39" s="32" t="n">
        <v>61700969.9186992</v>
      </c>
      <c r="F39" s="32" t="n">
        <v>59925402.4390244</v>
      </c>
      <c r="G39" s="32" t="n">
        <v>63338930.9186992</v>
      </c>
      <c r="H39" s="32" t="n">
        <v>61541168.8455285</v>
      </c>
      <c r="I39" s="167" t="n">
        <v>62855088.7804878</v>
      </c>
      <c r="J39" s="33" t="n">
        <v>50294280.5373984</v>
      </c>
      <c r="K39" s="168" t="n">
        <v>44407475.3369106</v>
      </c>
      <c r="L39" s="32" t="n">
        <v>44389186.9918699</v>
      </c>
      <c r="M39" s="32" t="n">
        <v>44389186.9918699</v>
      </c>
      <c r="N39" s="32" t="n">
        <v>44398064.8292683</v>
      </c>
      <c r="O39" s="32" t="n">
        <v>45720862.601626</v>
      </c>
      <c r="P39" s="167" t="n">
        <v>43501403.2520325</v>
      </c>
      <c r="Q39" s="33" t="n">
        <v>15424652.195122</v>
      </c>
      <c r="R39" s="32" t="n">
        <v>17132154.8455285</v>
      </c>
      <c r="S39" s="32" t="n">
        <v>17132154.8455285</v>
      </c>
      <c r="T39" s="32" t="n">
        <v>19038527.6001626</v>
      </c>
      <c r="U39" s="32" t="n">
        <v>19360160.1626016</v>
      </c>
      <c r="V39" s="32" t="n">
        <v>19085499.7920325</v>
      </c>
      <c r="W39" s="32" t="n">
        <v>19085499.7920325</v>
      </c>
      <c r="X39" s="32" t="n">
        <v>20947058.5365854</v>
      </c>
      <c r="Y39" s="33" t="n">
        <v>19677539.8373984</v>
      </c>
      <c r="Z39" s="32" t="n">
        <v>19042780.4878049</v>
      </c>
      <c r="AA39" s="32" t="n">
        <v>19042780.4878049</v>
      </c>
      <c r="AB39" s="32" t="n">
        <v>19994919.5121951</v>
      </c>
      <c r="AC39" s="32" t="n">
        <v>18953914.1788618</v>
      </c>
      <c r="AD39" s="33" t="n">
        <v>18344545.203252</v>
      </c>
      <c r="AE39" s="32" t="n">
        <v>18547668.195122</v>
      </c>
      <c r="AF39" s="32" t="n">
        <v>17484509.7604878</v>
      </c>
      <c r="AG39" s="32" t="n">
        <v>16507678.5973984</v>
      </c>
      <c r="AH39" s="32" t="n">
        <v>14599465.0406504</v>
      </c>
      <c r="AI39" s="32" t="n">
        <v>20419636.9930081</v>
      </c>
      <c r="AJ39" s="33" t="n">
        <v>19677539.8373984</v>
      </c>
      <c r="AK39" s="32" t="n">
        <v>16837563.0313821</v>
      </c>
      <c r="AL39" s="32" t="n">
        <v>16090832.1325203</v>
      </c>
      <c r="AM39" s="32" t="n">
        <v>15111208.0282927</v>
      </c>
      <c r="AN39" s="32" t="n">
        <v>16810966.6146342</v>
      </c>
      <c r="AO39" s="33" t="n">
        <v>13583850.0813008</v>
      </c>
      <c r="AP39" s="32" t="n">
        <v>15494475.7235772</v>
      </c>
      <c r="AQ39" s="32" t="n">
        <v>14599465.0406504</v>
      </c>
    </row>
    <row r="40" customFormat="false" ht="12.8" hidden="false" customHeight="false" outlineLevel="0" collapsed="false">
      <c r="A40" s="139" t="s">
        <v>186</v>
      </c>
      <c r="B40" s="33" t="n">
        <v>58997055.1039024</v>
      </c>
      <c r="C40" s="168" t="n">
        <v>55666825.8536585</v>
      </c>
      <c r="D40" s="32" t="n">
        <v>54049031.7073171</v>
      </c>
      <c r="E40" s="32" t="n">
        <v>58828878.0487805</v>
      </c>
      <c r="F40" s="32" t="n">
        <v>47813170.6341463</v>
      </c>
      <c r="G40" s="32" t="n">
        <v>42077355.0243902</v>
      </c>
      <c r="H40" s="32" t="n">
        <v>37871090.2439024</v>
      </c>
      <c r="I40" s="167" t="n">
        <v>36768048.7804878</v>
      </c>
      <c r="J40" s="33" t="n">
        <v>35107015.4087805</v>
      </c>
      <c r="K40" s="168" t="n">
        <v>32355882.9268293</v>
      </c>
      <c r="L40" s="32" t="n">
        <v>32355882.9268293</v>
      </c>
      <c r="M40" s="32" t="n">
        <v>32355882.9268293</v>
      </c>
      <c r="N40" s="32" t="n">
        <v>31988202.4390244</v>
      </c>
      <c r="O40" s="32" t="n">
        <v>32576491.2195122</v>
      </c>
      <c r="P40" s="167" t="n">
        <v>33458924.3902439</v>
      </c>
      <c r="Q40" s="33" t="n">
        <v>32355882.9268293</v>
      </c>
      <c r="R40" s="32" t="n">
        <v>32355882.9268293</v>
      </c>
      <c r="S40" s="32" t="n">
        <v>32297568.8014634</v>
      </c>
      <c r="T40" s="32" t="n">
        <v>33525106.8780488</v>
      </c>
      <c r="U40" s="32" t="n">
        <v>33826604.8780488</v>
      </c>
      <c r="V40" s="32" t="n">
        <v>34561965.8536585</v>
      </c>
      <c r="W40" s="32" t="n">
        <v>34561965.8536585</v>
      </c>
      <c r="X40" s="167" t="n">
        <v>34561965.8536585</v>
      </c>
      <c r="Y40" s="33" t="n">
        <v>35665007.3170732</v>
      </c>
      <c r="Z40" s="32" t="n">
        <v>34561965.8536585</v>
      </c>
      <c r="AA40" s="32" t="n">
        <v>36760695.1707317</v>
      </c>
      <c r="AB40" s="32" t="n">
        <v>33091243.902439</v>
      </c>
      <c r="AC40" s="167" t="n">
        <v>30598370.195122</v>
      </c>
      <c r="AD40" s="33" t="n">
        <v>30641682.9565854</v>
      </c>
      <c r="AE40" s="32" t="n">
        <v>29414439.0243902</v>
      </c>
      <c r="AF40" s="32" t="n">
        <v>29414439.0243902</v>
      </c>
      <c r="AG40" s="32" t="n">
        <v>32944171.7073171</v>
      </c>
      <c r="AH40" s="32" t="n">
        <v>32355882.9268293</v>
      </c>
      <c r="AI40" s="167" t="n">
        <v>41915575.6097561</v>
      </c>
      <c r="AJ40" s="33" t="n">
        <v>41402440.7209756</v>
      </c>
      <c r="AK40" s="32" t="n">
        <v>39055021.4146341</v>
      </c>
      <c r="AL40" s="32" t="n">
        <v>39047667.8048781</v>
      </c>
      <c r="AM40" s="32" t="n">
        <v>39231508.0487805</v>
      </c>
      <c r="AN40" s="167" t="n">
        <v>37144921.2804878</v>
      </c>
      <c r="AO40" s="33" t="n">
        <v>36768048.7804878</v>
      </c>
      <c r="AP40" s="32" t="n">
        <v>35853774.4795122</v>
      </c>
      <c r="AQ40" s="32" t="n">
        <v>34924866.495122</v>
      </c>
    </row>
    <row r="41" customFormat="false" ht="12.8" hidden="false" customHeight="false" outlineLevel="0" collapsed="false">
      <c r="A41" s="139" t="s">
        <v>189</v>
      </c>
      <c r="B41" s="168" t="n">
        <v>25761875.5902439</v>
      </c>
      <c r="C41" s="168" t="n">
        <v>26572331.7073171</v>
      </c>
      <c r="D41" s="32" t="n">
        <v>27059491.1219512</v>
      </c>
      <c r="E41" s="32" t="n">
        <v>22881730.0813008</v>
      </c>
      <c r="F41" s="32" t="n">
        <v>21590019.5121951</v>
      </c>
      <c r="G41" s="32" t="n">
        <v>21405489.4308943</v>
      </c>
      <c r="H41" s="32" t="n">
        <v>21479301.4634146</v>
      </c>
      <c r="I41" s="167" t="n">
        <v>21390727.0243902</v>
      </c>
      <c r="J41" s="33" t="n">
        <v>21405489.4308943</v>
      </c>
      <c r="K41" s="168" t="n">
        <v>18453451.0022764</v>
      </c>
      <c r="L41" s="32" t="n">
        <v>18455222.4910569</v>
      </c>
      <c r="M41" s="32" t="n">
        <v>18453008.1300813</v>
      </c>
      <c r="N41" s="32" t="n">
        <v>18452270.0097561</v>
      </c>
      <c r="O41" s="32" t="n">
        <v>18438245.7235772</v>
      </c>
      <c r="P41" s="167" t="n">
        <v>19944011.1869919</v>
      </c>
      <c r="Q41" s="33" t="n">
        <v>20003060.8130081</v>
      </c>
      <c r="R41" s="32" t="n">
        <v>20372120.9756098</v>
      </c>
      <c r="S41" s="32" t="n">
        <v>20076872.8455285</v>
      </c>
      <c r="T41" s="32" t="n">
        <v>20973393.7925203</v>
      </c>
      <c r="U41" s="32" t="n">
        <v>20519745.0406504</v>
      </c>
      <c r="V41" s="32" t="n">
        <v>20572151.5837398</v>
      </c>
      <c r="W41" s="32" t="n">
        <v>19338752.5203252</v>
      </c>
      <c r="X41" s="167" t="n">
        <v>19338752.5203252</v>
      </c>
      <c r="Y41" s="33" t="n">
        <v>21110241.300813</v>
      </c>
      <c r="Z41" s="32" t="n">
        <v>20814993.1707317</v>
      </c>
      <c r="AA41" s="32" t="n">
        <v>21376555.1141463</v>
      </c>
      <c r="AB41" s="32" t="n">
        <v>21555770.7291057</v>
      </c>
      <c r="AC41" s="167" t="n">
        <v>20667369.1056911</v>
      </c>
      <c r="AD41" s="33" t="n">
        <v>19984607.8048781</v>
      </c>
      <c r="AE41" s="32" t="n">
        <v>19191128.4552846</v>
      </c>
      <c r="AF41" s="32" t="n">
        <v>19707369.8107317</v>
      </c>
      <c r="AG41" s="32" t="n">
        <v>17272015.6097561</v>
      </c>
      <c r="AH41" s="32" t="n">
        <v>17212965.9837398</v>
      </c>
      <c r="AI41" s="167" t="n">
        <v>24697506.0813008</v>
      </c>
      <c r="AJ41" s="33" t="n">
        <v>23002781.8146341</v>
      </c>
      <c r="AK41" s="32" t="n">
        <v>21110241.300813</v>
      </c>
      <c r="AL41" s="32" t="n">
        <v>21848361.6260163</v>
      </c>
      <c r="AM41" s="32" t="n">
        <v>19043504.3902439</v>
      </c>
      <c r="AN41" s="167" t="n">
        <v>20372120.9756098</v>
      </c>
      <c r="AO41" s="33" t="n">
        <v>18808929.7508943</v>
      </c>
      <c r="AP41" s="32" t="n">
        <v>17700863.5186992</v>
      </c>
      <c r="AQ41" s="32" t="n">
        <v>16415796.0325203</v>
      </c>
    </row>
    <row r="42" customFormat="false" ht="12.8" hidden="false" customHeight="false" outlineLevel="0" collapsed="false">
      <c r="A42" s="27"/>
      <c r="B42" s="27"/>
      <c r="C42" s="211"/>
      <c r="D42" s="211"/>
      <c r="E42" s="211"/>
      <c r="F42" s="211"/>
      <c r="G42" s="211"/>
      <c r="H42" s="211"/>
      <c r="I42" s="212"/>
      <c r="J42" s="213"/>
      <c r="K42" s="211"/>
      <c r="L42" s="211"/>
      <c r="M42" s="211"/>
      <c r="N42" s="211"/>
      <c r="O42" s="211"/>
      <c r="P42" s="212"/>
      <c r="Q42" s="213"/>
      <c r="R42" s="211"/>
      <c r="S42" s="211"/>
      <c r="T42" s="211"/>
      <c r="U42" s="211"/>
      <c r="V42" s="211"/>
      <c r="W42" s="211"/>
      <c r="X42" s="212"/>
      <c r="Y42" s="213"/>
      <c r="Z42" s="211"/>
      <c r="AA42" s="211"/>
      <c r="AB42" s="211"/>
      <c r="AC42" s="212"/>
      <c r="AD42" s="213"/>
      <c r="AE42" s="211"/>
      <c r="AF42" s="211"/>
      <c r="AG42" s="211"/>
      <c r="AH42" s="211"/>
      <c r="AI42" s="212"/>
      <c r="AJ42" s="213"/>
      <c r="AM42" s="211"/>
      <c r="AN42" s="212"/>
      <c r="AO42" s="213"/>
      <c r="AP42" s="211"/>
    </row>
    <row r="43" customFormat="false" ht="12.8" hidden="false" customHeight="false" outlineLevel="0" collapsed="false">
      <c r="A43" s="139" t="s">
        <v>230</v>
      </c>
      <c r="B43" s="203" t="s">
        <v>44</v>
      </c>
      <c r="C43" s="27" t="s">
        <v>231</v>
      </c>
      <c r="D43" s="23" t="s">
        <v>42</v>
      </c>
      <c r="E43" s="28" t="s">
        <v>41</v>
      </c>
      <c r="F43" s="23" t="s">
        <v>40</v>
      </c>
      <c r="G43" s="28" t="s">
        <v>38</v>
      </c>
      <c r="H43" s="23" t="s">
        <v>37</v>
      </c>
      <c r="I43" s="45" t="s">
        <v>36</v>
      </c>
      <c r="J43" s="33"/>
      <c r="K43" s="168"/>
      <c r="L43" s="32"/>
      <c r="M43" s="32"/>
      <c r="N43" s="32"/>
      <c r="O43" s="32"/>
      <c r="P43" s="167"/>
      <c r="Q43" s="33"/>
      <c r="R43" s="32"/>
      <c r="S43" s="32"/>
      <c r="T43" s="32"/>
      <c r="U43" s="32"/>
      <c r="V43" s="32"/>
      <c r="W43" s="32"/>
      <c r="X43" s="167"/>
      <c r="Y43" s="33"/>
      <c r="Z43" s="32"/>
      <c r="AA43" s="32"/>
      <c r="AB43" s="32"/>
      <c r="AC43" s="167"/>
      <c r="AD43" s="33"/>
      <c r="AE43" s="32"/>
      <c r="AF43" s="32"/>
      <c r="AG43" s="32"/>
      <c r="AH43" s="32"/>
      <c r="AI43" s="167"/>
      <c r="AJ43" s="33"/>
      <c r="AK43" s="32"/>
      <c r="AL43" s="32"/>
      <c r="AM43" s="32"/>
      <c r="AN43" s="167"/>
      <c r="AO43" s="33"/>
      <c r="AP43" s="32"/>
    </row>
    <row r="45" customFormat="false" ht="12.8" hidden="false" customHeight="false" outlineLevel="0" collapsed="false">
      <c r="A45" s="139" t="s">
        <v>228</v>
      </c>
      <c r="B45" s="179" t="n">
        <f aca="false">B28/C28-1</f>
        <v>0.0354323366693603</v>
      </c>
      <c r="C45" s="179" t="n">
        <f aca="false">C28/D28-1</f>
        <v>-0.013603974242419</v>
      </c>
      <c r="D45" s="117" t="n">
        <f aca="false">D28/E28-1</f>
        <v>0.032475596126547</v>
      </c>
      <c r="E45" s="117" t="n">
        <f aca="false">E28/F28-1</f>
        <v>0.0661037100106949</v>
      </c>
      <c r="F45" s="117" t="n">
        <f aca="false">F28/G28-1</f>
        <v>0.0719924754492052</v>
      </c>
      <c r="G45" s="117" t="n">
        <f aca="false">G28/H28-1</f>
        <v>0.0169814337644842</v>
      </c>
      <c r="H45" s="117" t="n">
        <f aca="false">H28/I28-1</f>
        <v>0.0551498637602179</v>
      </c>
      <c r="I45" s="178" t="n">
        <f aca="false">I28/J28-1</f>
        <v>0.095078177243171</v>
      </c>
      <c r="J45" s="177" t="n">
        <f aca="false">J28/L28-1</f>
        <v>0.0539663556813128</v>
      </c>
      <c r="K45" s="179" t="n">
        <f aca="false">K28/M28-1</f>
        <v>0.0288635453629171</v>
      </c>
      <c r="L45" s="117" t="n">
        <f aca="false">L28/M28-1</f>
        <v>0.00153602938130826</v>
      </c>
      <c r="M45" s="117" t="n">
        <f aca="false">M28/N28-1</f>
        <v>0.00491865829546634</v>
      </c>
      <c r="N45" s="117" t="n">
        <f aca="false">N28/O28-1</f>
        <v>0.00918201962424781</v>
      </c>
      <c r="O45" s="117" t="n">
        <f aca="false">O28/P28-1</f>
        <v>-0.0222492234762594</v>
      </c>
      <c r="P45" s="178" t="n">
        <f aca="false">P28/Q28-1</f>
        <v>0.0337949128943287</v>
      </c>
      <c r="Q45" s="177" t="n">
        <f aca="false">Q28/R28-1</f>
        <v>0.0118127432272293</v>
      </c>
      <c r="R45" s="117" t="n">
        <f aca="false">R28/S28-1</f>
        <v>-0.0296573957631299</v>
      </c>
      <c r="S45" s="117" t="n">
        <f aca="false">S28/T28-1</f>
        <v>-0.00520974628621973</v>
      </c>
      <c r="T45" s="117" t="n">
        <f aca="false">T28/U28-1</f>
        <v>-0.0508598831621659</v>
      </c>
      <c r="U45" s="117" t="n">
        <f aca="false">U28/V28-1</f>
        <v>0.0388848754157354</v>
      </c>
      <c r="V45" s="117" t="n">
        <f aca="false">V28/W28-1</f>
        <v>0.042998599648846</v>
      </c>
      <c r="W45" s="117" t="n">
        <f aca="false">W28/X28-1</f>
        <v>-0.0865266924018455</v>
      </c>
      <c r="X45" s="178" t="n">
        <f aca="false">X28/Y28-1</f>
        <v>0.00108881478447986</v>
      </c>
      <c r="Y45" s="177" t="n">
        <f aca="false">Y28/Z28-1</f>
        <v>0.0800789854754487</v>
      </c>
      <c r="Z45" s="117" t="n">
        <f aca="false">Z28/AA28-1</f>
        <v>-0.0319672952854442</v>
      </c>
      <c r="AA45" s="117" t="n">
        <f aca="false">AA28/AB28-1</f>
        <v>0.114416584298087</v>
      </c>
      <c r="AB45" s="117" t="n">
        <f aca="false">AB28/AC28-1</f>
        <v>0.0900073270657682</v>
      </c>
      <c r="AC45" s="178" t="n">
        <f aca="false">AC28/AD28-1</f>
        <v>0.0297990371637777</v>
      </c>
      <c r="AD45" s="177" t="n">
        <f aca="false">AD28/AE28-1</f>
        <v>0.0489768526569725</v>
      </c>
      <c r="AE45" s="117" t="n">
        <f aca="false">AE28/AF28-1</f>
        <v>-0.00224236195459215</v>
      </c>
      <c r="AF45" s="117" t="n">
        <f aca="false">AF28/AG28-1</f>
        <v>0.0919677602716766</v>
      </c>
      <c r="AG45" s="117" t="n">
        <f aca="false">AG28/AH28-1</f>
        <v>0.136185116594862</v>
      </c>
      <c r="AH45" s="117" t="n">
        <f aca="false">AH28/AI28-1</f>
        <v>-0.275037916531608</v>
      </c>
      <c r="AI45" s="178" t="n">
        <f aca="false">AI28/AJ28-1</f>
        <v>0.0750566264205002</v>
      </c>
      <c r="AJ45" s="177" t="n">
        <f aca="false">AJ28/AK28-1</f>
        <v>0.0741204549812966</v>
      </c>
      <c r="AK45" s="117" t="n">
        <f aca="false">AK28/AM28-1</f>
        <v>0.132530530326224</v>
      </c>
      <c r="AL45" s="117" t="n">
        <f aca="false">AL28/AM28-1</f>
        <v>0.0688296293970343</v>
      </c>
      <c r="AM45" s="117" t="n">
        <f aca="false">AM28/AN28-1</f>
        <v>0.0428279840421759</v>
      </c>
      <c r="AN45" s="178" t="n">
        <f aca="false">AN28/AO28-1</f>
        <v>0.0563932857311698</v>
      </c>
      <c r="AO45" s="117" t="n">
        <f aca="false">AO28/AP28-1</f>
        <v>-0.0172942256266146</v>
      </c>
      <c r="AP45" s="117" t="n">
        <f aca="false">AP28/AQ28-1</f>
        <v>0.0309030272234001</v>
      </c>
    </row>
    <row r="46" customFormat="false" ht="12.8" hidden="false" customHeight="false" outlineLevel="0" collapsed="false">
      <c r="A46" s="139"/>
      <c r="B46" s="214" t="n">
        <f aca="false">B28/J28-1</f>
        <v>0.41617303469621</v>
      </c>
      <c r="C46" s="214"/>
      <c r="D46" s="214"/>
      <c r="E46" s="214"/>
      <c r="F46" s="214"/>
      <c r="G46" s="214"/>
      <c r="H46" s="214"/>
      <c r="I46" s="214"/>
      <c r="J46" s="215" t="n">
        <f aca="false">J28/Q28-1</f>
        <v>0.0820723489251334</v>
      </c>
      <c r="K46" s="215"/>
      <c r="L46" s="215"/>
      <c r="M46" s="215"/>
      <c r="N46" s="215"/>
      <c r="O46" s="215"/>
      <c r="P46" s="215"/>
      <c r="Q46" s="215" t="n">
        <f aca="false">Q28/Y28-1</f>
        <v>-0.0814417207823865</v>
      </c>
      <c r="R46" s="215"/>
      <c r="S46" s="215"/>
      <c r="T46" s="215"/>
      <c r="U46" s="215"/>
      <c r="V46" s="215"/>
      <c r="W46" s="215"/>
      <c r="X46" s="215"/>
      <c r="Y46" s="215" t="n">
        <f aca="false">Y28/AD28-1</f>
        <v>0.307901420874204</v>
      </c>
      <c r="Z46" s="215"/>
      <c r="AA46" s="215"/>
      <c r="AB46" s="215"/>
      <c r="AC46" s="215"/>
      <c r="AD46" s="215" t="n">
        <f aca="false">AD28/AI28-1</f>
        <v>-0.0586195581273434</v>
      </c>
      <c r="AE46" s="215"/>
      <c r="AF46" s="215"/>
      <c r="AG46" s="215"/>
      <c r="AH46" s="215"/>
      <c r="AI46" s="215"/>
      <c r="AJ46" s="215" t="n">
        <f aca="false">AJ28/AO28-1</f>
        <v>0.340112365704534</v>
      </c>
      <c r="AK46" s="215"/>
      <c r="AL46" s="215" t="n">
        <v>0.0626348307738605</v>
      </c>
      <c r="AM46" s="215"/>
      <c r="AN46" s="215"/>
      <c r="AO46" s="177"/>
      <c r="AP46" s="117"/>
    </row>
    <row r="47" customFormat="false" ht="12.8" hidden="false" customHeight="false" outlineLevel="0" collapsed="false">
      <c r="C47" s="16" t="s">
        <v>232</v>
      </c>
      <c r="D47" s="16"/>
      <c r="E47" s="16"/>
      <c r="F47" s="16"/>
      <c r="G47" s="16"/>
      <c r="H47" s="16"/>
      <c r="I47" s="16"/>
    </row>
    <row r="48" customFormat="false" ht="12.8" hidden="false" customHeight="false" outlineLevel="0" collapsed="false">
      <c r="A48" s="139" t="s">
        <v>24</v>
      </c>
      <c r="B48" s="179" t="n">
        <f aca="false">B32/C32-1</f>
        <v>0.0226411491248486</v>
      </c>
      <c r="C48" s="179" t="n">
        <f aca="false">C32/D32-1</f>
        <v>-0.0336720432698545</v>
      </c>
      <c r="D48" s="179" t="n">
        <f aca="false">D32/E32-1</f>
        <v>0.0344798052516102</v>
      </c>
      <c r="E48" s="179" t="n">
        <f aca="false">E32/F32-1</f>
        <v>0.0815021986519606</v>
      </c>
      <c r="F48" s="179" t="n">
        <f aca="false">F32/G32-1</f>
        <v>0.205170428764148</v>
      </c>
      <c r="G48" s="179" t="n">
        <f aca="false">G32/H32-1</f>
        <v>0.00320482283491974</v>
      </c>
      <c r="H48" s="179" t="n">
        <f aca="false">H32/I32-1</f>
        <v>0.0741460909782967</v>
      </c>
      <c r="I48" s="178" t="n">
        <f aca="false">I32/J32-1</f>
        <v>0.174473863819277</v>
      </c>
      <c r="J48" s="179" t="n">
        <f aca="false">J32/L32-1</f>
        <v>0.138988340181062</v>
      </c>
      <c r="K48" s="179" t="n">
        <f aca="false">K32/M32-1</f>
        <v>0.043664545295967</v>
      </c>
      <c r="L48" s="179" t="n">
        <f aca="false">L32/M32-1</f>
        <v>0.00407473591386531</v>
      </c>
      <c r="M48" s="179" t="n">
        <f aca="false">M32/N32-1</f>
        <v>0.0103815305894537</v>
      </c>
      <c r="N48" s="179" t="n">
        <f aca="false">N32/O32-1</f>
        <v>0.0523290598290598</v>
      </c>
      <c r="O48" s="179" t="n">
        <f aca="false">O32/P32-1</f>
        <v>-0.0560321562242577</v>
      </c>
      <c r="P48" s="179" t="n">
        <f aca="false">P32/Q32-1</f>
        <v>0.0613301981630825</v>
      </c>
      <c r="Q48" s="177" t="n">
        <f aca="false">Q32/R32-1</f>
        <v>0.053346225518228</v>
      </c>
      <c r="R48" s="179" t="n">
        <f aca="false">R32/S32-1</f>
        <v>-0.027288479844883</v>
      </c>
      <c r="S48" s="179" t="n">
        <f aca="false">S32/T32-1</f>
        <v>-0.0218268169561404</v>
      </c>
      <c r="T48" s="179" t="n">
        <f aca="false">T32/U32-1</f>
        <v>-0.0758296545280633</v>
      </c>
      <c r="U48" s="179" t="n">
        <f aca="false">U32/V32-1</f>
        <v>0.037815101840915</v>
      </c>
      <c r="V48" s="179" t="n">
        <f aca="false">V32/W32-1</f>
        <v>0.0864211331148361</v>
      </c>
      <c r="W48" s="179" t="n">
        <f aca="false">W32/X32-1</f>
        <v>-0.0999141966683194</v>
      </c>
      <c r="X48" s="179" t="n">
        <f aca="false">X32/Y32-1</f>
        <v>0.0595116975796375</v>
      </c>
      <c r="Y48" s="177" t="n">
        <f aca="false">Y32/Z32-1</f>
        <v>0.145394463079709</v>
      </c>
      <c r="Z48" s="179" t="n">
        <f aca="false">Z32/AA32-1</f>
        <v>-0.0387280268096162</v>
      </c>
      <c r="AA48" s="179" t="n">
        <f aca="false">AA32/AB32-1</f>
        <v>0.210388975706777</v>
      </c>
      <c r="AB48" s="179" t="n">
        <f aca="false">AB32/AC32-1</f>
        <v>0.103298453281839</v>
      </c>
      <c r="AC48" s="179" t="n">
        <f aca="false">AC32/AD32-1</f>
        <v>0.0925112847876271</v>
      </c>
      <c r="AD48" s="177" t="n">
        <f aca="false">AD32/AE32-1</f>
        <v>0.0561737764074191</v>
      </c>
      <c r="AE48" s="179" t="n">
        <f aca="false">AE32/AF32-1</f>
        <v>-0.0228695196071917</v>
      </c>
      <c r="AF48" s="179" t="n">
        <f aca="false">AF32/AG32-1</f>
        <v>0.219264011804495</v>
      </c>
      <c r="AG48" s="179" t="n">
        <f aca="false">AG32/AH32-1</f>
        <v>-0.0374888213793297</v>
      </c>
      <c r="AH48" s="179" t="n">
        <f aca="false">AH32/AI32-1</f>
        <v>-0.238157054826987</v>
      </c>
      <c r="AI48" s="179" t="n">
        <f aca="false">AI32/AJ32-1</f>
        <v>0.190019554753309</v>
      </c>
      <c r="AJ48" s="177" t="n">
        <f aca="false">AJ32/AK32-1</f>
        <v>0.176664241832113</v>
      </c>
      <c r="AK48" s="179" t="n">
        <f aca="false">AK32/AM32-1</f>
        <v>0.0626348307738605</v>
      </c>
      <c r="AL48" s="179" t="n">
        <f aca="false">AL32/AM32-1</f>
        <v>0.0358802674515926</v>
      </c>
      <c r="AM48" s="179" t="n">
        <f aca="false">AM32/AN32-1</f>
        <v>-0.0588963092897006</v>
      </c>
      <c r="AN48" s="179" t="n">
        <f aca="false">AN32/AO32-1</f>
        <v>0.118642087755425</v>
      </c>
      <c r="AO48" s="177" t="n">
        <f aca="false">AO32/AP32-1</f>
        <v>-0.0392195656474957</v>
      </c>
      <c r="AP48" s="117" t="n">
        <f aca="false">AP32/AQ32-1</f>
        <v>0.0197012609117362</v>
      </c>
    </row>
    <row r="49" customFormat="false" ht="12.8" hidden="false" customHeight="false" outlineLevel="0" collapsed="false">
      <c r="A49" s="139" t="s">
        <v>180</v>
      </c>
      <c r="B49" s="179" t="n">
        <f aca="false">B33/C33-1</f>
        <v>-0.00651544988208963</v>
      </c>
      <c r="C49" s="179" t="n">
        <f aca="false">C33/D33-1</f>
        <v>-0.013597122302158</v>
      </c>
      <c r="D49" s="179" t="n">
        <f aca="false">D33/E33-1</f>
        <v>-0.00503447782205224</v>
      </c>
      <c r="E49" s="179" t="n">
        <f aca="false">E33/F33-1</f>
        <v>-0.0025227883951735</v>
      </c>
      <c r="F49" s="179" t="n">
        <f aca="false">F33/G33-1</f>
        <v>0.000404761904761797</v>
      </c>
      <c r="G49" s="179" t="n">
        <f aca="false">G33/H33-1</f>
        <v>0</v>
      </c>
      <c r="H49" s="179" t="n">
        <f aca="false">H33/I33-1</f>
        <v>0</v>
      </c>
      <c r="I49" s="178" t="n">
        <f aca="false">I33/J33-1</f>
        <v>0.0943199583116205</v>
      </c>
      <c r="J49" s="179" t="n">
        <f aca="false">J33/L33-1</f>
        <v>-0.0404999999999988</v>
      </c>
      <c r="K49" s="179" t="n">
        <f aca="false">K33/M33-1</f>
        <v>0.0274999999999999</v>
      </c>
      <c r="L49" s="179" t="n">
        <f aca="false">L33/M33-1</f>
        <v>0</v>
      </c>
      <c r="M49" s="179" t="n">
        <f aca="false">M33/N33-1</f>
        <v>0.00250626566415968</v>
      </c>
      <c r="N49" s="179" t="n">
        <f aca="false">N33/O33-1</f>
        <v>-0.00731452455590398</v>
      </c>
      <c r="O49" s="179" t="n">
        <f aca="false">O33/P33-1</f>
        <v>0.0440000000000012</v>
      </c>
      <c r="P49" s="179" t="n">
        <f aca="false">P33/Q33-1</f>
        <v>0.0547945205479448</v>
      </c>
      <c r="Q49" s="177" t="n">
        <f aca="false">Q33/R33-1</f>
        <v>0.0428571428571429</v>
      </c>
      <c r="R49" s="179" t="n">
        <f aca="false">R33/S33-1</f>
        <v>-0.0499457111834963</v>
      </c>
      <c r="S49" s="179" t="n">
        <f aca="false">S33/T33-1</f>
        <v>-0.00901143241425706</v>
      </c>
      <c r="T49" s="179" t="n">
        <f aca="false">T33/U33-1</f>
        <v>0.0326388888888884</v>
      </c>
      <c r="U49" s="179" t="n">
        <f aca="false">U33/V33-1</f>
        <v>0.00278551532033533</v>
      </c>
      <c r="V49" s="179" t="n">
        <f aca="false">V33/W33-1</f>
        <v>0.025216323500014</v>
      </c>
      <c r="W49" s="179" t="n">
        <f aca="false">W33/X33-1</f>
        <v>-0.0406301369863016</v>
      </c>
      <c r="X49" s="179" t="n">
        <f aca="false">X33/Y33-1</f>
        <v>0.057971014492753</v>
      </c>
      <c r="Y49" s="177" t="n">
        <f aca="false">Y33/Z33-1</f>
        <v>0.0282546494992846</v>
      </c>
      <c r="Z49" s="179" t="n">
        <f aca="false">Z33/AA33-1</f>
        <v>-0.0531929903772882</v>
      </c>
      <c r="AA49" s="179" t="n">
        <f aca="false">AA33/AB33-1</f>
        <v>0.0301453488372092</v>
      </c>
      <c r="AB49" s="179" t="n">
        <f aca="false">AB33/AC33-1</f>
        <v>0.0544384502206956</v>
      </c>
      <c r="AC49" s="179" t="n">
        <f aca="false">AC33/AD33-1</f>
        <v>0.0389808917197443</v>
      </c>
      <c r="AD49" s="177" t="n">
        <f aca="false">AD33/AE33-1</f>
        <v>-0.0125786163521996</v>
      </c>
      <c r="AE49" s="179" t="n">
        <f aca="false">AE33/AF33-1</f>
        <v>-0.00360332132226293</v>
      </c>
      <c r="AF49" s="179" t="n">
        <f aca="false">AF33/AG33-1</f>
        <v>0.0200070312250322</v>
      </c>
      <c r="AG49" s="179" t="n">
        <f aca="false">AG33/AH33-1</f>
        <v>0.163895398579025</v>
      </c>
      <c r="AH49" s="179" t="n">
        <f aca="false">AH33/AI33-1</f>
        <v>-0.159906249999999</v>
      </c>
      <c r="AI49" s="179" t="n">
        <f aca="false">AI33/AJ33-1</f>
        <v>0</v>
      </c>
      <c r="AJ49" s="177" t="n">
        <f aca="false">AJ33/AK33-1</f>
        <v>0.0355987055016178</v>
      </c>
      <c r="AK49" s="179" t="n">
        <f aca="false">AK33/AM33-1</f>
        <v>0.0510204081632655</v>
      </c>
      <c r="AL49" s="179" t="n">
        <f aca="false">AL33/AM33-1</f>
        <v>0.0204081632653066</v>
      </c>
      <c r="AM49" s="179" t="n">
        <f aca="false">AM33/AN33-1</f>
        <v>0.00382409177820175</v>
      </c>
      <c r="AN49" s="179" t="n">
        <f aca="false">AN33/AO33-1</f>
        <v>0.00746448350589946</v>
      </c>
      <c r="AO49" s="177" t="n">
        <f aca="false">AO33/AP33-1</f>
        <v>0.00738096888211404</v>
      </c>
      <c r="AP49" s="117" t="n">
        <f aca="false">AP33/AQ33-1</f>
        <v>0.00648716517857118</v>
      </c>
    </row>
    <row r="50" customFormat="false" ht="12.8" hidden="false" customHeight="false" outlineLevel="0" collapsed="false">
      <c r="A50" s="139" t="s">
        <v>181</v>
      </c>
      <c r="B50" s="179" t="n">
        <f aca="false">B34/C34-1</f>
        <v>0.0454887507217023</v>
      </c>
      <c r="C50" s="179" t="n">
        <f aca="false">C34/D34-1</f>
        <v>-0.0248877743513287</v>
      </c>
      <c r="D50" s="179" t="n">
        <f aca="false">D34/E34-1</f>
        <v>0.0710593890072415</v>
      </c>
      <c r="E50" s="179" t="n">
        <f aca="false">E34/F34-1</f>
        <v>0.0623866323907443</v>
      </c>
      <c r="F50" s="179" t="n">
        <f aca="false">F34/G34-1</f>
        <v>0.0215242244359626</v>
      </c>
      <c r="G50" s="179" t="n">
        <f aca="false">G34/H34-1</f>
        <v>-0.0420037735849055</v>
      </c>
      <c r="H50" s="179" t="n">
        <f aca="false">H34/I34-1</f>
        <v>0.186259090922656</v>
      </c>
      <c r="I50" s="178" t="n">
        <f aca="false">I34/J34-1</f>
        <v>0.134376146776567</v>
      </c>
      <c r="J50" s="179" t="n">
        <f aca="false">J34/L34-1</f>
        <v>0.0471842891798271</v>
      </c>
      <c r="K50" s="179" t="n">
        <f aca="false">K34/M34-1</f>
        <v>0.0154628975265014</v>
      </c>
      <c r="L50" s="179" t="n">
        <f aca="false">L34/M34-1</f>
        <v>-0.00323922261483944</v>
      </c>
      <c r="M50" s="179" t="n">
        <f aca="false">M34/N34-1</f>
        <v>0.0119083375525983</v>
      </c>
      <c r="N50" s="179" t="n">
        <f aca="false">N34/O34-1</f>
        <v>0.0707105666156198</v>
      </c>
      <c r="O50" s="179" t="n">
        <f aca="false">O34/P34-1</f>
        <v>-0.0174681523511169</v>
      </c>
      <c r="P50" s="179" t="n">
        <f aca="false">P34/Q34-1</f>
        <v>0.121703797468355</v>
      </c>
      <c r="Q50" s="177" t="n">
        <f aca="false">Q34/R34-1</f>
        <v>0.0436390858250035</v>
      </c>
      <c r="R50" s="179" t="n">
        <f aca="false">R34/S34-1</f>
        <v>-0.0924800005115287</v>
      </c>
      <c r="S50" s="179" t="n">
        <f aca="false">S34/T34-1</f>
        <v>0.00899758064516365</v>
      </c>
      <c r="T50" s="179" t="n">
        <f aca="false">T34/U34-1</f>
        <v>-0.120567375886525</v>
      </c>
      <c r="U50" s="179" t="n">
        <f aca="false">U34/V34-1</f>
        <v>0.0144881134010628</v>
      </c>
      <c r="V50" s="179" t="n">
        <f aca="false">V34/W34-1</f>
        <v>0.0535099159042185</v>
      </c>
      <c r="W50" s="179" t="n">
        <f aca="false">W34/X34-1</f>
        <v>-0.074196842105264</v>
      </c>
      <c r="X50" s="179" t="n">
        <f aca="false">X34/Y34-1</f>
        <v>-0.02380143367604</v>
      </c>
      <c r="Y50" s="177" t="n">
        <f aca="false">Y34/Z34-1</f>
        <v>0.122836813968693</v>
      </c>
      <c r="Z50" s="179" t="n">
        <f aca="false">Z34/AA34-1</f>
        <v>-0.0366107193684567</v>
      </c>
      <c r="AA50" s="179" t="n">
        <f aca="false">AA34/AB34-1</f>
        <v>0.221728303632583</v>
      </c>
      <c r="AB50" s="179" t="n">
        <f aca="false">AB34/AC34-1</f>
        <v>0.191132494416628</v>
      </c>
      <c r="AC50" s="179" t="n">
        <f aca="false">AC34/AD34-1</f>
        <v>0.00739489407930227</v>
      </c>
      <c r="AD50" s="177" t="n">
        <f aca="false">AD34/AE34-1</f>
        <v>0.0470638418882419</v>
      </c>
      <c r="AE50" s="179" t="n">
        <f aca="false">AE34/AF34-1</f>
        <v>0.0117811433803094</v>
      </c>
      <c r="AF50" s="179" t="n">
        <f aca="false">AF34/AG34-1</f>
        <v>0.0861106249999983</v>
      </c>
      <c r="AG50" s="179" t="n">
        <f aca="false">AG34/AH34-1</f>
        <v>0.152903876639286</v>
      </c>
      <c r="AH50" s="179" t="n">
        <f aca="false">AH34/AI34-1</f>
        <v>-0.25493608867753</v>
      </c>
      <c r="AI50" s="179" t="n">
        <f aca="false">AI34/AJ34-1</f>
        <v>0.0826787924090493</v>
      </c>
      <c r="AJ50" s="177" t="n">
        <f aca="false">AJ34/AK34-1</f>
        <v>0.0210189910979237</v>
      </c>
      <c r="AK50" s="179" t="n">
        <f aca="false">AK34/AM34-1</f>
        <v>0.0743521847605224</v>
      </c>
      <c r="AL50" s="179" t="n">
        <f aca="false">AL34/AM34-1</f>
        <v>0.082976331734453</v>
      </c>
      <c r="AM50" s="179" t="n">
        <f aca="false">AM34/AN34-1</f>
        <v>0.0250895424836579</v>
      </c>
      <c r="AN50" s="179" t="n">
        <f aca="false">AN34/AO34-1</f>
        <v>0.0851063829787246</v>
      </c>
      <c r="AO50" s="177" t="n">
        <f aca="false">AO34/AP34-1</f>
        <v>-0.0123560561486081</v>
      </c>
      <c r="AP50" s="117" t="n">
        <f aca="false">AP34/AQ34-1</f>
        <v>0.0197428571428577</v>
      </c>
    </row>
    <row r="51" customFormat="false" ht="12.8" hidden="false" customHeight="false" outlineLevel="0" collapsed="false">
      <c r="A51" s="139" t="s">
        <v>30</v>
      </c>
      <c r="B51" s="179" t="n">
        <f aca="false">B35/C35-1</f>
        <v>0.0117273714386972</v>
      </c>
      <c r="C51" s="179" t="n">
        <f aca="false">C35/D35-1</f>
        <v>-0.0129176485888356</v>
      </c>
      <c r="D51" s="179" t="n">
        <f aca="false">D35/E35-1</f>
        <v>0.00770045936132391</v>
      </c>
      <c r="E51" s="179" t="n">
        <f aca="false">E35/F35-1</f>
        <v>0.0747753654864234</v>
      </c>
      <c r="F51" s="179" t="n">
        <f aca="false">F35/G35-1</f>
        <v>0.025461978366135</v>
      </c>
      <c r="G51" s="179" t="n">
        <f aca="false">G35/H35-1</f>
        <v>-0.0155639485938123</v>
      </c>
      <c r="H51" s="179" t="n">
        <f aca="false">H35/I35-1</f>
        <v>0.00730964908251508</v>
      </c>
      <c r="I51" s="178" t="n">
        <f aca="false">I35/J35-1</f>
        <v>0.115269174945125</v>
      </c>
      <c r="J51" s="179" t="n">
        <f aca="false">J35/L35-1</f>
        <v>0.0322416488983643</v>
      </c>
      <c r="K51" s="179" t="n">
        <f aca="false">K35/M35-1</f>
        <v>0.0106850868413113</v>
      </c>
      <c r="L51" s="179" t="n">
        <f aca="false">L35/M35-1</f>
        <v>0.00418918895771747</v>
      </c>
      <c r="M51" s="179" t="n">
        <f aca="false">M35/N35-1</f>
        <v>0.00111977794214613</v>
      </c>
      <c r="N51" s="179" t="n">
        <f aca="false">N35/O35-1</f>
        <v>-0.0198302600557585</v>
      </c>
      <c r="O51" s="179" t="n">
        <f aca="false">O35/P35-1</f>
        <v>-0.00369306890900467</v>
      </c>
      <c r="P51" s="179" t="n">
        <f aca="false">P35/Q35-1</f>
        <v>0.0441421950332468</v>
      </c>
      <c r="Q51" s="177" t="n">
        <f aca="false">Q35/R35-1</f>
        <v>0.0676403895887301</v>
      </c>
      <c r="R51" s="179" t="n">
        <f aca="false">R35/S35-1</f>
        <v>-0.0473805793508649</v>
      </c>
      <c r="S51" s="179" t="n">
        <f aca="false">S35/T35-1</f>
        <v>0.00699362061936082</v>
      </c>
      <c r="T51" s="179" t="n">
        <f aca="false">T35/U35-1</f>
        <v>-0.0693105555555567</v>
      </c>
      <c r="U51" s="179" t="n">
        <f aca="false">U35/V35-1</f>
        <v>0.0264885366892669</v>
      </c>
      <c r="V51" s="179" t="n">
        <f aca="false">V35/W35-1</f>
        <v>0.064436120211316</v>
      </c>
      <c r="W51" s="179" t="n">
        <f aca="false">W35/X35-1</f>
        <v>-0.0950793467692762</v>
      </c>
      <c r="X51" s="179" t="n">
        <f aca="false">X35/Y35-1</f>
        <v>-0.0127585591672964</v>
      </c>
      <c r="Y51" s="177" t="n">
        <f aca="false">Y35/Z35-1</f>
        <v>0.0774783965820183</v>
      </c>
      <c r="Z51" s="179" t="n">
        <f aca="false">Z35/AA35-1</f>
        <v>-0.0462135980766225</v>
      </c>
      <c r="AA51" s="179" t="n">
        <f aca="false">AA35/AB35-1</f>
        <v>0.15764</v>
      </c>
      <c r="AB51" s="179" t="n">
        <f aca="false">AB35/AC35-1</f>
        <v>0.0843619614219002</v>
      </c>
      <c r="AC51" s="179" t="n">
        <f aca="false">AC35/AD35-1</f>
        <v>0.0823155634369086</v>
      </c>
      <c r="AD51" s="177" t="n">
        <f aca="false">AD35/AE35-1</f>
        <v>0.0565541737833066</v>
      </c>
      <c r="AE51" s="179" t="n">
        <f aca="false">AE35/AF35-1</f>
        <v>-0.0260639818864203</v>
      </c>
      <c r="AF51" s="179" t="n">
        <f aca="false">AF35/AG35-1</f>
        <v>0.078077790517467</v>
      </c>
      <c r="AG51" s="179" t="n">
        <f aca="false">AG35/AH35-1</f>
        <v>0.226755628831987</v>
      </c>
      <c r="AH51" s="179" t="n">
        <f aca="false">AH35/AI35-1</f>
        <v>-0.255414729660572</v>
      </c>
      <c r="AI51" s="179" t="n">
        <f aca="false">AI35/AJ35-1</f>
        <v>0.0952342537434445</v>
      </c>
      <c r="AJ51" s="177" t="n">
        <f aca="false">AJ35/AK35-1</f>
        <v>0.0623854488708067</v>
      </c>
      <c r="AK51" s="179" t="n">
        <f aca="false">AK35/AM35-1</f>
        <v>0.238266058514391</v>
      </c>
      <c r="AL51" s="179" t="n">
        <f aca="false">AL35/AM35-1</f>
        <v>0.105138415074984</v>
      </c>
      <c r="AM51" s="179" t="n">
        <f aca="false">AM35/AN35-1</f>
        <v>0.0642329411764699</v>
      </c>
      <c r="AN51" s="179" t="n">
        <f aca="false">AN35/AO35-1</f>
        <v>0.0365044679439626</v>
      </c>
      <c r="AO51" s="177" t="n">
        <f aca="false">AO35/AP35-1</f>
        <v>-0.018162574799396</v>
      </c>
      <c r="AP51" s="117" t="n">
        <f aca="false">AP35/AQ35-1</f>
        <v>0.0378594523128479</v>
      </c>
    </row>
    <row r="52" customFormat="false" ht="12.8" hidden="false" customHeight="false" outlineLevel="0" collapsed="false">
      <c r="A52" s="139" t="s">
        <v>182</v>
      </c>
      <c r="B52" s="179" t="n">
        <f aca="false">B36/C36-1</f>
        <v>0.101294444444445</v>
      </c>
      <c r="C52" s="179" t="n">
        <f aca="false">C36/D36-1</f>
        <v>0</v>
      </c>
      <c r="D52" s="179" t="n">
        <f aca="false">D36/E36-1</f>
        <v>0.147161730684664</v>
      </c>
      <c r="E52" s="179" t="n">
        <f aca="false">E36/F36-1</f>
        <v>0.00582692307692367</v>
      </c>
      <c r="F52" s="179" t="n">
        <f aca="false">F36/G36-1</f>
        <v>-0.0202482037883738</v>
      </c>
      <c r="G52" s="179" t="n">
        <f aca="false">G36/H36-1</f>
        <v>0.0528320351243761</v>
      </c>
      <c r="H52" s="179" t="n">
        <f aca="false">H36/I36-1</f>
        <v>0.072581560283687</v>
      </c>
      <c r="I52" s="178" t="n">
        <f aca="false">I36/J36-1</f>
        <v>0.069981332240588</v>
      </c>
      <c r="J52" s="179" t="n">
        <f aca="false">J36/L36-1</f>
        <v>0.0161782850092544</v>
      </c>
      <c r="K52" s="179" t="n">
        <f aca="false">K36/M36-1</f>
        <v>0.0309853733641268</v>
      </c>
      <c r="L52" s="179" t="n">
        <f aca="false">L36/M36-1</f>
        <v>-0.00169361046959204</v>
      </c>
      <c r="M52" s="179" t="n">
        <f aca="false">M36/N36-1</f>
        <v>0.0102266982929564</v>
      </c>
      <c r="N52" s="179" t="n">
        <f aca="false">N36/O36-1</f>
        <v>0.0403317152103564</v>
      </c>
      <c r="O52" s="179" t="n">
        <f aca="false">O36/P36-1</f>
        <v>-0.060768862512063</v>
      </c>
      <c r="P52" s="179" t="n">
        <f aca="false">P36/Q36-1</f>
        <v>-0.0223105497771164</v>
      </c>
      <c r="Q52" s="177" t="n">
        <f aca="false">Q36/R36-1</f>
        <v>-0.00296296296296394</v>
      </c>
      <c r="R52" s="179" t="n">
        <f aca="false">R36/S36-1</f>
        <v>-0.0394945606932725</v>
      </c>
      <c r="S52" s="179" t="n">
        <f aca="false">S36/T36-1</f>
        <v>0.0262567996787277</v>
      </c>
      <c r="T52" s="179" t="n">
        <f aca="false">T36/U36-1</f>
        <v>-0.0869666666666672</v>
      </c>
      <c r="U52" s="179" t="n">
        <f aca="false">U36/V36-1</f>
        <v>0.0699001426533537</v>
      </c>
      <c r="V52" s="179" t="n">
        <f aca="false">V36/W36-1</f>
        <v>0.03596314276636</v>
      </c>
      <c r="W52" s="179" t="n">
        <f aca="false">W36/X36-1</f>
        <v>-0.0977799999999998</v>
      </c>
      <c r="X52" s="179" t="n">
        <f aca="false">X36/Y36-1</f>
        <v>0.0922833820006259</v>
      </c>
      <c r="Y52" s="177" t="n">
        <f aca="false">Y36/Z36-1</f>
        <v>0.0482977099236641</v>
      </c>
      <c r="Z52" s="179" t="n">
        <f aca="false">Z36/AA36-1</f>
        <v>-0.0262756903408038</v>
      </c>
      <c r="AA52" s="179" t="n">
        <f aca="false">AA36/AB36-1</f>
        <v>0.121125000000002</v>
      </c>
      <c r="AB52" s="179" t="n">
        <f aca="false">AB36/AC36-1</f>
        <v>0.00671140939597237</v>
      </c>
      <c r="AC52" s="179" t="n">
        <f aca="false">AC36/AD36-1</f>
        <v>0.0410662194972837</v>
      </c>
      <c r="AD52" s="177" t="n">
        <f aca="false">AD36/AE36-1</f>
        <v>0.00546208156240202</v>
      </c>
      <c r="AE52" s="179" t="n">
        <f aca="false">AE36/AF36-1</f>
        <v>-0.0368428175113356</v>
      </c>
      <c r="AF52" s="179" t="n">
        <f aca="false">AF36/AG36-1</f>
        <v>0.126019047619051</v>
      </c>
      <c r="AG52" s="179" t="n">
        <f aca="false">AG36/AH36-1</f>
        <v>0.185168463231557</v>
      </c>
      <c r="AH52" s="179" t="n">
        <f aca="false">AH36/AI36-1</f>
        <v>-0.291239999999999</v>
      </c>
      <c r="AI52" s="179" t="n">
        <f aca="false">AI36/AJ36-1</f>
        <v>0.0402796271637813</v>
      </c>
      <c r="AJ52" s="177" t="n">
        <f aca="false">AJ36/AK36-1</f>
        <v>0.00133333333333385</v>
      </c>
      <c r="AK52" s="179" t="n">
        <f aca="false">AK36/AM36-1</f>
        <v>0.159565935818023</v>
      </c>
      <c r="AL52" s="179" t="n">
        <f aca="false">AL36/AM36-1</f>
        <v>0.159565935818023</v>
      </c>
      <c r="AM52" s="179" t="n">
        <f aca="false">AM36/AN36-1</f>
        <v>-0.121800746775287</v>
      </c>
      <c r="AN52" s="179" t="n">
        <f aca="false">AN36/AO36-1</f>
        <v>-0.0179999999999999</v>
      </c>
      <c r="AO52" s="177" t="n">
        <f aca="false">AO36/AP36-1</f>
        <v>0.0383407315110436</v>
      </c>
      <c r="AP52" s="117" t="n">
        <f aca="false">AP36/AQ36-1</f>
        <v>0.0187047696281095</v>
      </c>
    </row>
    <row r="53" customFormat="false" ht="12.8" hidden="false" customHeight="false" outlineLevel="0" collapsed="false">
      <c r="A53" s="139" t="s">
        <v>27</v>
      </c>
      <c r="B53" s="179" t="n">
        <f aca="false">B37/C37-1</f>
        <v>0.0271661247533037</v>
      </c>
      <c r="C53" s="179" t="n">
        <f aca="false">C37/D37-1</f>
        <v>-0.00146835294117498</v>
      </c>
      <c r="D53" s="179" t="n">
        <f aca="false">D37/E37-1</f>
        <v>0.0429497760786814</v>
      </c>
      <c r="E53" s="179" t="n">
        <f aca="false">E37/F37-1</f>
        <v>0.0322952910643297</v>
      </c>
      <c r="F53" s="179" t="n">
        <f aca="false">F37/G37-1</f>
        <v>0.112321822232014</v>
      </c>
      <c r="G53" s="179" t="n">
        <f aca="false">G37/H37-1</f>
        <v>0.0437881011141428</v>
      </c>
      <c r="H53" s="179" t="n">
        <f aca="false">H37/I37-1</f>
        <v>0.0381673165901315</v>
      </c>
      <c r="I53" s="178" t="n">
        <f aca="false">I37/J37-1</f>
        <v>0.0174681361698157</v>
      </c>
      <c r="J53" s="179" t="n">
        <f aca="false">J37/L37-1</f>
        <v>-0.0134022988505731</v>
      </c>
      <c r="K53" s="179" t="n">
        <f aca="false">K37/M37-1</f>
        <v>0.0643032159264894</v>
      </c>
      <c r="L53" s="179" t="n">
        <f aca="false">L37/M37-1</f>
        <v>-0.000765696784075121</v>
      </c>
      <c r="M53" s="179" t="n">
        <f aca="false">M37/N37-1</f>
        <v>-3.82846926005875E-006</v>
      </c>
      <c r="N53" s="179" t="n">
        <f aca="false">N37/O37-1</f>
        <v>-0.0095833440767058</v>
      </c>
      <c r="O53" s="179" t="n">
        <f aca="false">O37/P37-1</f>
        <v>-0.00961646354661849</v>
      </c>
      <c r="P53" s="179" t="n">
        <f aca="false">P37/Q37-1</f>
        <v>-0.0121935078551502</v>
      </c>
      <c r="Q53" s="177" t="n">
        <f aca="false">Q37/R37-1</f>
        <v>0.0211213476353489</v>
      </c>
      <c r="R53" s="179" t="n">
        <f aca="false">R37/S37-1</f>
        <v>-0.054879524438649</v>
      </c>
      <c r="S53" s="179" t="n">
        <f aca="false">S37/T37-1</f>
        <v>-0.0164447887323945</v>
      </c>
      <c r="T53" s="179" t="n">
        <f aca="false">T37/U37-1</f>
        <v>-0.0340573685573218</v>
      </c>
      <c r="U53" s="179" t="n">
        <f aca="false">U37/V37-1</f>
        <v>0.0653692554739791</v>
      </c>
      <c r="V53" s="179" t="n">
        <f aca="false">V37/W37-1</f>
        <v>0.00867383040935521</v>
      </c>
      <c r="W53" s="179" t="n">
        <f aca="false">W37/X37-1</f>
        <v>-0.0999999999999992</v>
      </c>
      <c r="X53" s="179" t="n">
        <f aca="false">X37/Y37-1</f>
        <v>-0.029126213592235</v>
      </c>
      <c r="Y53" s="177" t="n">
        <f aca="false">Y37/Z37-1</f>
        <v>0.0363384367838229</v>
      </c>
      <c r="Z53" s="179" t="n">
        <f aca="false">Z37/AA37-1</f>
        <v>-0.022010697976064</v>
      </c>
      <c r="AA53" s="179" t="n">
        <f aca="false">AA37/AB37-1</f>
        <v>0.013625878841296</v>
      </c>
      <c r="AB53" s="179" t="n">
        <f aca="false">AB37/AC37-1</f>
        <v>0.058289967616683</v>
      </c>
      <c r="AC53" s="179" t="n">
        <f aca="false">AC37/AD37-1</f>
        <v>-0.0220882966852103</v>
      </c>
      <c r="AD53" s="177" t="n">
        <f aca="false">AD37/AE37-1</f>
        <v>0.0524088044264288</v>
      </c>
      <c r="AE53" s="179" t="n">
        <f aca="false">AE37/AF37-1</f>
        <v>0.040504530059077</v>
      </c>
      <c r="AF53" s="179" t="n">
        <f aca="false">AF37/AG37-1</f>
        <v>0.0344066153846143</v>
      </c>
      <c r="AG53" s="179" t="n">
        <f aca="false">AG37/AH37-1</f>
        <v>0.287220220209716</v>
      </c>
      <c r="AH53" s="179" t="n">
        <f aca="false">AH37/AI37-1</f>
        <v>-0.344937158791774</v>
      </c>
      <c r="AI53" s="179" t="n">
        <f aca="false">AI37/AJ37-1</f>
        <v>-0.00981153674769475</v>
      </c>
      <c r="AJ53" s="177" t="n">
        <f aca="false">AJ37/AK37-1</f>
        <v>0.066441543255634</v>
      </c>
      <c r="AK53" s="179" t="n">
        <f aca="false">AK37/AM37-1</f>
        <v>0.177780022193906</v>
      </c>
      <c r="AL53" s="179" t="n">
        <f aca="false">AL37/AM37-1</f>
        <v>0.0698133524187556</v>
      </c>
      <c r="AM53" s="179" t="n">
        <f aca="false">AM37/AN37-1</f>
        <v>0.203514174757285</v>
      </c>
      <c r="AN53" s="179" t="n">
        <f aca="false">AN37/AO37-1</f>
        <v>0.0843178167102852</v>
      </c>
      <c r="AO53" s="177" t="n">
        <f aca="false">AO37/AP37-1</f>
        <v>-0.0175373491693026</v>
      </c>
      <c r="AP53" s="117" t="n">
        <f aca="false">AP37/AQ37-1</f>
        <v>0.0384531609133674</v>
      </c>
    </row>
    <row r="54" customFormat="false" ht="12.8" hidden="false" customHeight="false" outlineLevel="0" collapsed="false">
      <c r="A54" s="139" t="s">
        <v>184</v>
      </c>
      <c r="B54" s="179" t="n">
        <f aca="false">B38/C38-1</f>
        <v>0.131876753033964</v>
      </c>
      <c r="C54" s="179" t="n">
        <f aca="false">C38/D38-1</f>
        <v>0.000249999999999639</v>
      </c>
      <c r="D54" s="179" t="n">
        <f aca="false">D38/E38-1</f>
        <v>0</v>
      </c>
      <c r="E54" s="179" t="n">
        <f aca="false">E38/F38-1</f>
        <v>0.0746268656716413</v>
      </c>
      <c r="F54" s="179" t="n">
        <f aca="false">F38/G38-1</f>
        <v>-0.0289855072463772</v>
      </c>
      <c r="G54" s="179" t="n">
        <f aca="false">G38/H38-1</f>
        <v>0.121951219512196</v>
      </c>
      <c r="H54" s="179" t="n">
        <f aca="false">H38/I38-1</f>
        <v>0.0487185171290692</v>
      </c>
      <c r="I54" s="178" t="n">
        <f aca="false">I38/J38-1</f>
        <v>-0.00541869832520647</v>
      </c>
      <c r="J54" s="179" t="n">
        <f aca="false">J38/L38-1</f>
        <v>0.0570544998207239</v>
      </c>
      <c r="K54" s="179" t="n">
        <f aca="false">K38/M38-1</f>
        <v>0.00900900900900803</v>
      </c>
      <c r="L54" s="179" t="n">
        <f aca="false">L38/M38-1</f>
        <v>0.00504504504504477</v>
      </c>
      <c r="M54" s="179" t="n">
        <f aca="false">M38/N38-1</f>
        <v>0</v>
      </c>
      <c r="N54" s="179" t="n">
        <f aca="false">N38/O38-1</f>
        <v>-0.0342535475956391</v>
      </c>
      <c r="O54" s="179" t="n">
        <f aca="false">O38/P38-1</f>
        <v>-0.042989175686928</v>
      </c>
      <c r="P54" s="179" t="n">
        <f aca="false">P38/Q38-1</f>
        <v>-0.0580983153998172</v>
      </c>
      <c r="Q54" s="177" t="n">
        <f aca="false">Q38/R38-1</f>
        <v>-0.149719925313417</v>
      </c>
      <c r="R54" s="179" t="n">
        <f aca="false">R38/S38-1</f>
        <v>0.0801155311624426</v>
      </c>
      <c r="S54" s="179" t="n">
        <f aca="false">S38/T38-1</f>
        <v>0.0517954545454538</v>
      </c>
      <c r="T54" s="179" t="n">
        <f aca="false">T38/U38-1</f>
        <v>0.0154236701411588</v>
      </c>
      <c r="U54" s="179" t="n">
        <f aca="false">U38/V38-1</f>
        <v>0.0977823942710454</v>
      </c>
      <c r="V54" s="179" t="n">
        <f aca="false">V38/W38-1</f>
        <v>0</v>
      </c>
      <c r="W54" s="179" t="n">
        <f aca="false">W38/X38-1</f>
        <v>-0.0997445566232814</v>
      </c>
      <c r="X54" s="179" t="n">
        <f aca="false">X38/Y38-1</f>
        <v>-0.0555866683898399</v>
      </c>
      <c r="Y54" s="177" t="n">
        <f aca="false">Y38/Z38-1</f>
        <v>0.0672643678160918</v>
      </c>
      <c r="Z54" s="179" t="n">
        <f aca="false">Z38/AA38-1</f>
        <v>0.00307455803228329</v>
      </c>
      <c r="AA54" s="179" t="n">
        <f aca="false">AA38/AB38-1</f>
        <v>0.0841666666666661</v>
      </c>
      <c r="AB54" s="179" t="n">
        <f aca="false">AB38/AC38-1</f>
        <v>0.13944964582107</v>
      </c>
      <c r="AC54" s="179" t="n">
        <f aca="false">AC38/AD38-1</f>
        <v>-0.0588140667590159</v>
      </c>
      <c r="AD54" s="177" t="n">
        <f aca="false">AD38/AE38-1</f>
        <v>0.086359223300972</v>
      </c>
      <c r="AE54" s="179" t="n">
        <f aca="false">AE38/AF38-1</f>
        <v>0.000252490920037429</v>
      </c>
      <c r="AF54" s="179" t="n">
        <f aca="false">AF38/AG38-1</f>
        <v>0.105939211685103</v>
      </c>
      <c r="AG54" s="179" t="n">
        <f aca="false">AG38/AH38-1</f>
        <v>0.177325948966947</v>
      </c>
      <c r="AH54" s="179" t="n">
        <f aca="false">AH38/AI38-1</f>
        <v>-0.340620310155077</v>
      </c>
      <c r="AI54" s="179" t="n">
        <f aca="false">AI38/AJ38-1</f>
        <v>0.064912233971711</v>
      </c>
      <c r="AJ54" s="177" t="n">
        <f aca="false">AJ38/AK38-1</f>
        <v>0.100161172161172</v>
      </c>
      <c r="AK54" s="179" t="n">
        <f aca="false">AK38/AM38-1</f>
        <v>0.17492798365717</v>
      </c>
      <c r="AL54" s="179" t="n">
        <f aca="false">AL38/AM38-1</f>
        <v>0.0758495633112597</v>
      </c>
      <c r="AM54" s="179" t="n">
        <f aca="false">AM38/AN38-1</f>
        <v>0.0625975609756098</v>
      </c>
      <c r="AN54" s="179" t="n">
        <f aca="false">AN38/AO38-1</f>
        <v>0.0243853687787314</v>
      </c>
      <c r="AO54" s="177" t="n">
        <f aca="false">AO38/AP38-1</f>
        <v>-0.0741507535363576</v>
      </c>
      <c r="AP54" s="117" t="n">
        <f aca="false">AP38/AQ38-1</f>
        <v>0.0616151569848116</v>
      </c>
    </row>
    <row r="55" customFormat="false" ht="12.8" hidden="false" customHeight="false" outlineLevel="0" collapsed="false">
      <c r="A55" s="139" t="s">
        <v>233</v>
      </c>
      <c r="B55" s="179" t="n">
        <f aca="false">B39/C39-1</f>
        <v>0.00120999999999949</v>
      </c>
      <c r="C55" s="179" t="n">
        <f aca="false">C39/D39-1</f>
        <v>-0.0264255910987474</v>
      </c>
      <c r="D55" s="179" t="n">
        <f aca="false">D39/E39-1</f>
        <v>0.0345323741007186</v>
      </c>
      <c r="E55" s="179" t="n">
        <f aca="false">E39/F39-1</f>
        <v>0.0296296296296297</v>
      </c>
      <c r="F55" s="179" t="n">
        <f aca="false">F39/G39-1</f>
        <v>-0.0538930548742027</v>
      </c>
      <c r="G55" s="179" t="n">
        <f aca="false">G39/H39-1</f>
        <v>0.0292123485285627</v>
      </c>
      <c r="H55" s="179" t="n">
        <f aca="false">H39/I39-1</f>
        <v>-0.0209039548022592</v>
      </c>
      <c r="I55" s="178" t="n">
        <f aca="false">I39/J39-1</f>
        <v>0.249746255615473</v>
      </c>
      <c r="J55" s="179" t="n">
        <f aca="false">J39/L39-1</f>
        <v>0.133030000000001</v>
      </c>
      <c r="K55" s="179" t="n">
        <f aca="false">K39/M39-1</f>
        <v>0.000412000000001189</v>
      </c>
      <c r="L55" s="179" t="n">
        <f aca="false">L39/M39-1</f>
        <v>0</v>
      </c>
      <c r="M55" s="179" t="n">
        <f aca="false">M39/N39-1</f>
        <v>-0.000199960007999045</v>
      </c>
      <c r="N55" s="179" t="n">
        <f aca="false">N39/O39-1</f>
        <v>-0.028932038834951</v>
      </c>
      <c r="O55" s="179" t="n">
        <f aca="false">O39/P39-1</f>
        <v>0.0510204081632655</v>
      </c>
      <c r="P55" s="179" t="n">
        <f aca="false">P39/Q39-1</f>
        <v>1.8202518087111</v>
      </c>
      <c r="Q55" s="177" t="n">
        <f aca="false">Q39/R39-1</f>
        <v>-0.0996665431641343</v>
      </c>
      <c r="R55" s="179" t="n">
        <f aca="false">R39/S39-1</f>
        <v>0</v>
      </c>
      <c r="S55" s="179" t="n">
        <f aca="false">S39/T39-1</f>
        <v>-0.100132362894377</v>
      </c>
      <c r="T55" s="179" t="n">
        <f aca="false">T39/U39-1</f>
        <v>-0.0166131147540972</v>
      </c>
      <c r="U55" s="179" t="n">
        <f aca="false">U39/V39-1</f>
        <v>0.0143910494124846</v>
      </c>
      <c r="V55" s="179" t="n">
        <f aca="false">V39/W39-1</f>
        <v>0</v>
      </c>
      <c r="W55" s="179" t="n">
        <f aca="false">W39/X39-1</f>
        <v>-0.0888696969696996</v>
      </c>
      <c r="X55" s="179" t="n">
        <f aca="false">X39/Y39-1</f>
        <v>0.0645161290322585</v>
      </c>
      <c r="Y55" s="177" t="n">
        <f aca="false">Y39/Z39-1</f>
        <v>0.0333333333333334</v>
      </c>
      <c r="Z55" s="179" t="n">
        <f aca="false">Z39/AA39-1</f>
        <v>0</v>
      </c>
      <c r="AA55" s="179" t="n">
        <f aca="false">AA39/AB39-1</f>
        <v>-0.0476190476190453</v>
      </c>
      <c r="AB55" s="179" t="n">
        <f aca="false">AB39/AC39-1</f>
        <v>0.0549229738780959</v>
      </c>
      <c r="AC55" s="179" t="n">
        <f aca="false">AC39/AD39-1</f>
        <v>0.0332179930795873</v>
      </c>
      <c r="AD55" s="177" t="n">
        <f aca="false">AD39/AE39-1</f>
        <v>-0.0109514031485328</v>
      </c>
      <c r="AE55" s="179" t="n">
        <f aca="false">AE39/AF39-1</f>
        <v>0.0608057331431031</v>
      </c>
      <c r="AF55" s="179" t="n">
        <f aca="false">AF39/AG39-1</f>
        <v>0.0591743507317466</v>
      </c>
      <c r="AG55" s="179" t="n">
        <f aca="false">AG39/AH39-1</f>
        <v>0.130704347826089</v>
      </c>
      <c r="AH55" s="179" t="n">
        <f aca="false">AH39/AI39-1</f>
        <v>-0.285028179215458</v>
      </c>
      <c r="AI55" s="179" t="n">
        <f aca="false">AI39/AJ39-1</f>
        <v>0.0377129032258037</v>
      </c>
      <c r="AJ55" s="177" t="n">
        <f aca="false">AJ39/AK39-1</f>
        <v>0.16866911207537</v>
      </c>
      <c r="AK55" s="179" t="n">
        <f aca="false">AK39/AM39-1</f>
        <v>0.11424334837143</v>
      </c>
      <c r="AL55" s="179" t="n">
        <f aca="false">AL39/AM39-1</f>
        <v>0.0648276499399287</v>
      </c>
      <c r="AM55" s="179" t="n">
        <f aca="false">AM39/AN39-1</f>
        <v>-0.101110104213867</v>
      </c>
      <c r="AN55" s="179" t="n">
        <f aca="false">AN39/AO39-1</f>
        <v>0.237570093457949</v>
      </c>
      <c r="AO55" s="177" t="n">
        <f aca="false">AO39/AP39-1</f>
        <v>-0.123310118803768</v>
      </c>
      <c r="AP55" s="117" t="n">
        <f aca="false">AP39/AQ39-1</f>
        <v>0.0613043478260851</v>
      </c>
    </row>
    <row r="56" customFormat="false" ht="12.8" hidden="false" customHeight="false" outlineLevel="0" collapsed="false">
      <c r="A56" s="139" t="s">
        <v>186</v>
      </c>
      <c r="B56" s="179" t="n">
        <f aca="false">B40/C40-1</f>
        <v>0.0598243064729194</v>
      </c>
      <c r="C56" s="179" t="n">
        <f aca="false">C40/D40-1</f>
        <v>0.0299319727891145</v>
      </c>
      <c r="D56" s="179" t="n">
        <f aca="false">D40/E40-1</f>
        <v>-0.0812499999999997</v>
      </c>
      <c r="E56" s="179" t="n">
        <f aca="false">E40/F40-1</f>
        <v>0.230390649031069</v>
      </c>
      <c r="F56" s="179" t="n">
        <f aca="false">F40/G40-1</f>
        <v>0.136315973435862</v>
      </c>
      <c r="G56" s="179" t="n">
        <f aca="false">G40/H40-1</f>
        <v>0.111067961165048</v>
      </c>
      <c r="H56" s="179" t="n">
        <f aca="false">H40/I40-1</f>
        <v>0.0299999999999991</v>
      </c>
      <c r="I56" s="178" t="n">
        <f aca="false">I40/J40-1</f>
        <v>0.0473134315852968</v>
      </c>
      <c r="J56" s="179" t="n">
        <f aca="false">J40/L40-1</f>
        <v>0.0850272727272721</v>
      </c>
      <c r="K56" s="179" t="n">
        <f aca="false">K40/M40-1</f>
        <v>0</v>
      </c>
      <c r="L56" s="179" t="n">
        <f aca="false">L40/M40-1</f>
        <v>0</v>
      </c>
      <c r="M56" s="179" t="n">
        <f aca="false">M40/N40-1</f>
        <v>0.011494252873564</v>
      </c>
      <c r="N56" s="179" t="n">
        <f aca="false">N40/O40-1</f>
        <v>-0.0180586907449209</v>
      </c>
      <c r="O56" s="179" t="n">
        <f aca="false">O40/P40-1</f>
        <v>-0.0263736263736261</v>
      </c>
      <c r="P56" s="179" t="n">
        <f aca="false">P40/Q40-1</f>
        <v>0.0340909090909078</v>
      </c>
      <c r="Q56" s="177" t="n">
        <f aca="false">Q40/R40-1</f>
        <v>0</v>
      </c>
      <c r="R56" s="179" t="n">
        <f aca="false">R40/S40-1</f>
        <v>0.0018055267789463</v>
      </c>
      <c r="S56" s="179" t="n">
        <f aca="false">S40/T40-1</f>
        <v>-0.0366154858521616</v>
      </c>
      <c r="T56" s="179" t="n">
        <f aca="false">T40/U40-1</f>
        <v>-0.00891304347826083</v>
      </c>
      <c r="U56" s="179" t="n">
        <f aca="false">U40/V40-1</f>
        <v>-0.0212765957446792</v>
      </c>
      <c r="V56" s="179" t="n">
        <f aca="false">V40/W40-1</f>
        <v>0</v>
      </c>
      <c r="W56" s="179" t="n">
        <f aca="false">W40/X40-1</f>
        <v>0</v>
      </c>
      <c r="X56" s="179" t="n">
        <f aca="false">X40/Y40-1</f>
        <v>-0.0309278350515484</v>
      </c>
      <c r="Y56" s="177" t="n">
        <f aca="false">Y40/Z40-1</f>
        <v>0.0319148936170235</v>
      </c>
      <c r="Z56" s="179" t="n">
        <f aca="false">Z40/AA40-1</f>
        <v>-0.0598119623924794</v>
      </c>
      <c r="AA56" s="179" t="n">
        <f aca="false">AA40/AB40-1</f>
        <v>0.110888888888889</v>
      </c>
      <c r="AB56" s="179" t="n">
        <f aca="false">AB40/AC40-1</f>
        <v>0.0814708002883897</v>
      </c>
      <c r="AC56" s="179" t="n">
        <f aca="false">AC40/AD40-1</f>
        <v>-0.00141352423510055</v>
      </c>
      <c r="AD56" s="177" t="n">
        <f aca="false">AD40/AE40-1</f>
        <v>0.0417225000000028</v>
      </c>
      <c r="AE56" s="179" t="n">
        <f aca="false">AE40/AF40-1</f>
        <v>0</v>
      </c>
      <c r="AF56" s="179" t="n">
        <f aca="false">AF40/AG40-1</f>
        <v>-0.107142857142859</v>
      </c>
      <c r="AG56" s="179" t="n">
        <f aca="false">AG40/AH40-1</f>
        <v>0.0181818181818179</v>
      </c>
      <c r="AH56" s="179" t="n">
        <f aca="false">AH40/AI40-1</f>
        <v>-0.228070175438596</v>
      </c>
      <c r="AI56" s="179" t="n">
        <f aca="false">AI40/AJ40-1</f>
        <v>0.01239383185737</v>
      </c>
      <c r="AJ56" s="177" t="n">
        <f aca="false">AJ40/AK40-1</f>
        <v>0.0601054415364348</v>
      </c>
      <c r="AK56" s="179" t="n">
        <f aca="false">AK40/AM40-1</f>
        <v>-0.00449859418931731</v>
      </c>
      <c r="AL56" s="179" t="n">
        <f aca="false">AL40/AM40-1</f>
        <v>-0.00468603561386971</v>
      </c>
      <c r="AM56" s="179" t="n">
        <f aca="false">AM40/AN40-1</f>
        <v>0.0561742143033908</v>
      </c>
      <c r="AN56" s="179" t="n">
        <f aca="false">AN40/AO40-1</f>
        <v>0.0102500000000001</v>
      </c>
      <c r="AO56" s="177" t="n">
        <f aca="false">AO40/AP40-1</f>
        <v>0.0255000851165068</v>
      </c>
      <c r="AP56" s="117" t="n">
        <f aca="false">AP40/AQ40-1</f>
        <v>0.0265973238443142</v>
      </c>
    </row>
    <row r="57" customFormat="false" ht="12.8" hidden="false" customHeight="false" outlineLevel="0" collapsed="false">
      <c r="A57" s="139" t="s">
        <v>189</v>
      </c>
      <c r="B57" s="179" t="n">
        <f aca="false">B41/C41-1</f>
        <v>-0.0305000000000011</v>
      </c>
      <c r="C57" s="179" t="n">
        <f aca="false">C41/D41-1</f>
        <v>-0.0180032733224206</v>
      </c>
      <c r="D57" s="179" t="n">
        <f aca="false">D41/E41-1</f>
        <v>0.18258064516129</v>
      </c>
      <c r="E57" s="179" t="n">
        <f aca="false">E41/F41-1</f>
        <v>0.0598290598290603</v>
      </c>
      <c r="F57" s="179" t="n">
        <f aca="false">F41/G41-1</f>
        <v>0.00862068965517171</v>
      </c>
      <c r="G57" s="179" t="n">
        <f aca="false">G41/H41-1</f>
        <v>-0.00343642611683725</v>
      </c>
      <c r="H57" s="179" t="n">
        <f aca="false">H41/I41-1</f>
        <v>0.00414078674948293</v>
      </c>
      <c r="I57" s="178" t="n">
        <f aca="false">I41/J41-1</f>
        <v>-0.000689655172415482</v>
      </c>
      <c r="J57" s="179" t="n">
        <f aca="false">J41/L41-1</f>
        <v>0.159860816701996</v>
      </c>
      <c r="K57" s="179" t="n">
        <f aca="false">K41/M41-1</f>
        <v>2.39999999986917E-005</v>
      </c>
      <c r="L57" s="179" t="n">
        <f aca="false">L41/M41-1</f>
        <v>0.000119999999999454</v>
      </c>
      <c r="M57" s="179" t="n">
        <f aca="false">M41/N41-1</f>
        <v>4.00016000638992E-005</v>
      </c>
      <c r="N57" s="179" t="n">
        <f aca="false">N41/O41-1</f>
        <v>0.000760608486791492</v>
      </c>
      <c r="O57" s="179" t="n">
        <f aca="false">O41/P41-1</f>
        <v>-0.0754996299037781</v>
      </c>
      <c r="P57" s="179" t="n">
        <f aca="false">P41/Q41-1</f>
        <v>-0.00295202952029217</v>
      </c>
      <c r="Q57" s="177" t="n">
        <f aca="false">Q41/R41-1</f>
        <v>-0.0181159420289891</v>
      </c>
      <c r="R57" s="179" t="n">
        <f aca="false">R41/S41-1</f>
        <v>0.0147058823529413</v>
      </c>
      <c r="S57" s="179" t="n">
        <f aca="false">S41/T41-1</f>
        <v>-0.0427456307672784</v>
      </c>
      <c r="T57" s="179" t="n">
        <f aca="false">T41/U41-1</f>
        <v>0.0221079136690638</v>
      </c>
      <c r="U57" s="179" t="n">
        <f aca="false">U41/V41-1</f>
        <v>-0.00254745075526375</v>
      </c>
      <c r="V57" s="179" t="n">
        <f aca="false">V41/W41-1</f>
        <v>0.0637786259541968</v>
      </c>
      <c r="W57" s="179" t="n">
        <f aca="false">W41/X41-1</f>
        <v>0</v>
      </c>
      <c r="X57" s="179" t="n">
        <f aca="false">X41/Y41-1</f>
        <v>-0.0839160839160839</v>
      </c>
      <c r="Y57" s="177" t="n">
        <f aca="false">Y41/Z41-1</f>
        <v>0.0141843971631206</v>
      </c>
      <c r="Z57" s="179" t="n">
        <f aca="false">Z41/AA41-1</f>
        <v>-0.0262699925416409</v>
      </c>
      <c r="AA57" s="179" t="n">
        <f aca="false">AA41/AB41-1</f>
        <v>-0.00831404347409459</v>
      </c>
      <c r="AB57" s="179" t="n">
        <f aca="false">AB41/AC41-1</f>
        <v>0.0429857142857124</v>
      </c>
      <c r="AC57" s="179" t="n">
        <f aca="false">AC41/AD41-1</f>
        <v>0.0341643582640807</v>
      </c>
      <c r="AD57" s="177" t="n">
        <f aca="false">AD41/AE41-1</f>
        <v>0.0413461538461541</v>
      </c>
      <c r="AE57" s="179" t="n">
        <f aca="false">AE41/AF41-1</f>
        <v>-0.0261953452137474</v>
      </c>
      <c r="AF57" s="179" t="n">
        <f aca="false">AF41/AG41-1</f>
        <v>0.140999999999999</v>
      </c>
      <c r="AG57" s="179" t="n">
        <f aca="false">AG41/AH41-1</f>
        <v>0.00343053173242081</v>
      </c>
      <c r="AH57" s="179" t="n">
        <f aca="false">AH41/AI41-1</f>
        <v>-0.303048416019128</v>
      </c>
      <c r="AI57" s="179" t="n">
        <f aca="false">AI41/AJ41-1</f>
        <v>0.0736747529200375</v>
      </c>
      <c r="AJ57" s="177" t="n">
        <f aca="false">AJ41/AK41-1</f>
        <v>0.0896503496503478</v>
      </c>
      <c r="AK57" s="179" t="n">
        <f aca="false">AK41/AM41-1</f>
        <v>0.108527131782945</v>
      </c>
      <c r="AL57" s="179" t="n">
        <f aca="false">AL41/AM41-1</f>
        <v>0.147286821705429</v>
      </c>
      <c r="AM57" s="179" t="n">
        <f aca="false">AM41/AN41-1</f>
        <v>-0.0652173913043501</v>
      </c>
      <c r="AN57" s="179" t="n">
        <f aca="false">AN41/AO41-1</f>
        <v>0.0831089937289589</v>
      </c>
      <c r="AO57" s="177" t="n">
        <f aca="false">AO41/AP41-1</f>
        <v>0.0625995579834024</v>
      </c>
      <c r="AP57" s="117" t="n">
        <f aca="false">AP41/AQ41-1</f>
        <v>0.0782823741007219</v>
      </c>
    </row>
    <row r="58" customFormat="false" ht="12.8" hidden="false" customHeight="false" outlineLevel="0" collapsed="false">
      <c r="A58" s="139"/>
      <c r="B58" s="27"/>
      <c r="C58" s="179"/>
      <c r="D58" s="179"/>
      <c r="E58" s="179"/>
      <c r="F58" s="179"/>
      <c r="G58" s="179"/>
      <c r="H58" s="179"/>
      <c r="I58" s="178"/>
    </row>
    <row r="59" customFormat="false" ht="12.8" hidden="false" customHeight="false" outlineLevel="0" collapsed="false">
      <c r="A59" s="23" t="s">
        <v>234</v>
      </c>
      <c r="B59" s="23"/>
      <c r="C59" s="16" t="s">
        <v>235</v>
      </c>
      <c r="D59" s="16"/>
      <c r="E59" s="16"/>
      <c r="F59" s="16"/>
      <c r="G59" s="16"/>
      <c r="H59" s="16"/>
      <c r="I59" s="16"/>
      <c r="J59" s="104" t="s">
        <v>235</v>
      </c>
      <c r="K59" s="104"/>
      <c r="L59" s="104"/>
      <c r="M59" s="104"/>
      <c r="N59" s="104"/>
      <c r="O59" s="104"/>
      <c r="P59" s="104"/>
      <c r="Q59" s="104" t="s">
        <v>235</v>
      </c>
      <c r="R59" s="104"/>
      <c r="S59" s="104"/>
      <c r="T59" s="104"/>
      <c r="U59" s="104"/>
      <c r="V59" s="104"/>
      <c r="W59" s="104"/>
      <c r="X59" s="104"/>
      <c r="Y59" s="104" t="s">
        <v>235</v>
      </c>
      <c r="Z59" s="104"/>
      <c r="AA59" s="104"/>
      <c r="AB59" s="104"/>
      <c r="AC59" s="104"/>
      <c r="AD59" s="104" t="s">
        <v>235</v>
      </c>
      <c r="AE59" s="104"/>
      <c r="AF59" s="104"/>
      <c r="AG59" s="104"/>
      <c r="AH59" s="104"/>
      <c r="AI59" s="104"/>
      <c r="AJ59" s="105" t="s">
        <v>235</v>
      </c>
      <c r="AK59" s="105"/>
      <c r="AL59" s="105"/>
      <c r="AM59" s="105"/>
      <c r="AN59" s="105"/>
    </row>
    <row r="60" customFormat="false" ht="12.8" hidden="false" customHeight="false" outlineLevel="0" collapsed="false">
      <c r="A60" s="139" t="s">
        <v>24</v>
      </c>
      <c r="B60" s="214" t="n">
        <f aca="false">B32/J32-1</f>
        <v>0.686327874867416</v>
      </c>
      <c r="C60" s="214"/>
      <c r="D60" s="214"/>
      <c r="E60" s="214"/>
      <c r="F60" s="214"/>
      <c r="G60" s="214"/>
      <c r="H60" s="214"/>
      <c r="I60" s="214"/>
      <c r="J60" s="215" t="n">
        <f aca="false">J32/Q32-1</f>
        <v>0.218231996889948</v>
      </c>
      <c r="K60" s="215"/>
      <c r="L60" s="215"/>
      <c r="M60" s="215"/>
      <c r="N60" s="215"/>
      <c r="O60" s="215"/>
      <c r="P60" s="215"/>
      <c r="Q60" s="215" t="n">
        <f aca="false">Q32/Y32-1</f>
        <v>-0.00406534918765511</v>
      </c>
      <c r="R60" s="215"/>
      <c r="S60" s="215"/>
      <c r="T60" s="215"/>
      <c r="U60" s="215"/>
      <c r="V60" s="215"/>
      <c r="W60" s="215"/>
      <c r="X60" s="215"/>
      <c r="Y60" s="215" t="n">
        <f aca="false">Y32/AD32-1</f>
        <v>0.606368798504038</v>
      </c>
      <c r="Z60" s="215"/>
      <c r="AA60" s="215"/>
      <c r="AB60" s="215"/>
      <c r="AC60" s="215"/>
      <c r="AD60" s="215" t="n">
        <f aca="false">AD32/AJ32-1</f>
        <v>0.098021961492178</v>
      </c>
      <c r="AE60" s="215"/>
      <c r="AF60" s="215"/>
      <c r="AG60" s="215"/>
      <c r="AH60" s="215"/>
      <c r="AI60" s="215"/>
      <c r="AJ60" s="216" t="n">
        <f aca="false">AJ32/AO32-1</f>
        <v>0.316331379692698</v>
      </c>
      <c r="AK60" s="216"/>
      <c r="AL60" s="216"/>
      <c r="AM60" s="216"/>
      <c r="AN60" s="216"/>
    </row>
    <row r="61" customFormat="false" ht="12.8" hidden="false" customHeight="false" outlineLevel="0" collapsed="false">
      <c r="A61" s="139" t="s">
        <v>180</v>
      </c>
      <c r="B61" s="214" t="n">
        <f aca="false">B33/J33-1</f>
        <v>0.0647472642001035</v>
      </c>
      <c r="C61" s="214"/>
      <c r="D61" s="214"/>
      <c r="E61" s="214"/>
      <c r="F61" s="214"/>
      <c r="G61" s="214"/>
      <c r="H61" s="214"/>
      <c r="I61" s="214"/>
      <c r="J61" s="215" t="n">
        <f aca="false">J33/Q33-1</f>
        <v>0.0515068493150694</v>
      </c>
      <c r="K61" s="215"/>
      <c r="L61" s="215"/>
      <c r="M61" s="215"/>
      <c r="N61" s="215"/>
      <c r="O61" s="215"/>
      <c r="P61" s="215"/>
      <c r="Q61" s="215" t="n">
        <f aca="false">Q33/Y33-1</f>
        <v>0.057971014492753</v>
      </c>
      <c r="R61" s="215"/>
      <c r="S61" s="215"/>
      <c r="T61" s="215"/>
      <c r="U61" s="215"/>
      <c r="V61" s="215"/>
      <c r="W61" s="215"/>
      <c r="X61" s="215"/>
      <c r="Y61" s="215" t="n">
        <f aca="false">Y33/AD33-1</f>
        <v>0.0987261146496807</v>
      </c>
      <c r="Z61" s="215"/>
      <c r="AA61" s="215"/>
      <c r="AB61" s="215"/>
      <c r="AC61" s="215"/>
      <c r="AD61" s="215" t="n">
        <f aca="false">AD33/AJ33-1</f>
        <v>-0.0187499999999985</v>
      </c>
      <c r="AE61" s="215"/>
      <c r="AF61" s="215"/>
      <c r="AG61" s="215"/>
      <c r="AH61" s="215"/>
      <c r="AI61" s="215"/>
      <c r="AJ61" s="216" t="n">
        <f aca="false">AJ33/AO33-1</f>
        <v>0.100753328058889</v>
      </c>
      <c r="AK61" s="216"/>
      <c r="AL61" s="216"/>
      <c r="AM61" s="216"/>
      <c r="AN61" s="216"/>
    </row>
    <row r="62" customFormat="false" ht="12.8" hidden="false" customHeight="false" outlineLevel="0" collapsed="false">
      <c r="A62" s="139" t="s">
        <v>181</v>
      </c>
      <c r="B62" s="214" t="n">
        <f aca="false">B34/J34-1</f>
        <v>0.527633676062955</v>
      </c>
      <c r="C62" s="214"/>
      <c r="D62" s="214"/>
      <c r="E62" s="214"/>
      <c r="F62" s="214"/>
      <c r="G62" s="214"/>
      <c r="H62" s="214"/>
      <c r="I62" s="214"/>
      <c r="J62" s="215" t="n">
        <f aca="false">J34/Q34-1</f>
        <v>0.246384810126585</v>
      </c>
      <c r="K62" s="215"/>
      <c r="L62" s="215"/>
      <c r="M62" s="215"/>
      <c r="N62" s="215"/>
      <c r="O62" s="215"/>
      <c r="P62" s="215"/>
      <c r="Q62" s="215" t="n">
        <f aca="false">Q34/Y34-1</f>
        <v>-0.188213823793762</v>
      </c>
      <c r="R62" s="215"/>
      <c r="S62" s="215"/>
      <c r="T62" s="215"/>
      <c r="U62" s="215"/>
      <c r="V62" s="215"/>
      <c r="W62" s="215"/>
      <c r="X62" s="215"/>
      <c r="Y62" s="215" t="n">
        <f aca="false">Y34/AD34-1</f>
        <v>0.585816404128188</v>
      </c>
      <c r="Z62" s="215"/>
      <c r="AA62" s="215"/>
      <c r="AB62" s="215"/>
      <c r="AC62" s="215"/>
      <c r="AD62" s="215" t="n">
        <f aca="false">AD34/AJ34-1</f>
        <v>0.0700894027436387</v>
      </c>
      <c r="AE62" s="215"/>
      <c r="AF62" s="215"/>
      <c r="AG62" s="215"/>
      <c r="AH62" s="215"/>
      <c r="AI62" s="215"/>
      <c r="AJ62" s="216" t="n">
        <f aca="false">AJ34/AO34-1</f>
        <v>0.220153900709221</v>
      </c>
      <c r="AK62" s="216"/>
      <c r="AL62" s="216"/>
      <c r="AM62" s="216"/>
      <c r="AN62" s="216"/>
    </row>
    <row r="63" customFormat="false" ht="12.8" hidden="false" customHeight="false" outlineLevel="0" collapsed="false">
      <c r="A63" s="139" t="s">
        <v>30</v>
      </c>
      <c r="B63" s="214" t="n">
        <f aca="false">B35/J35-1</f>
        <v>0.226636297787608</v>
      </c>
      <c r="C63" s="214"/>
      <c r="D63" s="214"/>
      <c r="E63" s="214"/>
      <c r="F63" s="214"/>
      <c r="G63" s="214"/>
      <c r="H63" s="214"/>
      <c r="I63" s="214"/>
      <c r="J63" s="215" t="n">
        <f aca="false">J35/Q35-1</f>
        <v>0.058125180681321</v>
      </c>
      <c r="K63" s="215"/>
      <c r="L63" s="215"/>
      <c r="M63" s="215"/>
      <c r="N63" s="215"/>
      <c r="O63" s="215"/>
      <c r="P63" s="215"/>
      <c r="Q63" s="215" t="n">
        <f aca="false">Q35/Y35-1</f>
        <v>-0.0695703998390471</v>
      </c>
      <c r="R63" s="215"/>
      <c r="S63" s="215"/>
      <c r="T63" s="215"/>
      <c r="U63" s="215"/>
      <c r="V63" s="215"/>
      <c r="W63" s="215"/>
      <c r="X63" s="215"/>
      <c r="Y63" s="215" t="n">
        <f aca="false">Y35/AD35-1</f>
        <v>0.396244258717736</v>
      </c>
      <c r="Z63" s="215"/>
      <c r="AA63" s="215"/>
      <c r="AB63" s="215"/>
      <c r="AC63" s="215"/>
      <c r="AD63" s="215" t="n">
        <f aca="false">AD35/AJ35-1</f>
        <v>0.109818128037257</v>
      </c>
      <c r="AE63" s="215"/>
      <c r="AF63" s="215"/>
      <c r="AG63" s="215"/>
      <c r="AH63" s="215"/>
      <c r="AI63" s="215"/>
      <c r="AJ63" s="216" t="n">
        <f aca="false">AJ35/AO35-1</f>
        <v>0.451122107542826</v>
      </c>
      <c r="AK63" s="216"/>
      <c r="AL63" s="216"/>
      <c r="AM63" s="216"/>
      <c r="AN63" s="216"/>
    </row>
    <row r="64" customFormat="false" ht="12.8" hidden="false" customHeight="false" outlineLevel="0" collapsed="false">
      <c r="A64" s="139" t="s">
        <v>182</v>
      </c>
      <c r="B64" s="214" t="n">
        <f aca="false">B36/J36-1</f>
        <v>0.504295102369137</v>
      </c>
      <c r="C64" s="214"/>
      <c r="D64" s="214"/>
      <c r="E64" s="214"/>
      <c r="F64" s="214"/>
      <c r="G64" s="214"/>
      <c r="H64" s="214"/>
      <c r="I64" s="214"/>
      <c r="J64" s="215" t="n">
        <f aca="false">J36/Q36-1</f>
        <v>-0.0209658246656753</v>
      </c>
      <c r="K64" s="215"/>
      <c r="L64" s="215"/>
      <c r="M64" s="215"/>
      <c r="N64" s="215"/>
      <c r="O64" s="215"/>
      <c r="P64" s="215"/>
      <c r="Q64" s="215" t="n">
        <f aca="false">Q36/Y36-1</f>
        <v>-0.0198577118847734</v>
      </c>
      <c r="R64" s="215"/>
      <c r="S64" s="215"/>
      <c r="T64" s="215"/>
      <c r="U64" s="215"/>
      <c r="V64" s="215"/>
      <c r="W64" s="215"/>
      <c r="X64" s="215"/>
      <c r="Y64" s="215" t="n">
        <f aca="false">Y36/AD36-1</f>
        <v>0.199383395343151</v>
      </c>
      <c r="Z64" s="215"/>
      <c r="AA64" s="215"/>
      <c r="AB64" s="215"/>
      <c r="AC64" s="215"/>
      <c r="AD64" s="215" t="n">
        <f aca="false">AD36/AJ36-1</f>
        <v>-0.0471205059920101</v>
      </c>
      <c r="AE64" s="215"/>
      <c r="AF64" s="215"/>
      <c r="AG64" s="215"/>
      <c r="AH64" s="215"/>
      <c r="AI64" s="215"/>
      <c r="AJ64" s="216" t="n">
        <f aca="false">AJ36/AO36-1</f>
        <v>0.00133333333333385</v>
      </c>
      <c r="AK64" s="216"/>
      <c r="AL64" s="216"/>
      <c r="AM64" s="216"/>
      <c r="AN64" s="216"/>
    </row>
    <row r="65" customFormat="false" ht="12.8" hidden="false" customHeight="false" outlineLevel="0" collapsed="false">
      <c r="A65" s="139" t="s">
        <v>27</v>
      </c>
      <c r="B65" s="214" t="n">
        <f aca="false">B37/J37-1</f>
        <v>0.354256199951843</v>
      </c>
      <c r="C65" s="214"/>
      <c r="D65" s="214"/>
      <c r="E65" s="214"/>
      <c r="F65" s="214"/>
      <c r="G65" s="214"/>
      <c r="H65" s="214"/>
      <c r="I65" s="214"/>
      <c r="J65" s="215" t="n">
        <f aca="false">J37/Q37-1</f>
        <v>-0.0447897040184245</v>
      </c>
      <c r="K65" s="215"/>
      <c r="L65" s="215"/>
      <c r="M65" s="215"/>
      <c r="N65" s="215"/>
      <c r="O65" s="215"/>
      <c r="P65" s="215"/>
      <c r="Q65" s="215" t="n">
        <f aca="false">Q37/Y37-1</f>
        <v>-0.139064128768522</v>
      </c>
      <c r="R65" s="215"/>
      <c r="S65" s="215"/>
      <c r="T65" s="215"/>
      <c r="U65" s="215"/>
      <c r="V65" s="215"/>
      <c r="W65" s="215"/>
      <c r="X65" s="215"/>
      <c r="Y65" s="215" t="n">
        <f aca="false">Y37/AD37-1</f>
        <v>0.0632067445446125</v>
      </c>
      <c r="Z65" s="215"/>
      <c r="AA65" s="215"/>
      <c r="AB65" s="215"/>
      <c r="AC65" s="215"/>
      <c r="AD65" s="215" t="n">
        <f aca="false">AD37/AJ37-1</f>
        <v>-0.0542563865290457</v>
      </c>
      <c r="AE65" s="215"/>
      <c r="AF65" s="215"/>
      <c r="AG65" s="215"/>
      <c r="AH65" s="215"/>
      <c r="AI65" s="215"/>
      <c r="AJ65" s="216" t="n">
        <f aca="false">AJ37/AO37-1</f>
        <v>0.639113554393799</v>
      </c>
      <c r="AK65" s="216"/>
      <c r="AL65" s="216"/>
      <c r="AM65" s="216"/>
      <c r="AN65" s="216"/>
    </row>
    <row r="66" customFormat="false" ht="12.8" hidden="false" customHeight="false" outlineLevel="0" collapsed="false">
      <c r="A66" s="139" t="s">
        <v>184</v>
      </c>
      <c r="B66" s="214" t="n">
        <f aca="false">B38/J38-1</f>
        <v>0.3824973500106</v>
      </c>
      <c r="C66" s="214"/>
      <c r="D66" s="214"/>
      <c r="E66" s="214"/>
      <c r="F66" s="214"/>
      <c r="G66" s="214"/>
      <c r="H66" s="214"/>
      <c r="I66" s="214"/>
      <c r="J66" s="215" t="n">
        <f aca="false">J38/Q38-1</f>
        <v>-0.0751560686388305</v>
      </c>
      <c r="K66" s="215"/>
      <c r="L66" s="215"/>
      <c r="M66" s="215"/>
      <c r="N66" s="215"/>
      <c r="O66" s="215"/>
      <c r="P66" s="215"/>
      <c r="Q66" s="215" t="n">
        <f aca="false">Q38/Y38-1</f>
        <v>-0.0845072445037987</v>
      </c>
      <c r="R66" s="215"/>
      <c r="S66" s="215"/>
      <c r="T66" s="215"/>
      <c r="U66" s="215"/>
      <c r="V66" s="215"/>
      <c r="W66" s="215"/>
      <c r="X66" s="215"/>
      <c r="Y66" s="215" t="n">
        <f aca="false">Y38/AD38-1</f>
        <v>0.24472049689441</v>
      </c>
      <c r="Z66" s="215"/>
      <c r="AA66" s="215"/>
      <c r="AB66" s="215"/>
      <c r="AC66" s="215"/>
      <c r="AD66" s="215" t="n">
        <f aca="false">AD38/AJ38-1</f>
        <v>-0.00651697165028609</v>
      </c>
      <c r="AE66" s="215"/>
      <c r="AF66" s="215"/>
      <c r="AG66" s="215"/>
      <c r="AH66" s="215"/>
      <c r="AI66" s="215"/>
      <c r="AJ66" s="216" t="n">
        <f aca="false">AJ38/AO38-1</f>
        <v>0.407018289026585</v>
      </c>
      <c r="AK66" s="216"/>
      <c r="AL66" s="216"/>
      <c r="AM66" s="216"/>
      <c r="AN66" s="216"/>
    </row>
    <row r="67" customFormat="false" ht="12.8" hidden="false" customHeight="false" outlineLevel="0" collapsed="false">
      <c r="A67" s="139" t="s">
        <v>233</v>
      </c>
      <c r="B67" s="214" t="n">
        <f aca="false">B39/J39-1</f>
        <v>0.237119935041437</v>
      </c>
      <c r="C67" s="214"/>
      <c r="D67" s="214"/>
      <c r="E67" s="214"/>
      <c r="F67" s="214"/>
      <c r="G67" s="214"/>
      <c r="H67" s="214"/>
      <c r="I67" s="214"/>
      <c r="J67" s="215" t="n">
        <f aca="false">J39/Q39-1</f>
        <v>2.26064276206525</v>
      </c>
      <c r="K67" s="215"/>
      <c r="L67" s="215"/>
      <c r="M67" s="215"/>
      <c r="N67" s="215"/>
      <c r="O67" s="215"/>
      <c r="P67" s="215"/>
      <c r="Q67" s="215" t="n">
        <f aca="false">Q39/Y39-1</f>
        <v>-0.216129032258063</v>
      </c>
      <c r="R67" s="215"/>
      <c r="S67" s="215"/>
      <c r="T67" s="215"/>
      <c r="U67" s="215"/>
      <c r="V67" s="215"/>
      <c r="W67" s="215"/>
      <c r="X67" s="215"/>
      <c r="Y67" s="215" t="n">
        <f aca="false">Y39/AD39-1</f>
        <v>0.072664359861595</v>
      </c>
      <c r="Z67" s="215"/>
      <c r="AA67" s="215"/>
      <c r="AB67" s="215"/>
      <c r="AC67" s="215"/>
      <c r="AD67" s="215" t="n">
        <f aca="false">AD39/AJ39-1</f>
        <v>-0.0677419354838739</v>
      </c>
      <c r="AE67" s="215"/>
      <c r="AF67" s="215"/>
      <c r="AG67" s="215"/>
      <c r="AH67" s="215"/>
      <c r="AI67" s="215"/>
      <c r="AJ67" s="216" t="n">
        <f aca="false">AJ39/AO39-1</f>
        <v>0.448598130841125</v>
      </c>
      <c r="AK67" s="216"/>
      <c r="AL67" s="216"/>
      <c r="AM67" s="216"/>
      <c r="AN67" s="216"/>
    </row>
    <row r="68" customFormat="false" ht="12.8" hidden="false" customHeight="false" outlineLevel="0" collapsed="false">
      <c r="A68" s="139" t="s">
        <v>186</v>
      </c>
      <c r="B68" s="214" t="n">
        <f aca="false">B40/J40-1</f>
        <v>0.680491902172545</v>
      </c>
      <c r="C68" s="214"/>
      <c r="D68" s="214"/>
      <c r="E68" s="214"/>
      <c r="F68" s="214"/>
      <c r="G68" s="214"/>
      <c r="H68" s="214"/>
      <c r="I68" s="214"/>
      <c r="J68" s="215" t="n">
        <f aca="false">J40/Q40-1</f>
        <v>0.0850272727272721</v>
      </c>
      <c r="K68" s="215"/>
      <c r="L68" s="215"/>
      <c r="M68" s="215"/>
      <c r="N68" s="215"/>
      <c r="O68" s="215"/>
      <c r="P68" s="215"/>
      <c r="Q68" s="215" t="n">
        <f aca="false">Q40/Y40-1</f>
        <v>-0.0927835051546391</v>
      </c>
      <c r="R68" s="215"/>
      <c r="S68" s="215"/>
      <c r="T68" s="215"/>
      <c r="U68" s="215"/>
      <c r="V68" s="215"/>
      <c r="W68" s="215"/>
      <c r="X68" s="215"/>
      <c r="Y68" s="215" t="n">
        <f aca="false">Y40/AD40-1</f>
        <v>0.163937612943946</v>
      </c>
      <c r="Z68" s="215"/>
      <c r="AA68" s="215"/>
      <c r="AB68" s="215"/>
      <c r="AC68" s="215"/>
      <c r="AD68" s="215" t="n">
        <f aca="false">AD40/AJ40-1</f>
        <v>-0.2599063624512</v>
      </c>
      <c r="AE68" s="215"/>
      <c r="AF68" s="215"/>
      <c r="AG68" s="215"/>
      <c r="AH68" s="215"/>
      <c r="AI68" s="215"/>
      <c r="AJ68" s="216" t="n">
        <f aca="false">AJ40/AO40-1</f>
        <v>0.126044</v>
      </c>
      <c r="AK68" s="216"/>
      <c r="AL68" s="216"/>
      <c r="AM68" s="216"/>
      <c r="AN68" s="216"/>
    </row>
    <row r="69" customFormat="false" ht="12.8" hidden="false" customHeight="false" outlineLevel="0" collapsed="false">
      <c r="A69" s="139" t="s">
        <v>189</v>
      </c>
      <c r="B69" s="214" t="n">
        <f aca="false">B41/J41-1</f>
        <v>0.203517241379311</v>
      </c>
      <c r="C69" s="214"/>
      <c r="D69" s="214"/>
      <c r="E69" s="214"/>
      <c r="F69" s="214"/>
      <c r="G69" s="214"/>
      <c r="H69" s="214"/>
      <c r="I69" s="214"/>
      <c r="J69" s="215" t="n">
        <f aca="false">J41/Q41-1</f>
        <v>0.0701107011070123</v>
      </c>
      <c r="K69" s="215"/>
      <c r="L69" s="215"/>
      <c r="M69" s="215"/>
      <c r="N69" s="215"/>
      <c r="O69" s="215"/>
      <c r="P69" s="215"/>
      <c r="Q69" s="215" t="n">
        <f aca="false">Q41/Y41-1</f>
        <v>-0.0524475524475535</v>
      </c>
      <c r="R69" s="215"/>
      <c r="S69" s="215"/>
      <c r="T69" s="215"/>
      <c r="U69" s="215"/>
      <c r="V69" s="215"/>
      <c r="W69" s="215"/>
      <c r="X69" s="215"/>
      <c r="Y69" s="215" t="n">
        <f aca="false">Y41/AD41-1</f>
        <v>0.0563250230840227</v>
      </c>
      <c r="Z69" s="215"/>
      <c r="AA69" s="215"/>
      <c r="AB69" s="215"/>
      <c r="AC69" s="215"/>
      <c r="AD69" s="215" t="n">
        <f aca="false">AD41/AJ41-1</f>
        <v>-0.131209087408544</v>
      </c>
      <c r="AE69" s="215"/>
      <c r="AF69" s="215"/>
      <c r="AG69" s="215"/>
      <c r="AH69" s="215"/>
      <c r="AI69" s="215"/>
      <c r="AJ69" s="216" t="n">
        <f aca="false">AJ41/AO41-1</f>
        <v>0.222971329006128</v>
      </c>
      <c r="AK69" s="216"/>
      <c r="AL69" s="216"/>
      <c r="AM69" s="216"/>
      <c r="AN69" s="216"/>
    </row>
    <row r="70" customFormat="false" ht="12.8" hidden="false" customHeight="false" outlineLevel="0" collapsed="false">
      <c r="AJ70" s="105"/>
      <c r="AK70" s="105"/>
      <c r="AL70" s="105"/>
      <c r="AM70" s="105"/>
      <c r="AN70" s="105"/>
    </row>
    <row r="72" customFormat="false" ht="12.8" hidden="false" customHeight="false" outlineLevel="0" collapsed="false">
      <c r="A72" s="139" t="s">
        <v>24</v>
      </c>
      <c r="B72" s="22" t="n">
        <f aca="false">COUNTIF(B48,"&gt;"&amp;B$45)</f>
        <v>0</v>
      </c>
      <c r="C72" s="22" t="n">
        <f aca="false">COUNTIF(C48,"&gt;"&amp;C$45)</f>
        <v>0</v>
      </c>
      <c r="D72" s="22" t="n">
        <f aca="false">COUNTIF(D48,"&gt;"&amp;D$45)</f>
        <v>1</v>
      </c>
      <c r="E72" s="22" t="n">
        <f aca="false">COUNTIF(E48,"&gt;"&amp;E$45)</f>
        <v>1</v>
      </c>
      <c r="F72" s="22" t="n">
        <f aca="false">COUNTIF(F48,"&gt;"&amp;F$45)</f>
        <v>1</v>
      </c>
      <c r="G72" s="22" t="n">
        <f aca="false">COUNTIF(G48,"&gt;"&amp;G$45)</f>
        <v>0</v>
      </c>
      <c r="H72" s="217" t="n">
        <f aca="false">COUNTIF(H48,"&gt;"&amp;H$45)</f>
        <v>1</v>
      </c>
      <c r="I72" s="42" t="n">
        <f aca="false">COUNTIF(I48,"&gt;"&amp;I$45)</f>
        <v>1</v>
      </c>
      <c r="J72" s="22" t="n">
        <f aca="false">COUNTIF(J48,"&gt;"&amp;J$45)</f>
        <v>1</v>
      </c>
      <c r="K72" s="22" t="n">
        <f aca="false">COUNTIF(K48,"&gt;"&amp;K$45)</f>
        <v>1</v>
      </c>
      <c r="L72" s="22" t="n">
        <f aca="false">COUNTIF(L48,"&gt;"&amp;L$45)</f>
        <v>1</v>
      </c>
      <c r="M72" s="22" t="n">
        <f aca="false">COUNTIF(M48,"&gt;"&amp;M$45)</f>
        <v>1</v>
      </c>
      <c r="N72" s="22" t="n">
        <f aca="false">COUNTIF(N48,"&gt;"&amp;N$45)</f>
        <v>1</v>
      </c>
      <c r="O72" s="22" t="n">
        <f aca="false">COUNTIF(O48,"&gt;"&amp;O$45)</f>
        <v>0</v>
      </c>
      <c r="P72" s="22" t="n">
        <f aca="false">COUNTIF(P48,"&gt;"&amp;P$45)</f>
        <v>1</v>
      </c>
      <c r="Q72" s="21" t="n">
        <f aca="false">COUNTIF(Q48,"&gt;"&amp;Q$45)</f>
        <v>1</v>
      </c>
      <c r="R72" s="22" t="n">
        <f aca="false">COUNTIF(R48,"&gt;"&amp;R$45)</f>
        <v>1</v>
      </c>
      <c r="S72" s="22" t="n">
        <f aca="false">COUNTIF(S48,"&gt;"&amp;S$45)</f>
        <v>0</v>
      </c>
      <c r="T72" s="22" t="n">
        <f aca="false">COUNTIF(T48,"&gt;"&amp;T$45)</f>
        <v>0</v>
      </c>
      <c r="U72" s="22" t="n">
        <f aca="false">COUNTIF(U48,"&gt;"&amp;U$45)</f>
        <v>0</v>
      </c>
      <c r="V72" s="22" t="n">
        <f aca="false">COUNTIF(V48,"&gt;"&amp;V$45)</f>
        <v>1</v>
      </c>
      <c r="W72" s="22" t="n">
        <f aca="false">COUNTIF(W48,"&gt;"&amp;W$45)</f>
        <v>0</v>
      </c>
      <c r="X72" s="22" t="n">
        <f aca="false">COUNTIF(X48,"&gt;"&amp;X$45)</f>
        <v>1</v>
      </c>
      <c r="Y72" s="21" t="n">
        <f aca="false">COUNTIF(Y48,"&gt;"&amp;Y$45)</f>
        <v>1</v>
      </c>
      <c r="Z72" s="22" t="n">
        <f aca="false">COUNTIF(Z48,"&gt;"&amp;Z$45)</f>
        <v>0</v>
      </c>
      <c r="AA72" s="22" t="n">
        <f aca="false">COUNTIF(AA48,"&gt;"&amp;AA$45)</f>
        <v>1</v>
      </c>
      <c r="AB72" s="22" t="n">
        <f aca="false">COUNTIF(AB48,"&gt;"&amp;AB$45)</f>
        <v>1</v>
      </c>
      <c r="AC72" s="42" t="n">
        <f aca="false">COUNTIF(AC48,"&gt;"&amp;AC$45)</f>
        <v>1</v>
      </c>
      <c r="AD72" s="21" t="n">
        <f aca="false">COUNTIF(AD48,"&gt;"&amp;AD$45)</f>
        <v>1</v>
      </c>
      <c r="AE72" s="22" t="n">
        <f aca="false">COUNTIF(AE48,"&gt;"&amp;AE$45)</f>
        <v>0</v>
      </c>
      <c r="AF72" s="22" t="n">
        <f aca="false">COUNTIF(AF48,"&gt;"&amp;AF$45)</f>
        <v>1</v>
      </c>
      <c r="AG72" s="22" t="n">
        <f aca="false">COUNTIF(AG48,"&gt;"&amp;AG$45)</f>
        <v>0</v>
      </c>
      <c r="AH72" s="22" t="n">
        <f aca="false">COUNTIF(AH48,"&gt;"&amp;AH$45)</f>
        <v>1</v>
      </c>
      <c r="AI72" s="42" t="n">
        <f aca="false">COUNTIF(AI48,"&gt;"&amp;AI$45)</f>
        <v>1</v>
      </c>
      <c r="AJ72" s="21" t="n">
        <f aca="false">COUNTIF(AJ48,"&gt;"&amp;AJ$45)</f>
        <v>1</v>
      </c>
      <c r="AK72" s="22" t="n">
        <f aca="false">COUNTIF(AK48,"&gt;"&amp;AK$45)</f>
        <v>0</v>
      </c>
      <c r="AL72" s="22" t="n">
        <f aca="false">COUNTIF(AL48,"&gt;"&amp;AL$45)</f>
        <v>0</v>
      </c>
      <c r="AM72" s="22" t="n">
        <f aca="false">COUNTIF(AM48,"&gt;"&amp;AM$45)</f>
        <v>0</v>
      </c>
      <c r="AN72" s="42" t="n">
        <f aca="false">COUNTIF(AN48,"&gt;"&amp;AN$45)</f>
        <v>1</v>
      </c>
      <c r="AO72" s="22" t="n">
        <f aca="false">COUNTIF(AO48,"&gt;"&amp;AO$45)</f>
        <v>0</v>
      </c>
      <c r="AP72" s="22" t="n">
        <f aca="false">COUNTIF(AP48,"&gt;"&amp;AP$45)</f>
        <v>0</v>
      </c>
    </row>
    <row r="73" customFormat="false" ht="12.8" hidden="false" customHeight="false" outlineLevel="0" collapsed="false">
      <c r="A73" s="139" t="s">
        <v>180</v>
      </c>
      <c r="B73" s="22" t="n">
        <f aca="false">COUNTIF(B49,"&gt;"&amp;B$45)</f>
        <v>0</v>
      </c>
      <c r="C73" s="22" t="n">
        <f aca="false">COUNTIF(C49,"&gt;"&amp;C$45)</f>
        <v>1</v>
      </c>
      <c r="D73" s="22" t="n">
        <f aca="false">COUNTIF(D49,"&gt;"&amp;D$45)</f>
        <v>0</v>
      </c>
      <c r="E73" s="22" t="n">
        <f aca="false">COUNTIF(E49,"&gt;"&amp;E$45)</f>
        <v>0</v>
      </c>
      <c r="F73" s="22" t="n">
        <f aca="false">COUNTIF(F49,"&gt;"&amp;F$45)</f>
        <v>0</v>
      </c>
      <c r="G73" s="22" t="n">
        <f aca="false">COUNTIF(G49,"&gt;"&amp;G$45)</f>
        <v>0</v>
      </c>
      <c r="H73" s="217" t="n">
        <f aca="false">COUNTIF(H49,"&gt;"&amp;H$45)</f>
        <v>0</v>
      </c>
      <c r="I73" s="42" t="n">
        <f aca="false">COUNTIF(I49,"&gt;"&amp;I$45)</f>
        <v>0</v>
      </c>
      <c r="J73" s="22" t="n">
        <f aca="false">COUNTIF(J49,"&gt;"&amp;J$45)</f>
        <v>0</v>
      </c>
      <c r="K73" s="22" t="n">
        <f aca="false">COUNTIF(K49,"&gt;"&amp;K$45)</f>
        <v>0</v>
      </c>
      <c r="L73" s="22" t="n">
        <f aca="false">COUNTIF(L49,"&gt;"&amp;L$45)</f>
        <v>0</v>
      </c>
      <c r="M73" s="22" t="n">
        <f aca="false">COUNTIF(M49,"&gt;"&amp;M$45)</f>
        <v>0</v>
      </c>
      <c r="N73" s="22" t="n">
        <f aca="false">COUNTIF(N49,"&gt;"&amp;N$45)</f>
        <v>0</v>
      </c>
      <c r="O73" s="22" t="n">
        <f aca="false">COUNTIF(O49,"&gt;"&amp;O$45)</f>
        <v>1</v>
      </c>
      <c r="P73" s="22" t="n">
        <f aca="false">COUNTIF(P49,"&gt;"&amp;P$45)</f>
        <v>1</v>
      </c>
      <c r="Q73" s="21" t="n">
        <f aca="false">COUNTIF(Q49,"&gt;"&amp;Q$45)</f>
        <v>1</v>
      </c>
      <c r="R73" s="22" t="n">
        <f aca="false">COUNTIF(R49,"&gt;"&amp;R$45)</f>
        <v>0</v>
      </c>
      <c r="S73" s="22" t="n">
        <f aca="false">COUNTIF(S49,"&gt;"&amp;S$45)</f>
        <v>0</v>
      </c>
      <c r="T73" s="22" t="n">
        <f aca="false">COUNTIF(T49,"&gt;"&amp;T$45)</f>
        <v>1</v>
      </c>
      <c r="U73" s="22" t="n">
        <f aca="false">COUNTIF(U49,"&gt;"&amp;U$45)</f>
        <v>0</v>
      </c>
      <c r="V73" s="22" t="n">
        <f aca="false">COUNTIF(V49,"&gt;"&amp;V$45)</f>
        <v>0</v>
      </c>
      <c r="W73" s="22" t="n">
        <f aca="false">COUNTIF(W49,"&gt;"&amp;W$45)</f>
        <v>1</v>
      </c>
      <c r="X73" s="22" t="n">
        <f aca="false">COUNTIF(X49,"&gt;"&amp;X$45)</f>
        <v>1</v>
      </c>
      <c r="Y73" s="21" t="n">
        <f aca="false">COUNTIF(Y49,"&gt;"&amp;Y$45)</f>
        <v>0</v>
      </c>
      <c r="Z73" s="22" t="n">
        <f aca="false">COUNTIF(Z49,"&gt;"&amp;Z$45)</f>
        <v>0</v>
      </c>
      <c r="AA73" s="22" t="n">
        <f aca="false">COUNTIF(AA49,"&gt;"&amp;AA$45)</f>
        <v>0</v>
      </c>
      <c r="AB73" s="22" t="n">
        <f aca="false">COUNTIF(AB49,"&gt;"&amp;AB$45)</f>
        <v>0</v>
      </c>
      <c r="AC73" s="42" t="n">
        <f aca="false">COUNTIF(AC49,"&gt;"&amp;AC$45)</f>
        <v>1</v>
      </c>
      <c r="AD73" s="21" t="n">
        <f aca="false">COUNTIF(AD49,"&gt;"&amp;AD$45)</f>
        <v>0</v>
      </c>
      <c r="AE73" s="22" t="n">
        <f aca="false">COUNTIF(AE49,"&gt;"&amp;AE$45)</f>
        <v>0</v>
      </c>
      <c r="AF73" s="22" t="n">
        <f aca="false">COUNTIF(AF49,"&gt;"&amp;AF$45)</f>
        <v>0</v>
      </c>
      <c r="AG73" s="22" t="n">
        <f aca="false">COUNTIF(AG49,"&gt;"&amp;AG$45)</f>
        <v>1</v>
      </c>
      <c r="AH73" s="22" t="n">
        <f aca="false">COUNTIF(AH49,"&gt;"&amp;AH$45)</f>
        <v>1</v>
      </c>
      <c r="AI73" s="42" t="n">
        <f aca="false">COUNTIF(AI49,"&gt;"&amp;AI$45)</f>
        <v>0</v>
      </c>
      <c r="AJ73" s="21" t="n">
        <f aca="false">COUNTIF(AJ49,"&gt;"&amp;AJ$45)</f>
        <v>0</v>
      </c>
      <c r="AK73" s="22" t="n">
        <f aca="false">COUNTIF(AK49,"&gt;"&amp;AK$45)</f>
        <v>0</v>
      </c>
      <c r="AL73" s="22" t="n">
        <f aca="false">COUNTIF(AL49,"&gt;"&amp;AL$45)</f>
        <v>0</v>
      </c>
      <c r="AM73" s="22" t="n">
        <f aca="false">COUNTIF(AM49,"&gt;"&amp;AM$45)</f>
        <v>0</v>
      </c>
      <c r="AN73" s="42" t="n">
        <f aca="false">COUNTIF(AN49,"&gt;"&amp;AN$45)</f>
        <v>0</v>
      </c>
      <c r="AO73" s="22" t="n">
        <f aca="false">COUNTIF(AO49,"&gt;"&amp;AO$45)</f>
        <v>1</v>
      </c>
      <c r="AP73" s="22" t="n">
        <f aca="false">COUNTIF(AP49,"&gt;"&amp;AP$45)</f>
        <v>0</v>
      </c>
    </row>
    <row r="74" customFormat="false" ht="12.8" hidden="false" customHeight="false" outlineLevel="0" collapsed="false">
      <c r="A74" s="139" t="s">
        <v>181</v>
      </c>
      <c r="B74" s="22" t="n">
        <f aca="false">COUNTIF(B50,"&gt;"&amp;B$45)</f>
        <v>1</v>
      </c>
      <c r="C74" s="22" t="n">
        <f aca="false">COUNTIF(C50,"&gt;"&amp;C$45)</f>
        <v>0</v>
      </c>
      <c r="D74" s="22" t="n">
        <f aca="false">COUNTIF(D50,"&gt;"&amp;D$45)</f>
        <v>1</v>
      </c>
      <c r="E74" s="22" t="n">
        <f aca="false">COUNTIF(E50,"&gt;"&amp;E$45)</f>
        <v>0</v>
      </c>
      <c r="F74" s="22" t="n">
        <f aca="false">COUNTIF(F50,"&gt;"&amp;F$45)</f>
        <v>0</v>
      </c>
      <c r="G74" s="22" t="n">
        <f aca="false">COUNTIF(G50,"&gt;"&amp;G$45)</f>
        <v>0</v>
      </c>
      <c r="H74" s="217" t="n">
        <f aca="false">COUNTIF(H50,"&gt;"&amp;H$45)</f>
        <v>1</v>
      </c>
      <c r="I74" s="42" t="n">
        <f aca="false">COUNTIF(I50,"&gt;"&amp;I$45)</f>
        <v>1</v>
      </c>
      <c r="J74" s="22" t="n">
        <f aca="false">COUNTIF(J50,"&gt;"&amp;J$45)</f>
        <v>0</v>
      </c>
      <c r="K74" s="22" t="n">
        <f aca="false">COUNTIF(K50,"&gt;"&amp;K$45)</f>
        <v>0</v>
      </c>
      <c r="L74" s="22" t="n">
        <f aca="false">COUNTIF(L50,"&gt;"&amp;L$45)</f>
        <v>0</v>
      </c>
      <c r="M74" s="22" t="n">
        <f aca="false">COUNTIF(M50,"&gt;"&amp;M$45)</f>
        <v>1</v>
      </c>
      <c r="N74" s="22" t="n">
        <f aca="false">COUNTIF(N50,"&gt;"&amp;N$45)</f>
        <v>1</v>
      </c>
      <c r="O74" s="22" t="n">
        <f aca="false">COUNTIF(O50,"&gt;"&amp;O$45)</f>
        <v>1</v>
      </c>
      <c r="P74" s="22" t="n">
        <f aca="false">COUNTIF(P50,"&gt;"&amp;P$45)</f>
        <v>1</v>
      </c>
      <c r="Q74" s="21" t="n">
        <f aca="false">COUNTIF(Q50,"&gt;"&amp;Q$45)</f>
        <v>1</v>
      </c>
      <c r="R74" s="22" t="n">
        <f aca="false">COUNTIF(R50,"&gt;"&amp;R$45)</f>
        <v>0</v>
      </c>
      <c r="S74" s="22" t="n">
        <f aca="false">COUNTIF(S50,"&gt;"&amp;S$45)</f>
        <v>1</v>
      </c>
      <c r="T74" s="22" t="n">
        <f aca="false">COUNTIF(T50,"&gt;"&amp;T$45)</f>
        <v>0</v>
      </c>
      <c r="U74" s="22" t="n">
        <f aca="false">COUNTIF(U50,"&gt;"&amp;U$45)</f>
        <v>0</v>
      </c>
      <c r="V74" s="22" t="n">
        <f aca="false">COUNTIF(V50,"&gt;"&amp;V$45)</f>
        <v>1</v>
      </c>
      <c r="W74" s="22" t="n">
        <f aca="false">COUNTIF(W50,"&gt;"&amp;W$45)</f>
        <v>1</v>
      </c>
      <c r="X74" s="22" t="n">
        <f aca="false">COUNTIF(X50,"&gt;"&amp;X$45)</f>
        <v>0</v>
      </c>
      <c r="Y74" s="21" t="n">
        <f aca="false">COUNTIF(Y50,"&gt;"&amp;Y$45)</f>
        <v>1</v>
      </c>
      <c r="Z74" s="22" t="n">
        <f aca="false">COUNTIF(Z50,"&gt;"&amp;Z$45)</f>
        <v>0</v>
      </c>
      <c r="AA74" s="22" t="n">
        <f aca="false">COUNTIF(AA50,"&gt;"&amp;AA$45)</f>
        <v>1</v>
      </c>
      <c r="AB74" s="22" t="n">
        <f aca="false">COUNTIF(AB50,"&gt;"&amp;AB$45)</f>
        <v>1</v>
      </c>
      <c r="AC74" s="42" t="n">
        <f aca="false">COUNTIF(AC50,"&gt;"&amp;AC$45)</f>
        <v>0</v>
      </c>
      <c r="AD74" s="21" t="n">
        <f aca="false">COUNTIF(AD50,"&gt;"&amp;AD$45)</f>
        <v>0</v>
      </c>
      <c r="AE74" s="22" t="n">
        <f aca="false">COUNTIF(AE50,"&gt;"&amp;AE$45)</f>
        <v>1</v>
      </c>
      <c r="AF74" s="22" t="n">
        <f aca="false">COUNTIF(AF50,"&gt;"&amp;AF$45)</f>
        <v>0</v>
      </c>
      <c r="AG74" s="22" t="n">
        <f aca="false">COUNTIF(AG50,"&gt;"&amp;AG$45)</f>
        <v>1</v>
      </c>
      <c r="AH74" s="22" t="n">
        <f aca="false">COUNTIF(AH50,"&gt;"&amp;AH$45)</f>
        <v>1</v>
      </c>
      <c r="AI74" s="42" t="n">
        <f aca="false">COUNTIF(AI50,"&gt;"&amp;AI$45)</f>
        <v>1</v>
      </c>
      <c r="AJ74" s="21" t="n">
        <f aca="false">COUNTIF(AJ50,"&gt;"&amp;AJ$45)</f>
        <v>0</v>
      </c>
      <c r="AK74" s="22" t="n">
        <f aca="false">COUNTIF(AK50,"&gt;"&amp;AK$45)</f>
        <v>0</v>
      </c>
      <c r="AL74" s="22" t="n">
        <f aca="false">COUNTIF(AL50,"&gt;"&amp;AL$45)</f>
        <v>1</v>
      </c>
      <c r="AM74" s="22" t="n">
        <f aca="false">COUNTIF(AM50,"&gt;"&amp;AM$45)</f>
        <v>0</v>
      </c>
      <c r="AN74" s="42" t="n">
        <f aca="false">COUNTIF(AN50,"&gt;"&amp;AN$45)</f>
        <v>1</v>
      </c>
      <c r="AO74" s="22" t="n">
        <f aca="false">COUNTIF(AO50,"&gt;"&amp;AO$45)</f>
        <v>1</v>
      </c>
      <c r="AP74" s="22" t="n">
        <f aca="false">COUNTIF(AP50,"&gt;"&amp;AP$45)</f>
        <v>0</v>
      </c>
    </row>
    <row r="75" customFormat="false" ht="12.8" hidden="false" customHeight="false" outlineLevel="0" collapsed="false">
      <c r="A75" s="139" t="s">
        <v>30</v>
      </c>
      <c r="B75" s="22" t="n">
        <f aca="false">COUNTIF(B51,"&gt;"&amp;B$45)</f>
        <v>0</v>
      </c>
      <c r="C75" s="22" t="n">
        <f aca="false">COUNTIF(C51,"&gt;"&amp;C$45)</f>
        <v>1</v>
      </c>
      <c r="D75" s="22" t="n">
        <f aca="false">COUNTIF(D51,"&gt;"&amp;D$45)</f>
        <v>0</v>
      </c>
      <c r="E75" s="22" t="n">
        <f aca="false">COUNTIF(E51,"&gt;"&amp;E$45)</f>
        <v>1</v>
      </c>
      <c r="F75" s="22" t="n">
        <f aca="false">COUNTIF(F51,"&gt;"&amp;F$45)</f>
        <v>0</v>
      </c>
      <c r="G75" s="22" t="n">
        <f aca="false">COUNTIF(G51,"&gt;"&amp;G$45)</f>
        <v>0</v>
      </c>
      <c r="H75" s="217" t="n">
        <f aca="false">COUNTIF(H51,"&gt;"&amp;H$45)</f>
        <v>0</v>
      </c>
      <c r="I75" s="42" t="n">
        <f aca="false">COUNTIF(I51,"&gt;"&amp;I$45)</f>
        <v>1</v>
      </c>
      <c r="J75" s="22" t="n">
        <f aca="false">COUNTIF(J51,"&gt;"&amp;J$45)</f>
        <v>0</v>
      </c>
      <c r="K75" s="22" t="n">
        <f aca="false">COUNTIF(K51,"&gt;"&amp;K$45)</f>
        <v>0</v>
      </c>
      <c r="L75" s="22" t="n">
        <f aca="false">COUNTIF(L51,"&gt;"&amp;L$45)</f>
        <v>1</v>
      </c>
      <c r="M75" s="22" t="n">
        <f aca="false">COUNTIF(M51,"&gt;"&amp;M$45)</f>
        <v>0</v>
      </c>
      <c r="N75" s="22" t="n">
        <f aca="false">COUNTIF(N51,"&gt;"&amp;N$45)</f>
        <v>0</v>
      </c>
      <c r="O75" s="22" t="n">
        <f aca="false">COUNTIF(O51,"&gt;"&amp;O$45)</f>
        <v>1</v>
      </c>
      <c r="P75" s="22" t="n">
        <f aca="false">COUNTIF(P51,"&gt;"&amp;P$45)</f>
        <v>1</v>
      </c>
      <c r="Q75" s="21" t="n">
        <f aca="false">COUNTIF(Q51,"&gt;"&amp;Q$45)</f>
        <v>1</v>
      </c>
      <c r="R75" s="22" t="n">
        <f aca="false">COUNTIF(R51,"&gt;"&amp;R$45)</f>
        <v>0</v>
      </c>
      <c r="S75" s="22" t="n">
        <f aca="false">COUNTIF(S51,"&gt;"&amp;S$45)</f>
        <v>1</v>
      </c>
      <c r="T75" s="22" t="n">
        <f aca="false">COUNTIF(T51,"&gt;"&amp;T$45)</f>
        <v>0</v>
      </c>
      <c r="U75" s="22" t="n">
        <f aca="false">COUNTIF(U51,"&gt;"&amp;U$45)</f>
        <v>0</v>
      </c>
      <c r="V75" s="22" t="n">
        <f aca="false">COUNTIF(V51,"&gt;"&amp;V$45)</f>
        <v>1</v>
      </c>
      <c r="W75" s="22" t="n">
        <f aca="false">COUNTIF(W51,"&gt;"&amp;W$45)</f>
        <v>0</v>
      </c>
      <c r="X75" s="22" t="n">
        <f aca="false">COUNTIF(X51,"&gt;"&amp;X$45)</f>
        <v>0</v>
      </c>
      <c r="Y75" s="21" t="n">
        <f aca="false">COUNTIF(Y51,"&gt;"&amp;Y$45)</f>
        <v>0</v>
      </c>
      <c r="Z75" s="22" t="n">
        <f aca="false">COUNTIF(Z51,"&gt;"&amp;Z$45)</f>
        <v>0</v>
      </c>
      <c r="AA75" s="22" t="n">
        <f aca="false">COUNTIF(AA51,"&gt;"&amp;AA$45)</f>
        <v>1</v>
      </c>
      <c r="AB75" s="22" t="n">
        <f aca="false">COUNTIF(AB51,"&gt;"&amp;AB$45)</f>
        <v>0</v>
      </c>
      <c r="AC75" s="42" t="n">
        <f aca="false">COUNTIF(AC51,"&gt;"&amp;AC$45)</f>
        <v>1</v>
      </c>
      <c r="AD75" s="21" t="n">
        <f aca="false">COUNTIF(AD51,"&gt;"&amp;AD$45)</f>
        <v>1</v>
      </c>
      <c r="AE75" s="22" t="n">
        <f aca="false">COUNTIF(AE51,"&gt;"&amp;AE$45)</f>
        <v>0</v>
      </c>
      <c r="AF75" s="22" t="n">
        <f aca="false">COUNTIF(AF51,"&gt;"&amp;AF$45)</f>
        <v>0</v>
      </c>
      <c r="AG75" s="22" t="n">
        <f aca="false">COUNTIF(AG51,"&gt;"&amp;AG$45)</f>
        <v>1</v>
      </c>
      <c r="AH75" s="22" t="n">
        <f aca="false">COUNTIF(AH51,"&gt;"&amp;AH$45)</f>
        <v>1</v>
      </c>
      <c r="AI75" s="42" t="n">
        <f aca="false">COUNTIF(AI51,"&gt;"&amp;AI$45)</f>
        <v>1</v>
      </c>
      <c r="AJ75" s="21" t="n">
        <f aca="false">COUNTIF(AJ51,"&gt;"&amp;AJ$45)</f>
        <v>0</v>
      </c>
      <c r="AK75" s="22" t="n">
        <f aca="false">COUNTIF(AK51,"&gt;"&amp;AK$45)</f>
        <v>1</v>
      </c>
      <c r="AL75" s="22" t="n">
        <f aca="false">COUNTIF(AL51,"&gt;"&amp;AL$45)</f>
        <v>1</v>
      </c>
      <c r="AM75" s="22" t="n">
        <f aca="false">COUNTIF(AM51,"&gt;"&amp;AM$45)</f>
        <v>1</v>
      </c>
      <c r="AN75" s="42" t="n">
        <f aca="false">COUNTIF(AN51,"&gt;"&amp;AN$45)</f>
        <v>0</v>
      </c>
      <c r="AO75" s="22" t="n">
        <f aca="false">COUNTIF(AO51,"&gt;"&amp;AO$45)</f>
        <v>0</v>
      </c>
      <c r="AP75" s="22" t="n">
        <f aca="false">COUNTIF(AP51,"&gt;"&amp;AP$45)</f>
        <v>1</v>
      </c>
    </row>
    <row r="76" customFormat="false" ht="12.8" hidden="false" customHeight="false" outlineLevel="0" collapsed="false">
      <c r="A76" s="139" t="s">
        <v>182</v>
      </c>
      <c r="B76" s="22" t="n">
        <f aca="false">COUNTIF(B52,"&gt;"&amp;B$45)</f>
        <v>1</v>
      </c>
      <c r="C76" s="22" t="n">
        <f aca="false">COUNTIF(C52,"&gt;"&amp;C$45)</f>
        <v>1</v>
      </c>
      <c r="D76" s="22" t="n">
        <f aca="false">COUNTIF(D52,"&gt;"&amp;D$45)</f>
        <v>1</v>
      </c>
      <c r="E76" s="22" t="n">
        <f aca="false">COUNTIF(E52,"&gt;"&amp;E$45)</f>
        <v>0</v>
      </c>
      <c r="F76" s="22" t="n">
        <f aca="false">COUNTIF(F52,"&gt;"&amp;F$45)</f>
        <v>0</v>
      </c>
      <c r="G76" s="22" t="n">
        <f aca="false">COUNTIF(G52,"&gt;"&amp;G$45)</f>
        <v>1</v>
      </c>
      <c r="H76" s="217" t="n">
        <f aca="false">COUNTIF(H52,"&gt;"&amp;H$45)</f>
        <v>1</v>
      </c>
      <c r="I76" s="42" t="n">
        <f aca="false">COUNTIF(I52,"&gt;"&amp;I$45)</f>
        <v>0</v>
      </c>
      <c r="J76" s="22" t="n">
        <f aca="false">COUNTIF(J52,"&gt;"&amp;J$45)</f>
        <v>0</v>
      </c>
      <c r="K76" s="22" t="n">
        <f aca="false">COUNTIF(K52,"&gt;"&amp;K$45)</f>
        <v>1</v>
      </c>
      <c r="L76" s="22" t="n">
        <f aca="false">COUNTIF(L52,"&gt;"&amp;L$45)</f>
        <v>0</v>
      </c>
      <c r="M76" s="22" t="n">
        <f aca="false">COUNTIF(M52,"&gt;"&amp;M$45)</f>
        <v>1</v>
      </c>
      <c r="N76" s="22" t="n">
        <f aca="false">COUNTIF(N52,"&gt;"&amp;N$45)</f>
        <v>1</v>
      </c>
      <c r="O76" s="22" t="n">
        <f aca="false">COUNTIF(O52,"&gt;"&amp;O$45)</f>
        <v>0</v>
      </c>
      <c r="P76" s="22" t="n">
        <f aca="false">COUNTIF(P52,"&gt;"&amp;P$45)</f>
        <v>0</v>
      </c>
      <c r="Q76" s="21" t="n">
        <f aca="false">COUNTIF(Q52,"&gt;"&amp;Q$45)</f>
        <v>0</v>
      </c>
      <c r="R76" s="22" t="n">
        <f aca="false">COUNTIF(R52,"&gt;"&amp;R$45)</f>
        <v>0</v>
      </c>
      <c r="S76" s="22" t="n">
        <f aca="false">COUNTIF(S52,"&gt;"&amp;S$45)</f>
        <v>1</v>
      </c>
      <c r="T76" s="22" t="n">
        <f aca="false">COUNTIF(T52,"&gt;"&amp;T$45)</f>
        <v>0</v>
      </c>
      <c r="U76" s="22" t="n">
        <f aca="false">COUNTIF(U52,"&gt;"&amp;U$45)</f>
        <v>1</v>
      </c>
      <c r="V76" s="22" t="n">
        <f aca="false">COUNTIF(V52,"&gt;"&amp;V$45)</f>
        <v>0</v>
      </c>
      <c r="W76" s="22" t="n">
        <f aca="false">COUNTIF(W52,"&gt;"&amp;W$45)</f>
        <v>0</v>
      </c>
      <c r="X76" s="22" t="n">
        <f aca="false">COUNTIF(X52,"&gt;"&amp;X$45)</f>
        <v>1</v>
      </c>
      <c r="Y76" s="21" t="n">
        <f aca="false">COUNTIF(Y52,"&gt;"&amp;Y$45)</f>
        <v>0</v>
      </c>
      <c r="Z76" s="22" t="n">
        <f aca="false">COUNTIF(Z52,"&gt;"&amp;Z$45)</f>
        <v>1</v>
      </c>
      <c r="AA76" s="22" t="n">
        <f aca="false">COUNTIF(AA52,"&gt;"&amp;AA$45)</f>
        <v>1</v>
      </c>
      <c r="AB76" s="22" t="n">
        <f aca="false">COUNTIF(AB52,"&gt;"&amp;AB$45)</f>
        <v>0</v>
      </c>
      <c r="AC76" s="42" t="n">
        <f aca="false">COUNTIF(AC52,"&gt;"&amp;AC$45)</f>
        <v>1</v>
      </c>
      <c r="AD76" s="21" t="n">
        <f aca="false">COUNTIF(AD52,"&gt;"&amp;AD$45)</f>
        <v>0</v>
      </c>
      <c r="AE76" s="22" t="n">
        <f aca="false">COUNTIF(AE52,"&gt;"&amp;AE$45)</f>
        <v>0</v>
      </c>
      <c r="AF76" s="22" t="n">
        <f aca="false">COUNTIF(AF52,"&gt;"&amp;AF$45)</f>
        <v>1</v>
      </c>
      <c r="AG76" s="22" t="n">
        <f aca="false">COUNTIF(AG52,"&gt;"&amp;AG$45)</f>
        <v>1</v>
      </c>
      <c r="AH76" s="22" t="n">
        <f aca="false">COUNTIF(AH52,"&gt;"&amp;AH$45)</f>
        <v>0</v>
      </c>
      <c r="AI76" s="42" t="n">
        <f aca="false">COUNTIF(AI52,"&gt;"&amp;AI$45)</f>
        <v>0</v>
      </c>
      <c r="AJ76" s="21" t="n">
        <f aca="false">COUNTIF(AJ52,"&gt;"&amp;AJ$45)</f>
        <v>0</v>
      </c>
      <c r="AK76" s="22" t="n">
        <f aca="false">COUNTIF(AK52,"&gt;"&amp;AK$45)</f>
        <v>1</v>
      </c>
      <c r="AL76" s="22" t="n">
        <f aca="false">COUNTIF(AL52,"&gt;"&amp;AL$45)</f>
        <v>1</v>
      </c>
      <c r="AM76" s="22" t="n">
        <f aca="false">COUNTIF(AM52,"&gt;"&amp;AM$45)</f>
        <v>0</v>
      </c>
      <c r="AN76" s="42" t="n">
        <f aca="false">COUNTIF(AN52,"&gt;"&amp;AN$45)</f>
        <v>0</v>
      </c>
      <c r="AO76" s="22" t="n">
        <f aca="false">COUNTIF(AO52,"&gt;"&amp;AO$45)</f>
        <v>1</v>
      </c>
      <c r="AP76" s="22" t="n">
        <f aca="false">COUNTIF(AP52,"&gt;"&amp;AP$45)</f>
        <v>0</v>
      </c>
    </row>
    <row r="77" customFormat="false" ht="12.8" hidden="false" customHeight="false" outlineLevel="0" collapsed="false">
      <c r="A77" s="139" t="s">
        <v>27</v>
      </c>
      <c r="B77" s="22" t="n">
        <f aca="false">COUNTIF(B53,"&gt;"&amp;B$45)</f>
        <v>0</v>
      </c>
      <c r="C77" s="22" t="n">
        <f aca="false">COUNTIF(C53,"&gt;"&amp;C$45)</f>
        <v>1</v>
      </c>
      <c r="D77" s="22" t="n">
        <f aca="false">COUNTIF(D53,"&gt;"&amp;D$45)</f>
        <v>1</v>
      </c>
      <c r="E77" s="22" t="n">
        <f aca="false">COUNTIF(E53,"&gt;"&amp;E$45)</f>
        <v>0</v>
      </c>
      <c r="F77" s="22" t="n">
        <f aca="false">COUNTIF(F53,"&gt;"&amp;F$45)</f>
        <v>1</v>
      </c>
      <c r="G77" s="22" t="n">
        <f aca="false">COUNTIF(G53,"&gt;"&amp;G$45)</f>
        <v>1</v>
      </c>
      <c r="H77" s="217" t="n">
        <f aca="false">COUNTIF(H53,"&gt;"&amp;H$45)</f>
        <v>0</v>
      </c>
      <c r="I77" s="42" t="n">
        <f aca="false">COUNTIF(I53,"&gt;"&amp;I$45)</f>
        <v>0</v>
      </c>
      <c r="J77" s="22" t="n">
        <f aca="false">COUNTIF(J53,"&gt;"&amp;J$45)</f>
        <v>0</v>
      </c>
      <c r="K77" s="22" t="n">
        <f aca="false">COUNTIF(K53,"&gt;"&amp;K$45)</f>
        <v>1</v>
      </c>
      <c r="L77" s="22" t="n">
        <f aca="false">COUNTIF(L53,"&gt;"&amp;L$45)</f>
        <v>0</v>
      </c>
      <c r="M77" s="22" t="n">
        <f aca="false">COUNTIF(M53,"&gt;"&amp;M$45)</f>
        <v>0</v>
      </c>
      <c r="N77" s="22" t="n">
        <f aca="false">COUNTIF(N53,"&gt;"&amp;N$45)</f>
        <v>0</v>
      </c>
      <c r="O77" s="22" t="n">
        <f aca="false">COUNTIF(O53,"&gt;"&amp;O$45)</f>
        <v>1</v>
      </c>
      <c r="P77" s="22" t="n">
        <f aca="false">COUNTIF(P53,"&gt;"&amp;P$45)</f>
        <v>0</v>
      </c>
      <c r="Q77" s="21" t="n">
        <f aca="false">COUNTIF(Q53,"&gt;"&amp;Q$45)</f>
        <v>1</v>
      </c>
      <c r="R77" s="22" t="n">
        <f aca="false">COUNTIF(R53,"&gt;"&amp;R$45)</f>
        <v>0</v>
      </c>
      <c r="S77" s="22" t="n">
        <f aca="false">COUNTIF(S53,"&gt;"&amp;S$45)</f>
        <v>0</v>
      </c>
      <c r="T77" s="22" t="n">
        <f aca="false">COUNTIF(T53,"&gt;"&amp;T$45)</f>
        <v>1</v>
      </c>
      <c r="U77" s="22" t="n">
        <f aca="false">COUNTIF(U53,"&gt;"&amp;U$45)</f>
        <v>1</v>
      </c>
      <c r="V77" s="22" t="n">
        <f aca="false">COUNTIF(V53,"&gt;"&amp;V$45)</f>
        <v>0</v>
      </c>
      <c r="W77" s="22" t="n">
        <f aca="false">COUNTIF(W53,"&gt;"&amp;W$45)</f>
        <v>0</v>
      </c>
      <c r="X77" s="22" t="n">
        <f aca="false">COUNTIF(X53,"&gt;"&amp;X$45)</f>
        <v>0</v>
      </c>
      <c r="Y77" s="21" t="n">
        <f aca="false">COUNTIF(Y53,"&gt;"&amp;Y$45)</f>
        <v>0</v>
      </c>
      <c r="Z77" s="22" t="n">
        <f aca="false">COUNTIF(Z53,"&gt;"&amp;Z$45)</f>
        <v>1</v>
      </c>
      <c r="AA77" s="22" t="n">
        <f aca="false">COUNTIF(AA53,"&gt;"&amp;AA$45)</f>
        <v>0</v>
      </c>
      <c r="AB77" s="22" t="n">
        <f aca="false">COUNTIF(AB53,"&gt;"&amp;AB$45)</f>
        <v>0</v>
      </c>
      <c r="AC77" s="42" t="n">
        <f aca="false">COUNTIF(AC53,"&gt;"&amp;AC$45)</f>
        <v>0</v>
      </c>
      <c r="AD77" s="21" t="n">
        <f aca="false">COUNTIF(AD53,"&gt;"&amp;AD$45)</f>
        <v>1</v>
      </c>
      <c r="AE77" s="22" t="n">
        <f aca="false">COUNTIF(AE53,"&gt;"&amp;AE$45)</f>
        <v>1</v>
      </c>
      <c r="AF77" s="22" t="n">
        <f aca="false">COUNTIF(AF53,"&gt;"&amp;AF$45)</f>
        <v>0</v>
      </c>
      <c r="AG77" s="22" t="n">
        <f aca="false">COUNTIF(AG53,"&gt;"&amp;AG$45)</f>
        <v>1</v>
      </c>
      <c r="AH77" s="22" t="n">
        <f aca="false">COUNTIF(AH53,"&gt;"&amp;AH$45)</f>
        <v>0</v>
      </c>
      <c r="AI77" s="42" t="n">
        <f aca="false">COUNTIF(AI53,"&gt;"&amp;AI$45)</f>
        <v>0</v>
      </c>
      <c r="AJ77" s="21" t="n">
        <f aca="false">COUNTIF(AJ53,"&gt;"&amp;AJ$45)</f>
        <v>0</v>
      </c>
      <c r="AK77" s="22" t="n">
        <f aca="false">COUNTIF(AK53,"&gt;"&amp;AK$45)</f>
        <v>1</v>
      </c>
      <c r="AL77" s="22" t="n">
        <f aca="false">COUNTIF(AL53,"&gt;"&amp;AL$45)</f>
        <v>1</v>
      </c>
      <c r="AM77" s="22" t="n">
        <f aca="false">COUNTIF(AM53,"&gt;"&amp;AM$45)</f>
        <v>1</v>
      </c>
      <c r="AN77" s="42" t="n">
        <f aca="false">COUNTIF(AN53,"&gt;"&amp;AN$45)</f>
        <v>1</v>
      </c>
      <c r="AO77" s="22" t="n">
        <f aca="false">COUNTIF(AO53,"&gt;"&amp;AO$45)</f>
        <v>0</v>
      </c>
      <c r="AP77" s="22" t="n">
        <f aca="false">COUNTIF(AP53,"&gt;"&amp;AP$45)</f>
        <v>1</v>
      </c>
    </row>
    <row r="78" customFormat="false" ht="12.8" hidden="false" customHeight="false" outlineLevel="0" collapsed="false">
      <c r="A78" s="139" t="s">
        <v>184</v>
      </c>
      <c r="B78" s="22" t="n">
        <f aca="false">COUNTIF(B54,"&gt;"&amp;B$45)</f>
        <v>1</v>
      </c>
      <c r="C78" s="22" t="n">
        <f aca="false">COUNTIF(C54,"&gt;"&amp;C$45)</f>
        <v>1</v>
      </c>
      <c r="D78" s="22" t="n">
        <f aca="false">COUNTIF(D54,"&gt;"&amp;D$45)</f>
        <v>0</v>
      </c>
      <c r="E78" s="22" t="n">
        <f aca="false">COUNTIF(E54,"&gt;"&amp;E$45)</f>
        <v>1</v>
      </c>
      <c r="F78" s="22" t="n">
        <f aca="false">COUNTIF(F54,"&gt;"&amp;F$45)</f>
        <v>0</v>
      </c>
      <c r="G78" s="22" t="n">
        <f aca="false">COUNTIF(G54,"&gt;"&amp;G$45)</f>
        <v>1</v>
      </c>
      <c r="H78" s="217" t="n">
        <f aca="false">COUNTIF(H54,"&gt;"&amp;H$45)</f>
        <v>0</v>
      </c>
      <c r="I78" s="42" t="n">
        <f aca="false">COUNTIF(I54,"&gt;"&amp;I$45)</f>
        <v>0</v>
      </c>
      <c r="J78" s="22" t="n">
        <f aca="false">COUNTIF(J54,"&gt;"&amp;J$45)</f>
        <v>1</v>
      </c>
      <c r="K78" s="22" t="n">
        <f aca="false">COUNTIF(K54,"&gt;"&amp;K$45)</f>
        <v>0</v>
      </c>
      <c r="L78" s="22" t="n">
        <f aca="false">COUNTIF(L54,"&gt;"&amp;L$45)</f>
        <v>1</v>
      </c>
      <c r="M78" s="22" t="n">
        <f aca="false">COUNTIF(M54,"&gt;"&amp;M$45)</f>
        <v>0</v>
      </c>
      <c r="N78" s="22" t="n">
        <f aca="false">COUNTIF(N54,"&gt;"&amp;N$45)</f>
        <v>0</v>
      </c>
      <c r="O78" s="22" t="n">
        <f aca="false">COUNTIF(O54,"&gt;"&amp;O$45)</f>
        <v>0</v>
      </c>
      <c r="P78" s="22" t="n">
        <f aca="false">COUNTIF(P54,"&gt;"&amp;P$45)</f>
        <v>0</v>
      </c>
      <c r="Q78" s="21" t="n">
        <f aca="false">COUNTIF(Q54,"&gt;"&amp;Q$45)</f>
        <v>0</v>
      </c>
      <c r="R78" s="22" t="n">
        <f aca="false">COUNTIF(R54,"&gt;"&amp;R$45)</f>
        <v>1</v>
      </c>
      <c r="S78" s="22" t="n">
        <f aca="false">COUNTIF(S54,"&gt;"&amp;S$45)</f>
        <v>1</v>
      </c>
      <c r="T78" s="22" t="n">
        <f aca="false">COUNTIF(T54,"&gt;"&amp;T$45)</f>
        <v>1</v>
      </c>
      <c r="U78" s="22" t="n">
        <f aca="false">COUNTIF(U54,"&gt;"&amp;U$45)</f>
        <v>1</v>
      </c>
      <c r="V78" s="22" t="n">
        <f aca="false">COUNTIF(V54,"&gt;"&amp;V$45)</f>
        <v>0</v>
      </c>
      <c r="W78" s="22" t="n">
        <f aca="false">COUNTIF(W54,"&gt;"&amp;W$45)</f>
        <v>0</v>
      </c>
      <c r="X78" s="22" t="n">
        <f aca="false">COUNTIF(X54,"&gt;"&amp;X$45)</f>
        <v>0</v>
      </c>
      <c r="Y78" s="21" t="n">
        <f aca="false">COUNTIF(Y54,"&gt;"&amp;Y$45)</f>
        <v>0</v>
      </c>
      <c r="Z78" s="22" t="n">
        <f aca="false">COUNTIF(Z54,"&gt;"&amp;Z$45)</f>
        <v>1</v>
      </c>
      <c r="AA78" s="22" t="n">
        <f aca="false">COUNTIF(AA54,"&gt;"&amp;AA$45)</f>
        <v>0</v>
      </c>
      <c r="AB78" s="22" t="n">
        <f aca="false">COUNTIF(AB54,"&gt;"&amp;AB$45)</f>
        <v>1</v>
      </c>
      <c r="AC78" s="42" t="n">
        <f aca="false">COUNTIF(AC54,"&gt;"&amp;AC$45)</f>
        <v>0</v>
      </c>
      <c r="AD78" s="21" t="n">
        <f aca="false">COUNTIF(AD54,"&gt;"&amp;AD$45)</f>
        <v>1</v>
      </c>
      <c r="AE78" s="22" t="n">
        <f aca="false">COUNTIF(AE54,"&gt;"&amp;AE$45)</f>
        <v>1</v>
      </c>
      <c r="AF78" s="22" t="n">
        <f aca="false">COUNTIF(AF54,"&gt;"&amp;AF$45)</f>
        <v>1</v>
      </c>
      <c r="AG78" s="22" t="n">
        <f aca="false">COUNTIF(AG54,"&gt;"&amp;AG$45)</f>
        <v>1</v>
      </c>
      <c r="AH78" s="22" t="n">
        <f aca="false">COUNTIF(AH54,"&gt;"&amp;AH$45)</f>
        <v>0</v>
      </c>
      <c r="AI78" s="42" t="n">
        <f aca="false">COUNTIF(AI54,"&gt;"&amp;AI$45)</f>
        <v>0</v>
      </c>
      <c r="AJ78" s="21" t="n">
        <f aca="false">COUNTIF(AJ54,"&gt;"&amp;AJ$45)</f>
        <v>1</v>
      </c>
      <c r="AK78" s="22" t="n">
        <f aca="false">COUNTIF(AK54,"&gt;"&amp;AK$45)</f>
        <v>1</v>
      </c>
      <c r="AL78" s="22" t="n">
        <f aca="false">COUNTIF(AL54,"&gt;"&amp;AL$45)</f>
        <v>1</v>
      </c>
      <c r="AM78" s="22" t="n">
        <f aca="false">COUNTIF(AM54,"&gt;"&amp;AM$45)</f>
        <v>1</v>
      </c>
      <c r="AN78" s="42" t="n">
        <f aca="false">COUNTIF(AN54,"&gt;"&amp;AN$45)</f>
        <v>0</v>
      </c>
      <c r="AO78" s="22" t="n">
        <f aca="false">COUNTIF(AO54,"&gt;"&amp;AO$45)</f>
        <v>0</v>
      </c>
      <c r="AP78" s="22" t="n">
        <f aca="false">COUNTIF(AP54,"&gt;"&amp;AP$45)</f>
        <v>1</v>
      </c>
    </row>
    <row r="79" customFormat="false" ht="12.8" hidden="false" customHeight="false" outlineLevel="0" collapsed="false">
      <c r="A79" s="139" t="s">
        <v>233</v>
      </c>
      <c r="B79" s="22" t="n">
        <f aca="false">COUNTIF(B55,"&gt;"&amp;B$45)</f>
        <v>0</v>
      </c>
      <c r="C79" s="22" t="n">
        <f aca="false">COUNTIF(C55,"&gt;"&amp;C$45)</f>
        <v>0</v>
      </c>
      <c r="D79" s="22" t="n">
        <f aca="false">COUNTIF(D55,"&gt;"&amp;D$45)</f>
        <v>1</v>
      </c>
      <c r="E79" s="22" t="n">
        <f aca="false">COUNTIF(E55,"&gt;"&amp;E$45)</f>
        <v>0</v>
      </c>
      <c r="F79" s="22" t="n">
        <f aca="false">COUNTIF(F55,"&gt;"&amp;F$45)</f>
        <v>0</v>
      </c>
      <c r="G79" s="22" t="n">
        <f aca="false">COUNTIF(G55,"&gt;"&amp;G$45)</f>
        <v>1</v>
      </c>
      <c r="H79" s="217" t="n">
        <f aca="false">COUNTIF(H55,"&gt;"&amp;H$45)</f>
        <v>0</v>
      </c>
      <c r="I79" s="42" t="n">
        <f aca="false">COUNTIF(I55,"&gt;"&amp;I$45)</f>
        <v>1</v>
      </c>
      <c r="J79" s="22" t="n">
        <f aca="false">COUNTIF(J55,"&gt;"&amp;J$45)</f>
        <v>1</v>
      </c>
      <c r="K79" s="22" t="n">
        <f aca="false">COUNTIF(K55,"&gt;"&amp;K$45)</f>
        <v>0</v>
      </c>
      <c r="L79" s="22" t="n">
        <f aca="false">COUNTIF(L55,"&gt;"&amp;L$45)</f>
        <v>0</v>
      </c>
      <c r="M79" s="22" t="n">
        <f aca="false">COUNTIF(M55,"&gt;"&amp;M$45)</f>
        <v>0</v>
      </c>
      <c r="N79" s="22" t="n">
        <f aca="false">COUNTIF(N55,"&gt;"&amp;N$45)</f>
        <v>0</v>
      </c>
      <c r="O79" s="22" t="n">
        <f aca="false">COUNTIF(O55,"&gt;"&amp;O$45)</f>
        <v>1</v>
      </c>
      <c r="P79" s="22" t="n">
        <f aca="false">COUNTIF(P55,"&gt;"&amp;P$45)</f>
        <v>1</v>
      </c>
      <c r="Q79" s="21" t="n">
        <f aca="false">COUNTIF(Q55,"&gt;"&amp;Q$45)</f>
        <v>0</v>
      </c>
      <c r="R79" s="22" t="n">
        <f aca="false">COUNTIF(R55,"&gt;"&amp;R$45)</f>
        <v>1</v>
      </c>
      <c r="S79" s="22" t="n">
        <f aca="false">COUNTIF(S55,"&gt;"&amp;S$45)</f>
        <v>0</v>
      </c>
      <c r="T79" s="22" t="n">
        <f aca="false">COUNTIF(T55,"&gt;"&amp;T$45)</f>
        <v>1</v>
      </c>
      <c r="U79" s="22" t="n">
        <f aca="false">COUNTIF(U55,"&gt;"&amp;U$45)</f>
        <v>0</v>
      </c>
      <c r="V79" s="22" t="n">
        <f aca="false">COUNTIF(V55,"&gt;"&amp;V$45)</f>
        <v>0</v>
      </c>
      <c r="W79" s="22" t="n">
        <f aca="false">COUNTIF(W55,"&gt;"&amp;W$45)</f>
        <v>0</v>
      </c>
      <c r="X79" s="22" t="n">
        <f aca="false">COUNTIF(X55,"&gt;"&amp;X$45)</f>
        <v>1</v>
      </c>
      <c r="Y79" s="21" t="n">
        <f aca="false">COUNTIF(Y55,"&gt;"&amp;Y$45)</f>
        <v>0</v>
      </c>
      <c r="Z79" s="22" t="n">
        <f aca="false">COUNTIF(Z55,"&gt;"&amp;Z$45)</f>
        <v>1</v>
      </c>
      <c r="AA79" s="22" t="n">
        <f aca="false">COUNTIF(AA55,"&gt;"&amp;AA$45)</f>
        <v>0</v>
      </c>
      <c r="AB79" s="22" t="n">
        <f aca="false">COUNTIF(AB55,"&gt;"&amp;AB$45)</f>
        <v>0</v>
      </c>
      <c r="AC79" s="42" t="n">
        <f aca="false">COUNTIF(AC55,"&gt;"&amp;AC$45)</f>
        <v>1</v>
      </c>
      <c r="AD79" s="21" t="n">
        <f aca="false">COUNTIF(AD55,"&gt;"&amp;AD$45)</f>
        <v>0</v>
      </c>
      <c r="AE79" s="22" t="n">
        <f aca="false">COUNTIF(AE55,"&gt;"&amp;AE$45)</f>
        <v>1</v>
      </c>
      <c r="AF79" s="22" t="n">
        <f aca="false">COUNTIF(AF55,"&gt;"&amp;AF$45)</f>
        <v>0</v>
      </c>
      <c r="AG79" s="22" t="n">
        <f aca="false">COUNTIF(AG55,"&gt;"&amp;AG$45)</f>
        <v>0</v>
      </c>
      <c r="AH79" s="22" t="n">
        <f aca="false">COUNTIF(AH55,"&gt;"&amp;AH$45)</f>
        <v>0</v>
      </c>
      <c r="AI79" s="42" t="n">
        <f aca="false">COUNTIF(AI55,"&gt;"&amp;AI$45)</f>
        <v>0</v>
      </c>
      <c r="AJ79" s="21" t="n">
        <f aca="false">COUNTIF(AJ55,"&gt;"&amp;AJ$45)</f>
        <v>1</v>
      </c>
      <c r="AK79" s="22" t="n">
        <f aca="false">COUNTIF(AK55,"&gt;"&amp;AK$45)</f>
        <v>0</v>
      </c>
      <c r="AL79" s="22" t="n">
        <f aca="false">COUNTIF(AL55,"&gt;"&amp;AL$45)</f>
        <v>0</v>
      </c>
      <c r="AM79" s="22" t="n">
        <f aca="false">COUNTIF(AM55,"&gt;"&amp;AM$45)</f>
        <v>0</v>
      </c>
      <c r="AN79" s="42" t="n">
        <f aca="false">COUNTIF(AN55,"&gt;"&amp;AN$45)</f>
        <v>1</v>
      </c>
      <c r="AO79" s="22" t="n">
        <f aca="false">COUNTIF(AO55,"&gt;"&amp;AO$45)</f>
        <v>0</v>
      </c>
      <c r="AP79" s="22" t="n">
        <f aca="false">COUNTIF(AP55,"&gt;"&amp;AP$45)</f>
        <v>1</v>
      </c>
    </row>
    <row r="80" customFormat="false" ht="12.8" hidden="false" customHeight="false" outlineLevel="0" collapsed="false">
      <c r="A80" s="139" t="s">
        <v>186</v>
      </c>
      <c r="B80" s="22" t="n">
        <f aca="false">COUNTIF(B56,"&gt;"&amp;B$45)</f>
        <v>1</v>
      </c>
      <c r="C80" s="22" t="n">
        <f aca="false">COUNTIF(C56,"&gt;"&amp;C$45)</f>
        <v>1</v>
      </c>
      <c r="D80" s="22" t="n">
        <f aca="false">COUNTIF(D56,"&gt;"&amp;D$45)</f>
        <v>0</v>
      </c>
      <c r="E80" s="22" t="n">
        <f aca="false">COUNTIF(E56,"&gt;"&amp;E$45)</f>
        <v>1</v>
      </c>
      <c r="F80" s="22" t="n">
        <f aca="false">COUNTIF(F56,"&gt;"&amp;F$45)</f>
        <v>1</v>
      </c>
      <c r="G80" s="22" t="n">
        <f aca="false">COUNTIF(G56,"&gt;"&amp;G$45)</f>
        <v>1</v>
      </c>
      <c r="H80" s="217" t="n">
        <f aca="false">COUNTIF(H56,"&gt;"&amp;H$45)</f>
        <v>0</v>
      </c>
      <c r="I80" s="42" t="n">
        <f aca="false">COUNTIF(I56,"&gt;"&amp;I$45)</f>
        <v>0</v>
      </c>
      <c r="J80" s="22" t="n">
        <f aca="false">COUNTIF(J56,"&gt;"&amp;J$45)</f>
        <v>1</v>
      </c>
      <c r="K80" s="22" t="n">
        <f aca="false">COUNTIF(K56,"&gt;"&amp;K$45)</f>
        <v>0</v>
      </c>
      <c r="L80" s="22" t="n">
        <f aca="false">COUNTIF(L56,"&gt;"&amp;L$45)</f>
        <v>0</v>
      </c>
      <c r="M80" s="22" t="n">
        <f aca="false">COUNTIF(M56,"&gt;"&amp;M$45)</f>
        <v>1</v>
      </c>
      <c r="N80" s="22" t="n">
        <f aca="false">COUNTIF(N56,"&gt;"&amp;N$45)</f>
        <v>0</v>
      </c>
      <c r="O80" s="22" t="n">
        <f aca="false">COUNTIF(O56,"&gt;"&amp;O$45)</f>
        <v>0</v>
      </c>
      <c r="P80" s="22" t="n">
        <f aca="false">COUNTIF(P56,"&gt;"&amp;P$45)</f>
        <v>1</v>
      </c>
      <c r="Q80" s="21" t="n">
        <f aca="false">COUNTIF(Q56,"&gt;"&amp;Q$45)</f>
        <v>0</v>
      </c>
      <c r="R80" s="22" t="n">
        <f aca="false">COUNTIF(R56,"&gt;"&amp;R$45)</f>
        <v>1</v>
      </c>
      <c r="S80" s="22" t="n">
        <f aca="false">COUNTIF(S56,"&gt;"&amp;S$45)</f>
        <v>0</v>
      </c>
      <c r="T80" s="22" t="n">
        <f aca="false">COUNTIF(T56,"&gt;"&amp;T$45)</f>
        <v>1</v>
      </c>
      <c r="U80" s="22" t="n">
        <f aca="false">COUNTIF(U56,"&gt;"&amp;U$45)</f>
        <v>0</v>
      </c>
      <c r="V80" s="22" t="n">
        <f aca="false">COUNTIF(V56,"&gt;"&amp;V$45)</f>
        <v>0</v>
      </c>
      <c r="W80" s="22" t="n">
        <f aca="false">COUNTIF(W56,"&gt;"&amp;W$45)</f>
        <v>1</v>
      </c>
      <c r="X80" s="22" t="n">
        <f aca="false">COUNTIF(X56,"&gt;"&amp;X$45)</f>
        <v>0</v>
      </c>
      <c r="Y80" s="21" t="n">
        <f aca="false">COUNTIF(Y56,"&gt;"&amp;Y$45)</f>
        <v>0</v>
      </c>
      <c r="Z80" s="22" t="n">
        <f aca="false">COUNTIF(Z56,"&gt;"&amp;Z$45)</f>
        <v>0</v>
      </c>
      <c r="AA80" s="22" t="n">
        <f aca="false">COUNTIF(AA56,"&gt;"&amp;AA$45)</f>
        <v>0</v>
      </c>
      <c r="AB80" s="22" t="n">
        <f aca="false">COUNTIF(AB56,"&gt;"&amp;AB$45)</f>
        <v>0</v>
      </c>
      <c r="AC80" s="42" t="n">
        <f aca="false">COUNTIF(AC56,"&gt;"&amp;AC$45)</f>
        <v>0</v>
      </c>
      <c r="AD80" s="21" t="n">
        <f aca="false">COUNTIF(AD56,"&gt;"&amp;AD$45)</f>
        <v>0</v>
      </c>
      <c r="AE80" s="22" t="n">
        <f aca="false">COUNTIF(AE56,"&gt;"&amp;AE$45)</f>
        <v>1</v>
      </c>
      <c r="AF80" s="22" t="n">
        <f aca="false">COUNTIF(AF56,"&gt;"&amp;AF$45)</f>
        <v>0</v>
      </c>
      <c r="AG80" s="22" t="n">
        <f aca="false">COUNTIF(AG56,"&gt;"&amp;AG$45)</f>
        <v>0</v>
      </c>
      <c r="AH80" s="22" t="n">
        <f aca="false">COUNTIF(AH56,"&gt;"&amp;AH$45)</f>
        <v>1</v>
      </c>
      <c r="AI80" s="42" t="n">
        <f aca="false">COUNTIF(AI56,"&gt;"&amp;AI$45)</f>
        <v>0</v>
      </c>
      <c r="AJ80" s="21" t="n">
        <f aca="false">COUNTIF(AJ56,"&gt;"&amp;AJ$45)</f>
        <v>0</v>
      </c>
      <c r="AK80" s="22" t="n">
        <f aca="false">COUNTIF(AK56,"&gt;"&amp;AK$45)</f>
        <v>0</v>
      </c>
      <c r="AL80" s="22" t="n">
        <f aca="false">COUNTIF(AL56,"&gt;"&amp;AL$45)</f>
        <v>0</v>
      </c>
      <c r="AM80" s="22" t="n">
        <f aca="false">COUNTIF(AM56,"&gt;"&amp;AM$45)</f>
        <v>1</v>
      </c>
      <c r="AN80" s="42" t="n">
        <f aca="false">COUNTIF(AN56,"&gt;"&amp;AN$45)</f>
        <v>0</v>
      </c>
      <c r="AO80" s="22" t="n">
        <f aca="false">COUNTIF(AO56,"&gt;"&amp;AO$45)</f>
        <v>1</v>
      </c>
      <c r="AP80" s="22" t="n">
        <f aca="false">COUNTIF(AP56,"&gt;"&amp;AP$45)</f>
        <v>0</v>
      </c>
    </row>
    <row r="81" customFormat="false" ht="12.8" hidden="false" customHeight="false" outlineLevel="0" collapsed="false">
      <c r="A81" s="139" t="s">
        <v>189</v>
      </c>
      <c r="B81" s="22" t="n">
        <f aca="false">COUNTIF(B57,"&gt;"&amp;B$45)</f>
        <v>0</v>
      </c>
      <c r="C81" s="22" t="n">
        <f aca="false">COUNTIF(C57,"&gt;"&amp;C$45)</f>
        <v>0</v>
      </c>
      <c r="D81" s="22" t="n">
        <f aca="false">COUNTIF(D57,"&gt;"&amp;D$45)</f>
        <v>1</v>
      </c>
      <c r="E81" s="22" t="n">
        <f aca="false">COUNTIF(E57,"&gt;"&amp;E$45)</f>
        <v>0</v>
      </c>
      <c r="F81" s="22" t="n">
        <f aca="false">COUNTIF(F57,"&gt;"&amp;F$45)</f>
        <v>0</v>
      </c>
      <c r="G81" s="22" t="n">
        <f aca="false">COUNTIF(G57,"&gt;"&amp;G$45)</f>
        <v>0</v>
      </c>
      <c r="H81" s="217" t="n">
        <f aca="false">COUNTIF(H57,"&gt;"&amp;H$45)</f>
        <v>0</v>
      </c>
      <c r="I81" s="42" t="n">
        <f aca="false">COUNTIF(I57,"&gt;"&amp;I$45)</f>
        <v>0</v>
      </c>
      <c r="J81" s="22" t="n">
        <f aca="false">COUNTIF(J57,"&gt;"&amp;J$45)</f>
        <v>1</v>
      </c>
      <c r="K81" s="22" t="n">
        <f aca="false">COUNTIF(K57,"&gt;"&amp;K$45)</f>
        <v>0</v>
      </c>
      <c r="L81" s="22" t="n">
        <f aca="false">COUNTIF(L57,"&gt;"&amp;L$45)</f>
        <v>0</v>
      </c>
      <c r="M81" s="22" t="n">
        <f aca="false">COUNTIF(M57,"&gt;"&amp;M$45)</f>
        <v>0</v>
      </c>
      <c r="N81" s="22" t="n">
        <f aca="false">COUNTIF(N57,"&gt;"&amp;N$45)</f>
        <v>0</v>
      </c>
      <c r="O81" s="22" t="n">
        <f aca="false">COUNTIF(O57,"&gt;"&amp;O$45)</f>
        <v>0</v>
      </c>
      <c r="P81" s="22" t="n">
        <f aca="false">COUNTIF(P57,"&gt;"&amp;P$45)</f>
        <v>0</v>
      </c>
      <c r="Q81" s="21" t="n">
        <f aca="false">COUNTIF(Q57,"&gt;"&amp;Q$45)</f>
        <v>0</v>
      </c>
      <c r="R81" s="22" t="n">
        <f aca="false">COUNTIF(R57,"&gt;"&amp;R$45)</f>
        <v>1</v>
      </c>
      <c r="S81" s="22" t="n">
        <f aca="false">COUNTIF(S57,"&gt;"&amp;S$45)</f>
        <v>0</v>
      </c>
      <c r="T81" s="22" t="n">
        <f aca="false">COUNTIF(T57,"&gt;"&amp;T$45)</f>
        <v>1</v>
      </c>
      <c r="U81" s="22" t="n">
        <f aca="false">COUNTIF(U57,"&gt;"&amp;U$45)</f>
        <v>0</v>
      </c>
      <c r="V81" s="22" t="n">
        <f aca="false">COUNTIF(V57,"&gt;"&amp;V$45)</f>
        <v>1</v>
      </c>
      <c r="W81" s="22" t="n">
        <f aca="false">COUNTIF(W57,"&gt;"&amp;W$45)</f>
        <v>1</v>
      </c>
      <c r="X81" s="22" t="n">
        <f aca="false">COUNTIF(X57,"&gt;"&amp;X$45)</f>
        <v>0</v>
      </c>
      <c r="Y81" s="21" t="n">
        <f aca="false">COUNTIF(Y57,"&gt;"&amp;Y$45)</f>
        <v>0</v>
      </c>
      <c r="Z81" s="22" t="n">
        <f aca="false">COUNTIF(Z57,"&gt;"&amp;Z$45)</f>
        <v>1</v>
      </c>
      <c r="AA81" s="22" t="n">
        <f aca="false">COUNTIF(AA57,"&gt;"&amp;AA$45)</f>
        <v>0</v>
      </c>
      <c r="AB81" s="22" t="n">
        <f aca="false">COUNTIF(AB57,"&gt;"&amp;AB$45)</f>
        <v>0</v>
      </c>
      <c r="AC81" s="42" t="n">
        <f aca="false">COUNTIF(AC57,"&gt;"&amp;AC$45)</f>
        <v>1</v>
      </c>
      <c r="AD81" s="21" t="n">
        <f aca="false">COUNTIF(AD57,"&gt;"&amp;AD$45)</f>
        <v>0</v>
      </c>
      <c r="AE81" s="22" t="n">
        <f aca="false">COUNTIF(AE57,"&gt;"&amp;AE$45)</f>
        <v>0</v>
      </c>
      <c r="AF81" s="22" t="n">
        <f aca="false">COUNTIF(AF57,"&gt;"&amp;AF$45)</f>
        <v>1</v>
      </c>
      <c r="AG81" s="22" t="n">
        <f aca="false">COUNTIF(AG57,"&gt;"&amp;AG$45)</f>
        <v>0</v>
      </c>
      <c r="AH81" s="22" t="n">
        <f aca="false">COUNTIF(AH57,"&gt;"&amp;AH$45)</f>
        <v>0</v>
      </c>
      <c r="AI81" s="42" t="n">
        <f aca="false">COUNTIF(AI57,"&gt;"&amp;AI$45)</f>
        <v>0</v>
      </c>
      <c r="AJ81" s="21" t="n">
        <f aca="false">COUNTIF(AJ57,"&gt;"&amp;AJ$45)</f>
        <v>1</v>
      </c>
      <c r="AK81" s="22" t="n">
        <f aca="false">COUNTIF(AK57,"&gt;"&amp;AK$45)</f>
        <v>0</v>
      </c>
      <c r="AL81" s="22" t="n">
        <f aca="false">COUNTIF(AL57,"&gt;"&amp;AL$45)</f>
        <v>1</v>
      </c>
      <c r="AM81" s="22" t="n">
        <f aca="false">COUNTIF(AM57,"&gt;"&amp;AM$45)</f>
        <v>0</v>
      </c>
      <c r="AN81" s="42" t="n">
        <f aca="false">COUNTIF(AN57,"&gt;"&amp;AN$45)</f>
        <v>1</v>
      </c>
      <c r="AO81" s="22" t="n">
        <f aca="false">COUNTIF(AO57,"&gt;"&amp;AO$45)</f>
        <v>1</v>
      </c>
      <c r="AP81" s="22" t="n">
        <f aca="false">COUNTIF(AP57,"&gt;"&amp;AP$45)</f>
        <v>1</v>
      </c>
    </row>
    <row r="82" customFormat="false" ht="23.05" hidden="false" customHeight="false" outlineLevel="0" collapsed="false">
      <c r="B82" s="218" t="s">
        <v>236</v>
      </c>
      <c r="C82" s="23" t="s">
        <v>237</v>
      </c>
      <c r="D82" s="219" t="s">
        <v>238</v>
      </c>
      <c r="E82" s="78" t="s">
        <v>239</v>
      </c>
      <c r="F82" s="219" t="s">
        <v>240</v>
      </c>
      <c r="G82" s="78" t="s">
        <v>241</v>
      </c>
      <c r="H82" s="219" t="s">
        <v>242</v>
      </c>
      <c r="I82" s="78" t="s">
        <v>243</v>
      </c>
      <c r="J82" s="209" t="s">
        <v>244</v>
      </c>
      <c r="K82" s="146" t="s">
        <v>245</v>
      </c>
      <c r="L82" s="136" t="s">
        <v>239</v>
      </c>
      <c r="M82" s="136" t="s">
        <v>241</v>
      </c>
      <c r="N82" s="136" t="s">
        <v>243</v>
      </c>
      <c r="O82" s="145" t="s">
        <v>246</v>
      </c>
    </row>
    <row r="83" customFormat="false" ht="24.55" hidden="false" customHeight="true" outlineLevel="0" collapsed="false">
      <c r="A83" s="139" t="s">
        <v>24</v>
      </c>
      <c r="B83" s="22" t="n">
        <f aca="false">COUNTIF(B72:AP72,1)</f>
        <v>25</v>
      </c>
      <c r="C83" s="117" t="n">
        <f aca="false">B83/COUNT(B72:AP72)</f>
        <v>0.609756097560976</v>
      </c>
      <c r="D83" s="21" t="n">
        <f aca="false">COUNTIF(B72:AI72,1)</f>
        <v>23</v>
      </c>
      <c r="E83" s="117" t="n">
        <f aca="false">B83/COUNT(B72:AI72)</f>
        <v>0.735294117647059</v>
      </c>
      <c r="F83" s="21" t="n">
        <f aca="false">COUNTIF(B72:X72,1)</f>
        <v>15</v>
      </c>
      <c r="G83" s="117" t="n">
        <f aca="false">F83/COUNT(B72:X72)</f>
        <v>0.652173913043478</v>
      </c>
      <c r="H83" s="21" t="n">
        <f aca="false">COUNTIF(B72:K72,1)</f>
        <v>7</v>
      </c>
      <c r="I83" s="117" t="n">
        <f aca="false">H83/COUNT(B72:K72)</f>
        <v>0.7</v>
      </c>
      <c r="J83" s="139" t="s">
        <v>24</v>
      </c>
      <c r="K83" s="117" t="n">
        <f aca="false">C83</f>
        <v>0.609756097560976</v>
      </c>
      <c r="L83" s="117" t="n">
        <f aca="false">E83</f>
        <v>0.735294117647059</v>
      </c>
      <c r="M83" s="117" t="n">
        <f aca="false">G83</f>
        <v>0.652173913043478</v>
      </c>
      <c r="N83" s="117" t="n">
        <f aca="false">I83</f>
        <v>0.7</v>
      </c>
      <c r="O83" s="220" t="n">
        <f aca="false">AVERAGE(K83/2,L83:M83,N83/2)</f>
        <v>0.510586519867756</v>
      </c>
    </row>
    <row r="84" customFormat="false" ht="12.8" hidden="false" customHeight="false" outlineLevel="0" collapsed="false">
      <c r="A84" s="139" t="s">
        <v>180</v>
      </c>
      <c r="B84" s="22" t="n">
        <f aca="false">COUNTIF(B73:AP73,1)</f>
        <v>11</v>
      </c>
      <c r="C84" s="117" t="n">
        <f aca="false">B84/COUNT(B73:AP73)</f>
        <v>0.268292682926829</v>
      </c>
      <c r="D84" s="21" t="n">
        <f aca="false">COUNTIF(B73:AI73,1)</f>
        <v>10</v>
      </c>
      <c r="E84" s="117" t="n">
        <f aca="false">B84/COUNT(B73:AI73)</f>
        <v>0.323529411764706</v>
      </c>
      <c r="F84" s="21" t="n">
        <f aca="false">COUNTIF(B73:X73,1)</f>
        <v>7</v>
      </c>
      <c r="G84" s="117" t="n">
        <f aca="false">F84/COUNT(B73:X73)</f>
        <v>0.304347826086957</v>
      </c>
      <c r="H84" s="21" t="n">
        <f aca="false">COUNTIF(B73:K73,1)</f>
        <v>1</v>
      </c>
      <c r="I84" s="117" t="n">
        <f aca="false">H84/COUNT(B73:K73)</f>
        <v>0.1</v>
      </c>
      <c r="J84" s="139" t="s">
        <v>180</v>
      </c>
      <c r="K84" s="117" t="n">
        <f aca="false">C84</f>
        <v>0.268292682926829</v>
      </c>
      <c r="L84" s="117" t="n">
        <f aca="false">E84</f>
        <v>0.323529411764706</v>
      </c>
      <c r="M84" s="117" t="n">
        <f aca="false">G84</f>
        <v>0.304347826086957</v>
      </c>
      <c r="N84" s="117" t="n">
        <f aca="false">I84</f>
        <v>0.1</v>
      </c>
      <c r="O84" s="220" t="n">
        <f aca="false">AVERAGE(K84/2,L84:M84,N84/2)</f>
        <v>0.203005894828769</v>
      </c>
    </row>
    <row r="85" customFormat="false" ht="12.8" hidden="false" customHeight="false" outlineLevel="0" collapsed="false">
      <c r="A85" s="139" t="s">
        <v>181</v>
      </c>
      <c r="B85" s="22" t="n">
        <f aca="false">COUNTIF(B74:AP74,1)</f>
        <v>22</v>
      </c>
      <c r="C85" s="117" t="n">
        <f aca="false">B85/COUNT(B74:AP74)</f>
        <v>0.536585365853659</v>
      </c>
      <c r="D85" s="21" t="n">
        <f aca="false">COUNTIF(B74:AI74,1)</f>
        <v>19</v>
      </c>
      <c r="E85" s="117" t="n">
        <f aca="false">B85/COUNT(B74:AI74)</f>
        <v>0.647058823529412</v>
      </c>
      <c r="F85" s="21" t="n">
        <f aca="false">COUNTIF(B74:X74,1)</f>
        <v>12</v>
      </c>
      <c r="G85" s="117" t="n">
        <f aca="false">F85/COUNT(B74:X74)</f>
        <v>0.521739130434783</v>
      </c>
      <c r="H85" s="21" t="n">
        <f aca="false">COUNTIF(B74:K74,1)</f>
        <v>4</v>
      </c>
      <c r="I85" s="117" t="n">
        <f aca="false">H85/COUNT(B74:K74)</f>
        <v>0.4</v>
      </c>
      <c r="J85" s="139" t="s">
        <v>181</v>
      </c>
      <c r="K85" s="117" t="n">
        <f aca="false">C85</f>
        <v>0.536585365853659</v>
      </c>
      <c r="L85" s="117" t="n">
        <f aca="false">E85</f>
        <v>0.647058823529412</v>
      </c>
      <c r="M85" s="117" t="n">
        <f aca="false">G85</f>
        <v>0.521739130434783</v>
      </c>
      <c r="N85" s="117" t="n">
        <f aca="false">I85</f>
        <v>0.4</v>
      </c>
      <c r="O85" s="220" t="n">
        <f aca="false">AVERAGE(K85/2,L85:M85,N85/2)</f>
        <v>0.409272659222756</v>
      </c>
    </row>
    <row r="86" customFormat="false" ht="12.8" hidden="false" customHeight="false" outlineLevel="0" collapsed="false">
      <c r="A86" s="139" t="s">
        <v>30</v>
      </c>
      <c r="B86" s="22" t="n">
        <f aca="false">COUNTIF(B75:AP75,1)</f>
        <v>19</v>
      </c>
      <c r="C86" s="117" t="n">
        <f aca="false">B86/COUNT(B75:AP75)</f>
        <v>0.463414634146342</v>
      </c>
      <c r="D86" s="21" t="n">
        <f aca="false">COUNTIF(B75:AI75,1)</f>
        <v>15</v>
      </c>
      <c r="E86" s="117" t="n">
        <f aca="false">B86/COUNT(B75:AI75)</f>
        <v>0.558823529411765</v>
      </c>
      <c r="F86" s="21" t="n">
        <f aca="false">COUNTIF(B75:X75,1)</f>
        <v>9</v>
      </c>
      <c r="G86" s="117" t="n">
        <f aca="false">F86/COUNT(B75:X75)</f>
        <v>0.391304347826087</v>
      </c>
      <c r="H86" s="21" t="n">
        <f aca="false">COUNTIF(B75:K75,1)</f>
        <v>3</v>
      </c>
      <c r="I86" s="117" t="n">
        <f aca="false">H86/COUNT(B75:K75)</f>
        <v>0.3</v>
      </c>
      <c r="J86" s="139" t="s">
        <v>30</v>
      </c>
      <c r="K86" s="117" t="n">
        <f aca="false">C86</f>
        <v>0.463414634146342</v>
      </c>
      <c r="L86" s="117" t="n">
        <f aca="false">E86</f>
        <v>0.558823529411765</v>
      </c>
      <c r="M86" s="117" t="n">
        <f aca="false">G86</f>
        <v>0.391304347826087</v>
      </c>
      <c r="N86" s="117" t="n">
        <f aca="false">I86</f>
        <v>0.3</v>
      </c>
      <c r="O86" s="220" t="n">
        <f aca="false">AVERAGE(K86/2,L86:M86,N86/2)</f>
        <v>0.332958798577756</v>
      </c>
    </row>
    <row r="87" customFormat="false" ht="12.8" hidden="false" customHeight="false" outlineLevel="0" collapsed="false">
      <c r="A87" s="139" t="s">
        <v>182</v>
      </c>
      <c r="B87" s="22" t="n">
        <f aca="false">COUNTIF(B76:AP76,1)</f>
        <v>19</v>
      </c>
      <c r="C87" s="117" t="n">
        <f aca="false">B87/COUNT(B76:AP76)</f>
        <v>0.463414634146342</v>
      </c>
      <c r="D87" s="21" t="n">
        <f aca="false">COUNTIF(B76:AI76,1)</f>
        <v>16</v>
      </c>
      <c r="E87" s="117" t="n">
        <f aca="false">B87/COUNT(B76:AI76)</f>
        <v>0.558823529411765</v>
      </c>
      <c r="F87" s="21" t="n">
        <f aca="false">COUNTIF(B76:X76,1)</f>
        <v>11</v>
      </c>
      <c r="G87" s="117" t="n">
        <f aca="false">F87/COUNT(B76:X76)</f>
        <v>0.478260869565217</v>
      </c>
      <c r="H87" s="21" t="n">
        <f aca="false">COUNTIF(B76:K76,1)</f>
        <v>6</v>
      </c>
      <c r="I87" s="117" t="n">
        <f aca="false">H87/COUNT(B76:K76)</f>
        <v>0.6</v>
      </c>
      <c r="J87" s="139" t="s">
        <v>182</v>
      </c>
      <c r="K87" s="117" t="n">
        <f aca="false">C87</f>
        <v>0.463414634146342</v>
      </c>
      <c r="L87" s="117" t="n">
        <f aca="false">E87</f>
        <v>0.558823529411765</v>
      </c>
      <c r="M87" s="117" t="n">
        <f aca="false">G87</f>
        <v>0.478260869565217</v>
      </c>
      <c r="N87" s="117" t="n">
        <f aca="false">I87</f>
        <v>0.6</v>
      </c>
      <c r="O87" s="220" t="n">
        <f aca="false">AVERAGE(K87/2,L87:M87,N87/2)</f>
        <v>0.392197929012538</v>
      </c>
    </row>
    <row r="88" customFormat="false" ht="12.8" hidden="false" customHeight="false" outlineLevel="0" collapsed="false">
      <c r="A88" s="139" t="s">
        <v>27</v>
      </c>
      <c r="B88" s="22" t="n">
        <f aca="false">COUNTIF(B77:AP77,1)</f>
        <v>18</v>
      </c>
      <c r="C88" s="117" t="n">
        <f aca="false">B88/COUNT(B77:AP77)</f>
        <v>0.439024390243902</v>
      </c>
      <c r="D88" s="21" t="n">
        <f aca="false">COUNTIF(B77:AI77,1)</f>
        <v>13</v>
      </c>
      <c r="E88" s="117" t="n">
        <f aca="false">B88/COUNT(B77:AI77)</f>
        <v>0.529411764705882</v>
      </c>
      <c r="F88" s="21" t="n">
        <f aca="false">COUNTIF(B77:X77,1)</f>
        <v>9</v>
      </c>
      <c r="G88" s="117" t="n">
        <f aca="false">F88/COUNT(B77:X77)</f>
        <v>0.391304347826087</v>
      </c>
      <c r="H88" s="21" t="n">
        <f aca="false">COUNTIF(B77:K77,1)</f>
        <v>5</v>
      </c>
      <c r="I88" s="117" t="n">
        <f aca="false">H88/COUNT(B77:K77)</f>
        <v>0.5</v>
      </c>
      <c r="J88" s="139" t="s">
        <v>27</v>
      </c>
      <c r="K88" s="117" t="n">
        <f aca="false">C88</f>
        <v>0.439024390243902</v>
      </c>
      <c r="L88" s="117" t="n">
        <f aca="false">E88</f>
        <v>0.529411764705882</v>
      </c>
      <c r="M88" s="117" t="n">
        <f aca="false">G88</f>
        <v>0.391304347826087</v>
      </c>
      <c r="N88" s="117" t="n">
        <f aca="false">I88</f>
        <v>0.5</v>
      </c>
      <c r="O88" s="220" t="n">
        <f aca="false">AVERAGE(K88/2,L88:M88,N88/2)</f>
        <v>0.34755707691348</v>
      </c>
    </row>
    <row r="89" customFormat="false" ht="12.8" hidden="false" customHeight="false" outlineLevel="0" collapsed="false">
      <c r="A89" s="139" t="s">
        <v>184</v>
      </c>
      <c r="B89" s="22" t="n">
        <f aca="false">COUNTIF(B78:AP78,1)</f>
        <v>21</v>
      </c>
      <c r="C89" s="117" t="n">
        <f aca="false">B89/COUNT(B78:AP78)</f>
        <v>0.51219512195122</v>
      </c>
      <c r="D89" s="21" t="n">
        <f aca="false">COUNTIF(B78:AI78,1)</f>
        <v>16</v>
      </c>
      <c r="E89" s="117" t="n">
        <f aca="false">B89/COUNT(B78:AI78)</f>
        <v>0.617647058823529</v>
      </c>
      <c r="F89" s="21" t="n">
        <f aca="false">COUNTIF(B78:X78,1)</f>
        <v>10</v>
      </c>
      <c r="G89" s="117" t="n">
        <f aca="false">F89/COUNT(B78:X78)</f>
        <v>0.434782608695652</v>
      </c>
      <c r="H89" s="21" t="n">
        <f aca="false">COUNTIF(B78:K78,1)</f>
        <v>5</v>
      </c>
      <c r="I89" s="117" t="n">
        <f aca="false">H89/COUNT(B78:K78)</f>
        <v>0.5</v>
      </c>
      <c r="J89" s="139" t="s">
        <v>184</v>
      </c>
      <c r="K89" s="117" t="n">
        <f aca="false">C89</f>
        <v>0.51219512195122</v>
      </c>
      <c r="L89" s="117" t="n">
        <f aca="false">E89</f>
        <v>0.617647058823529</v>
      </c>
      <c r="M89" s="117" t="n">
        <f aca="false">G89</f>
        <v>0.434782608695652</v>
      </c>
      <c r="N89" s="117" t="n">
        <f aca="false">I89</f>
        <v>0.5</v>
      </c>
      <c r="O89" s="220" t="n">
        <f aca="false">AVERAGE(K89/2,L89:M89,N89/2)</f>
        <v>0.389631807123698</v>
      </c>
    </row>
    <row r="90" customFormat="false" ht="12.8" hidden="false" customHeight="false" outlineLevel="0" collapsed="false">
      <c r="A90" s="139" t="s">
        <v>233</v>
      </c>
      <c r="B90" s="22" t="n">
        <f aca="false">COUNTIF(B79:AP79,1)</f>
        <v>15</v>
      </c>
      <c r="C90" s="117" t="n">
        <f aca="false">B90/COUNT(B79:AP79)</f>
        <v>0.365853658536585</v>
      </c>
      <c r="D90" s="21" t="n">
        <f aca="false">COUNTIF(B79:AI79,1)</f>
        <v>12</v>
      </c>
      <c r="E90" s="117" t="n">
        <f aca="false">B90/COUNT(B79:AI79)</f>
        <v>0.441176470588235</v>
      </c>
      <c r="F90" s="21" t="n">
        <f aca="false">COUNTIF(B79:X79,1)</f>
        <v>9</v>
      </c>
      <c r="G90" s="117" t="n">
        <f aca="false">F90/COUNT(B79:X79)</f>
        <v>0.391304347826087</v>
      </c>
      <c r="H90" s="21" t="n">
        <f aca="false">COUNTIF(B79:K79,1)</f>
        <v>4</v>
      </c>
      <c r="I90" s="117" t="n">
        <f aca="false">H90/COUNT(B79:K79)</f>
        <v>0.4</v>
      </c>
      <c r="J90" s="139" t="s">
        <v>233</v>
      </c>
      <c r="K90" s="117" t="n">
        <f aca="false">C90</f>
        <v>0.365853658536585</v>
      </c>
      <c r="L90" s="117" t="n">
        <f aca="false">E90</f>
        <v>0.441176470588235</v>
      </c>
      <c r="M90" s="117" t="n">
        <f aca="false">G90</f>
        <v>0.391304347826087</v>
      </c>
      <c r="N90" s="117" t="n">
        <f aca="false">I90</f>
        <v>0.4</v>
      </c>
      <c r="O90" s="220" t="n">
        <f aca="false">AVERAGE(K90/2,L90:M90,N90/2)</f>
        <v>0.303851911920654</v>
      </c>
    </row>
    <row r="91" customFormat="false" ht="12.8" hidden="false" customHeight="false" outlineLevel="0" collapsed="false">
      <c r="A91" s="139" t="s">
        <v>186</v>
      </c>
      <c r="B91" s="22" t="n">
        <f aca="false">COUNTIF(B80:AP80,1)</f>
        <v>15</v>
      </c>
      <c r="C91" s="117" t="n">
        <f aca="false">B91/COUNT(B80:AP80)</f>
        <v>0.365853658536585</v>
      </c>
      <c r="D91" s="21" t="n">
        <f aca="false">COUNTIF(B80:AI80,1)</f>
        <v>13</v>
      </c>
      <c r="E91" s="117" t="n">
        <f aca="false">B91/COUNT(B80:AI80)</f>
        <v>0.441176470588235</v>
      </c>
      <c r="F91" s="21" t="n">
        <f aca="false">COUNTIF(B80:X80,1)</f>
        <v>11</v>
      </c>
      <c r="G91" s="117" t="n">
        <f aca="false">F91/COUNT(B80:X80)</f>
        <v>0.478260869565217</v>
      </c>
      <c r="H91" s="21" t="n">
        <f aca="false">COUNTIF(B80:K80,1)</f>
        <v>6</v>
      </c>
      <c r="I91" s="117" t="n">
        <f aca="false">H91/COUNT(B80:K80)</f>
        <v>0.6</v>
      </c>
      <c r="J91" s="139" t="s">
        <v>186</v>
      </c>
      <c r="K91" s="117" t="n">
        <f aca="false">C91</f>
        <v>0.365853658536585</v>
      </c>
      <c r="L91" s="117" t="n">
        <f aca="false">E91</f>
        <v>0.441176470588235</v>
      </c>
      <c r="M91" s="117" t="n">
        <f aca="false">G91</f>
        <v>0.478260869565217</v>
      </c>
      <c r="N91" s="117" t="n">
        <f aca="false">I91</f>
        <v>0.6</v>
      </c>
      <c r="O91" s="220" t="n">
        <f aca="false">AVERAGE(K91/2,L91:M91,N91/2)</f>
        <v>0.350591042355436</v>
      </c>
    </row>
    <row r="92" customFormat="false" ht="12.8" hidden="false" customHeight="false" outlineLevel="0" collapsed="false">
      <c r="A92" s="139" t="s">
        <v>189</v>
      </c>
      <c r="B92" s="22" t="n">
        <f aca="false">COUNTIF(B81:AP81,1)</f>
        <v>14</v>
      </c>
      <c r="C92" s="117" t="n">
        <f aca="false">B92/COUNT(B81:AP81)</f>
        <v>0.341463414634146</v>
      </c>
      <c r="D92" s="21" t="n">
        <f aca="false">COUNTIF(B81:AI81,1)</f>
        <v>9</v>
      </c>
      <c r="E92" s="117" t="n">
        <f aca="false">B92/COUNT(B81:AI81)</f>
        <v>0.411764705882353</v>
      </c>
      <c r="F92" s="21" t="n">
        <f aca="false">COUNTIF(B81:X81,1)</f>
        <v>6</v>
      </c>
      <c r="G92" s="117" t="n">
        <f aca="false">F92/COUNT(B81:X81)</f>
        <v>0.260869565217391</v>
      </c>
      <c r="H92" s="21" t="n">
        <f aca="false">COUNTIF(B81:K81,1)</f>
        <v>2</v>
      </c>
      <c r="I92" s="117" t="n">
        <f aca="false">H92/COUNT(B81:K81)</f>
        <v>0.2</v>
      </c>
      <c r="J92" s="139" t="s">
        <v>189</v>
      </c>
      <c r="K92" s="117" t="n">
        <f aca="false">C92</f>
        <v>0.341463414634146</v>
      </c>
      <c r="L92" s="117" t="n">
        <f aca="false">E92</f>
        <v>0.411764705882353</v>
      </c>
      <c r="M92" s="117" t="n">
        <f aca="false">G92</f>
        <v>0.260869565217391</v>
      </c>
      <c r="N92" s="117" t="n">
        <f aca="false">I92</f>
        <v>0.2</v>
      </c>
      <c r="O92" s="220" t="n">
        <f aca="false">AVERAGE(K92/2,L92:M92,N92/2)</f>
        <v>0.235841494604204</v>
      </c>
    </row>
    <row r="94" customFormat="false" ht="12.8" hidden="false" customHeight="false" outlineLevel="0" collapsed="false">
      <c r="E94" s="23"/>
      <c r="F94" s="23"/>
      <c r="G94" s="23"/>
      <c r="H94" s="23"/>
      <c r="J94" s="1"/>
      <c r="K94" s="1"/>
    </row>
    <row r="95" customFormat="false" ht="12.8" hidden="false" customHeight="false" outlineLevel="0" collapsed="false">
      <c r="B95" s="23" t="s">
        <v>247</v>
      </c>
      <c r="C95" s="23" t="s">
        <v>248</v>
      </c>
      <c r="D95" s="221" t="s">
        <v>249</v>
      </c>
      <c r="E95" s="221" t="s">
        <v>250</v>
      </c>
      <c r="F95" s="221" t="s">
        <v>251</v>
      </c>
      <c r="G95" s="221" t="s">
        <v>252</v>
      </c>
      <c r="H95" s="221"/>
      <c r="J95" s="1"/>
      <c r="K95" s="1"/>
      <c r="Q95" s="1"/>
    </row>
    <row r="96" customFormat="false" ht="12.8" hidden="false" customHeight="false" outlineLevel="0" collapsed="false">
      <c r="A96" s="1" t="s">
        <v>228</v>
      </c>
      <c r="B96" s="221" t="n">
        <f aca="false">B46</f>
        <v>0.41617303469621</v>
      </c>
      <c r="C96" s="221" t="n">
        <f aca="false">J46</f>
        <v>0.0820723489251334</v>
      </c>
      <c r="D96" s="221" t="n">
        <f aca="false">Q46</f>
        <v>-0.0814417207823865</v>
      </c>
      <c r="E96" s="221" t="n">
        <f aca="false">Y46</f>
        <v>0.307901420874204</v>
      </c>
      <c r="F96" s="221" t="n">
        <f aca="false">AD46</f>
        <v>-0.0586195581273434</v>
      </c>
      <c r="G96" s="221" t="n">
        <f aca="false">AJ46</f>
        <v>0.340112365704534</v>
      </c>
      <c r="H96" s="221"/>
      <c r="J96" s="1"/>
      <c r="K96" s="1"/>
      <c r="Q96" s="1"/>
    </row>
    <row r="97" customFormat="false" ht="12.8" hidden="false" customHeight="false" outlineLevel="0" collapsed="false">
      <c r="A97" s="1" t="s">
        <v>100</v>
      </c>
      <c r="B97" s="221" t="n">
        <f aca="false">MEDIAN(B99:B108)</f>
        <v>0.368376774981222</v>
      </c>
      <c r="C97" s="221" t="n">
        <f aca="false">MEDIAN(C99:C108)</f>
        <v>0.0641179408941656</v>
      </c>
      <c r="D97" s="221" t="n">
        <f aca="false">MEDIAN(D99:D108)</f>
        <v>-0.0610089761432998</v>
      </c>
      <c r="E97" s="221" t="n">
        <f aca="false">MEDIAN(E99:E108)</f>
        <v>0.181660504143548</v>
      </c>
      <c r="F97" s="221" t="n">
        <f aca="false">MEDIAN(F99:F108)</f>
        <v>-0.0193730808258165</v>
      </c>
      <c r="G97" s="221" t="n">
        <f aca="false">MEDIAN(G99:G108)</f>
        <v>0.221562614857675</v>
      </c>
      <c r="H97" s="221"/>
      <c r="J97" s="1"/>
      <c r="K97" s="1"/>
      <c r="Q97" s="1"/>
    </row>
    <row r="98" customFormat="false" ht="23.05" hidden="false" customHeight="false" outlineLevel="0" collapsed="false">
      <c r="B98" s="23"/>
      <c r="C98" s="23"/>
      <c r="D98" s="221"/>
      <c r="E98" s="221"/>
      <c r="F98" s="221"/>
      <c r="G98" s="221"/>
      <c r="H98" s="221"/>
      <c r="J98" s="209" t="s">
        <v>253</v>
      </c>
      <c r="K98" s="16" t="s">
        <v>245</v>
      </c>
      <c r="L98" s="136" t="s">
        <v>254</v>
      </c>
      <c r="M98" s="136" t="s">
        <v>255</v>
      </c>
      <c r="N98" s="145" t="s">
        <v>256</v>
      </c>
      <c r="P98" s="1"/>
      <c r="Q98" s="1"/>
      <c r="U98" s="42"/>
      <c r="V98" s="21"/>
      <c r="X98" s="1"/>
      <c r="Y98" s="1"/>
      <c r="Z98" s="42"/>
      <c r="AA98" s="21"/>
      <c r="AC98" s="1"/>
      <c r="AD98" s="1"/>
      <c r="AF98" s="42"/>
      <c r="AG98" s="21"/>
      <c r="AI98" s="1"/>
      <c r="AJ98" s="1"/>
      <c r="AK98" s="42"/>
      <c r="AN98" s="1"/>
    </row>
    <row r="99" customFormat="false" ht="12.8" hidden="false" customHeight="false" outlineLevel="0" collapsed="false">
      <c r="A99" s="139" t="s">
        <v>24</v>
      </c>
      <c r="B99" s="117" t="n">
        <f aca="false">B60</f>
        <v>0.686327874867416</v>
      </c>
      <c r="C99" s="117" t="n">
        <v>0.218231996889948</v>
      </c>
      <c r="D99" s="117" t="n">
        <v>-0.004065349187655</v>
      </c>
      <c r="E99" s="117" t="n">
        <v>0.606368798504038</v>
      </c>
      <c r="F99" s="117" t="n">
        <v>0.098021961492178</v>
      </c>
      <c r="G99" s="117" t="n">
        <v>0.316331379692698</v>
      </c>
      <c r="H99" s="117"/>
      <c r="J99" s="139" t="s">
        <v>24</v>
      </c>
      <c r="K99" s="179" t="n">
        <f aca="false">COUNTIF(B111:G111,1)/COUNT(B111:G111)</f>
        <v>1</v>
      </c>
      <c r="L99" s="179" t="n">
        <f aca="false">COUNTIF(B111:E111,1)/COUNT(B111:E111)</f>
        <v>1</v>
      </c>
      <c r="M99" s="179" t="n">
        <f aca="false">COUNTIF(B111:C111,1)/COUNT(B111:C111)</f>
        <v>1</v>
      </c>
      <c r="N99" s="220" t="n">
        <f aca="false">AVERAGE(B111:G111)</f>
        <v>1</v>
      </c>
      <c r="P99" s="1"/>
      <c r="Q99" s="1"/>
      <c r="U99" s="42"/>
      <c r="V99" s="21"/>
      <c r="X99" s="1"/>
      <c r="Y99" s="1"/>
      <c r="Z99" s="42"/>
      <c r="AA99" s="21"/>
      <c r="AC99" s="1"/>
      <c r="AD99" s="1"/>
      <c r="AF99" s="42"/>
      <c r="AG99" s="21"/>
      <c r="AI99" s="1"/>
      <c r="AJ99" s="1"/>
      <c r="AK99" s="42"/>
      <c r="AN99" s="1"/>
    </row>
    <row r="100" customFormat="false" ht="12.8" hidden="false" customHeight="false" outlineLevel="0" collapsed="false">
      <c r="A100" s="139" t="s">
        <v>180</v>
      </c>
      <c r="B100" s="117" t="n">
        <f aca="false">B61</f>
        <v>0.0647472642001035</v>
      </c>
      <c r="C100" s="117" t="n">
        <v>0.0515068493150686</v>
      </c>
      <c r="D100" s="117" t="n">
        <v>0.0579710144927534</v>
      </c>
      <c r="E100" s="117" t="n">
        <v>0.0987261146496816</v>
      </c>
      <c r="F100" s="117" t="n">
        <v>-0.01875</v>
      </c>
      <c r="G100" s="117" t="n">
        <v>0.10075332805889</v>
      </c>
      <c r="H100" s="117"/>
      <c r="J100" s="139" t="s">
        <v>180</v>
      </c>
      <c r="K100" s="179" t="n">
        <f aca="false">COUNTIF(B112:G112,1)/COUNT(B112:G112)</f>
        <v>0.333333333333333</v>
      </c>
      <c r="L100" s="179" t="n">
        <f aca="false">COUNTIF(B112:E112,1)/COUNT(B112:E112)</f>
        <v>0.25</v>
      </c>
      <c r="M100" s="179" t="n">
        <f aca="false">COUNTIF(B112:C112,1)/COUNT(B112:C112)</f>
        <v>0</v>
      </c>
      <c r="N100" s="220" t="n">
        <f aca="false">AVERAGE(B112:G112)</f>
        <v>0.333333333333333</v>
      </c>
      <c r="P100" s="1"/>
      <c r="Q100" s="1"/>
      <c r="U100" s="42"/>
      <c r="V100" s="21"/>
      <c r="X100" s="1"/>
      <c r="Y100" s="1"/>
      <c r="Z100" s="42"/>
      <c r="AA100" s="21"/>
      <c r="AC100" s="1"/>
      <c r="AD100" s="1"/>
      <c r="AF100" s="42"/>
      <c r="AG100" s="21"/>
      <c r="AI100" s="1"/>
      <c r="AJ100" s="1"/>
      <c r="AK100" s="42"/>
      <c r="AN100" s="1"/>
    </row>
    <row r="101" customFormat="false" ht="12.8" hidden="false" customHeight="false" outlineLevel="0" collapsed="false">
      <c r="A101" s="139" t="s">
        <v>181</v>
      </c>
      <c r="B101" s="117" t="n">
        <f aca="false">B62</f>
        <v>0.527633676062955</v>
      </c>
      <c r="C101" s="117" t="n">
        <v>0.246384810126582</v>
      </c>
      <c r="D101" s="117" t="n">
        <v>-0.188213823793761</v>
      </c>
      <c r="E101" s="117" t="n">
        <v>0.585816404128191</v>
      </c>
      <c r="F101" s="117" t="n">
        <v>0.0700894027436372</v>
      </c>
      <c r="G101" s="117" t="n">
        <v>0.22015390070922</v>
      </c>
      <c r="H101" s="117"/>
      <c r="J101" s="139" t="s">
        <v>181</v>
      </c>
      <c r="K101" s="179" t="n">
        <f aca="false">COUNTIF(B113:G113,1)/COUNT(B113:G113)</f>
        <v>0.666666666666667</v>
      </c>
      <c r="L101" s="179" t="n">
        <f aca="false">COUNTIF(B113:E113,1)/COUNT(B113:E113)</f>
        <v>0.75</v>
      </c>
      <c r="M101" s="179" t="n">
        <f aca="false">COUNTIF(B113:C113,1)/COUNT(B113:C113)</f>
        <v>1</v>
      </c>
      <c r="N101" s="220" t="n">
        <f aca="false">AVERAGE(B113:G113)</f>
        <v>0.666666666666667</v>
      </c>
      <c r="P101" s="1"/>
      <c r="Q101" s="1"/>
      <c r="U101" s="42"/>
      <c r="V101" s="21"/>
      <c r="X101" s="1"/>
      <c r="Y101" s="1"/>
      <c r="Z101" s="42"/>
      <c r="AA101" s="21"/>
      <c r="AC101" s="1"/>
      <c r="AD101" s="1"/>
      <c r="AF101" s="42"/>
      <c r="AG101" s="21"/>
      <c r="AI101" s="1"/>
      <c r="AJ101" s="1"/>
      <c r="AK101" s="42"/>
      <c r="AN101" s="1"/>
    </row>
    <row r="102" customFormat="false" ht="12.8" hidden="false" customHeight="false" outlineLevel="0" collapsed="false">
      <c r="A102" s="139" t="s">
        <v>30</v>
      </c>
      <c r="B102" s="117" t="n">
        <f aca="false">B63</f>
        <v>0.226636297787608</v>
      </c>
      <c r="C102" s="117" t="n">
        <v>0.0581251806813201</v>
      </c>
      <c r="D102" s="117" t="n">
        <v>-0.069570399839047</v>
      </c>
      <c r="E102" s="117" t="n">
        <v>0.396244258717739</v>
      </c>
      <c r="F102" s="117" t="n">
        <v>0.109818128037257</v>
      </c>
      <c r="G102" s="117" t="n">
        <v>0.451122107542826</v>
      </c>
      <c r="H102" s="117"/>
      <c r="J102" s="139" t="s">
        <v>30</v>
      </c>
      <c r="K102" s="179" t="n">
        <f aca="false">COUNTIF(B114:G114,1)/COUNT(B114:G114)</f>
        <v>0.5</v>
      </c>
      <c r="L102" s="179" t="n">
        <f aca="false">COUNTIF(B114:E114,1)/COUNT(B114:E114)</f>
        <v>0.25</v>
      </c>
      <c r="M102" s="179" t="n">
        <f aca="false">COUNTIF(B114:C114,1)/COUNT(B114:C114)</f>
        <v>0</v>
      </c>
      <c r="N102" s="220" t="n">
        <f aca="false">AVERAGE(B114:G114)</f>
        <v>0.5</v>
      </c>
      <c r="P102" s="1"/>
      <c r="Q102" s="1"/>
      <c r="U102" s="42"/>
      <c r="V102" s="21"/>
      <c r="X102" s="1"/>
      <c r="Y102" s="1"/>
      <c r="Z102" s="42"/>
      <c r="AA102" s="21"/>
      <c r="AC102" s="1"/>
      <c r="AD102" s="1"/>
      <c r="AF102" s="42"/>
      <c r="AG102" s="21"/>
      <c r="AI102" s="1"/>
      <c r="AJ102" s="1"/>
      <c r="AK102" s="42"/>
      <c r="AN102" s="1"/>
    </row>
    <row r="103" customFormat="false" ht="12.8" hidden="false" customHeight="false" outlineLevel="0" collapsed="false">
      <c r="A103" s="139" t="s">
        <v>182</v>
      </c>
      <c r="B103" s="117" t="n">
        <f aca="false">B64</f>
        <v>0.504295102369137</v>
      </c>
      <c r="C103" s="117" t="n">
        <v>-0.0209658246656761</v>
      </c>
      <c r="D103" s="117" t="n">
        <v>-0.0198577118847714</v>
      </c>
      <c r="E103" s="117" t="n">
        <v>0.19938339534315</v>
      </c>
      <c r="F103" s="117" t="n">
        <v>-0.0471205059920107</v>
      </c>
      <c r="G103" s="117" t="n">
        <v>0.00133333333333341</v>
      </c>
      <c r="H103" s="117"/>
      <c r="J103" s="139" t="s">
        <v>182</v>
      </c>
      <c r="K103" s="179" t="n">
        <f aca="false">COUNTIF(B115:G115,1)/COUNT(B115:G115)</f>
        <v>0.5</v>
      </c>
      <c r="L103" s="179" t="n">
        <f aca="false">COUNTIF(B115:E115,1)/COUNT(B115:E115)</f>
        <v>0.75</v>
      </c>
      <c r="M103" s="179" t="n">
        <f aca="false">COUNTIF(B115:C115,1)/COUNT(B115:C115)</f>
        <v>0.5</v>
      </c>
      <c r="N103" s="220" t="n">
        <f aca="false">AVERAGE(B115:G115)</f>
        <v>0.5</v>
      </c>
      <c r="P103" s="1"/>
      <c r="Q103" s="1"/>
      <c r="U103" s="42"/>
      <c r="V103" s="21"/>
      <c r="X103" s="1"/>
      <c r="Y103" s="1"/>
      <c r="Z103" s="42"/>
      <c r="AA103" s="21"/>
      <c r="AC103" s="1"/>
      <c r="AD103" s="1"/>
      <c r="AF103" s="42"/>
      <c r="AG103" s="21"/>
      <c r="AI103" s="1"/>
      <c r="AJ103" s="1"/>
      <c r="AK103" s="42"/>
      <c r="AN103" s="1"/>
    </row>
    <row r="104" customFormat="false" ht="12.8" hidden="false" customHeight="false" outlineLevel="0" collapsed="false">
      <c r="A104" s="139" t="s">
        <v>27</v>
      </c>
      <c r="B104" s="117" t="n">
        <f aca="false">B65</f>
        <v>0.354256199951843</v>
      </c>
      <c r="C104" s="117" t="n">
        <v>-0.0447897040184254</v>
      </c>
      <c r="D104" s="117" t="n">
        <v>-0.139064128768523</v>
      </c>
      <c r="E104" s="117" t="n">
        <v>0.0632067445446138</v>
      </c>
      <c r="F104" s="117" t="n">
        <v>-0.0542563865290502</v>
      </c>
      <c r="G104" s="117" t="n">
        <v>0.639113554393803</v>
      </c>
      <c r="H104" s="117"/>
      <c r="J104" s="139" t="s">
        <v>27</v>
      </c>
      <c r="K104" s="179" t="n">
        <f aca="false">COUNTIF(B116:G116,1)/COUNT(B116:G116)</f>
        <v>0.166666666666667</v>
      </c>
      <c r="L104" s="179" t="n">
        <f aca="false">COUNTIF(B116:E116,1)/COUNT(B116:E116)</f>
        <v>0</v>
      </c>
      <c r="M104" s="179" t="n">
        <f aca="false">COUNTIF(B116:C116,1)/COUNT(B116:C116)</f>
        <v>0</v>
      </c>
      <c r="N104" s="220" t="n">
        <f aca="false">AVERAGE(B116:G116)</f>
        <v>0.166666666666667</v>
      </c>
      <c r="P104" s="1"/>
      <c r="Q104" s="1"/>
      <c r="U104" s="42"/>
      <c r="V104" s="21"/>
      <c r="X104" s="1"/>
      <c r="Y104" s="1"/>
      <c r="Z104" s="42"/>
      <c r="AA104" s="21"/>
      <c r="AC104" s="1"/>
      <c r="AD104" s="1"/>
      <c r="AF104" s="42"/>
      <c r="AG104" s="21"/>
      <c r="AI104" s="1"/>
      <c r="AJ104" s="1"/>
      <c r="AK104" s="42"/>
      <c r="AN104" s="1"/>
    </row>
    <row r="105" customFormat="false" ht="12.8" hidden="false" customHeight="false" outlineLevel="0" collapsed="false">
      <c r="A105" s="139" t="s">
        <v>184</v>
      </c>
      <c r="B105" s="117" t="n">
        <f aca="false">B66</f>
        <v>0.3824973500106</v>
      </c>
      <c r="C105" s="117" t="n">
        <v>-0.0751560686388305</v>
      </c>
      <c r="D105" s="117" t="n">
        <v>-0.0845072445037981</v>
      </c>
      <c r="E105" s="117" t="n">
        <v>0.24472049689441</v>
      </c>
      <c r="F105" s="117" t="n">
        <v>-0.00651697165028542</v>
      </c>
      <c r="G105" s="117" t="n">
        <v>0.407018289026584</v>
      </c>
      <c r="H105" s="117"/>
      <c r="J105" s="139" t="s">
        <v>184</v>
      </c>
      <c r="K105" s="179" t="n">
        <f aca="false">COUNTIF(B117:G117,1)/COUNT(B117:G117)</f>
        <v>0.666666666666667</v>
      </c>
      <c r="L105" s="179" t="n">
        <f aca="false">COUNTIF(B117:E117,1)/COUNT(B117:E117)</f>
        <v>0.5</v>
      </c>
      <c r="M105" s="179" t="n">
        <f aca="false">COUNTIF(B117:C117,1)/COUNT(B117:C117)</f>
        <v>0.5</v>
      </c>
      <c r="N105" s="220" t="n">
        <f aca="false">AVERAGE(B117:G117)</f>
        <v>0.666666666666667</v>
      </c>
      <c r="P105" s="1"/>
      <c r="Q105" s="1"/>
      <c r="U105" s="42"/>
      <c r="V105" s="21"/>
      <c r="X105" s="1"/>
      <c r="Y105" s="1"/>
      <c r="Z105" s="42"/>
      <c r="AA105" s="21"/>
      <c r="AC105" s="1"/>
      <c r="AD105" s="1"/>
      <c r="AF105" s="42"/>
      <c r="AG105" s="21"/>
      <c r="AI105" s="1"/>
      <c r="AJ105" s="1"/>
      <c r="AK105" s="42"/>
      <c r="AN105" s="1"/>
    </row>
    <row r="106" customFormat="false" ht="12.8" hidden="false" customHeight="false" outlineLevel="0" collapsed="false">
      <c r="A106" s="139" t="s">
        <v>233</v>
      </c>
      <c r="B106" s="117" t="n">
        <f aca="false">B67</f>
        <v>0.237119935041437</v>
      </c>
      <c r="C106" s="117" t="n">
        <v>0.41430746954264</v>
      </c>
      <c r="D106" s="117" t="n">
        <v>0.483006293965198</v>
      </c>
      <c r="E106" s="117" t="n">
        <v>0.125416666666667</v>
      </c>
      <c r="F106" s="117" t="n">
        <v>-0.0199961616516331</v>
      </c>
      <c r="G106" s="117" t="n">
        <v>0.16617619047619</v>
      </c>
      <c r="H106" s="117"/>
      <c r="J106" s="139" t="s">
        <v>233</v>
      </c>
      <c r="K106" s="179" t="n">
        <f aca="false">COUNTIF(B118:G118,1)/COUNT(B118:G118)</f>
        <v>0.333333333333333</v>
      </c>
      <c r="L106" s="179" t="n">
        <f aca="false">COUNTIF(B118:E118,1)/COUNT(B118:E118)</f>
        <v>0.5</v>
      </c>
      <c r="M106" s="179" t="n">
        <f aca="false">COUNTIF(B118:C118,1)/COUNT(B118:C118)</f>
        <v>0.5</v>
      </c>
      <c r="N106" s="220" t="n">
        <f aca="false">AVERAGE(B118:G118)</f>
        <v>0.333333333333333</v>
      </c>
      <c r="P106" s="1"/>
      <c r="Q106" s="1"/>
      <c r="U106" s="42"/>
      <c r="V106" s="21"/>
      <c r="X106" s="1"/>
      <c r="Y106" s="1"/>
      <c r="Z106" s="42"/>
      <c r="AA106" s="21"/>
      <c r="AC106" s="1"/>
      <c r="AD106" s="1"/>
      <c r="AF106" s="42"/>
      <c r="AG106" s="21"/>
      <c r="AI106" s="1"/>
      <c r="AJ106" s="1"/>
      <c r="AK106" s="42"/>
      <c r="AN106" s="1"/>
    </row>
    <row r="107" customFormat="false" ht="12.8" hidden="false" customHeight="false" outlineLevel="0" collapsed="false">
      <c r="A107" s="139" t="s">
        <v>186</v>
      </c>
      <c r="B107" s="117" t="n">
        <f aca="false">B68</f>
        <v>0.680491902172545</v>
      </c>
      <c r="C107" s="117" t="n">
        <v>0.0850272727272727</v>
      </c>
      <c r="D107" s="117" t="n">
        <v>-0.0927835051546393</v>
      </c>
      <c r="E107" s="117" t="n">
        <v>0.163937612943946</v>
      </c>
      <c r="F107" s="117" t="n">
        <v>-0.259906362451201</v>
      </c>
      <c r="G107" s="117" t="n">
        <v>0.126044</v>
      </c>
      <c r="H107" s="117"/>
      <c r="J107" s="139" t="s">
        <v>186</v>
      </c>
      <c r="K107" s="179" t="n">
        <f aca="false">COUNTIF(B119:G119,1)/COUNT(B119:G119)</f>
        <v>0.333333333333333</v>
      </c>
      <c r="L107" s="179" t="n">
        <f aca="false">COUNTIF(B119:E119,1)/COUNT(B119:E119)</f>
        <v>0.5</v>
      </c>
      <c r="M107" s="179" t="n">
        <f aca="false">COUNTIF(B119:C119,1)/COUNT(B119:C119)</f>
        <v>1</v>
      </c>
      <c r="N107" s="220" t="n">
        <f aca="false">AVERAGE(B119:G119)</f>
        <v>0.333333333333333</v>
      </c>
      <c r="P107" s="1"/>
      <c r="Q107" s="1"/>
      <c r="U107" s="42"/>
      <c r="V107" s="21"/>
      <c r="X107" s="1"/>
      <c r="Y107" s="1"/>
      <c r="Z107" s="42"/>
      <c r="AA107" s="21"/>
      <c r="AC107" s="1"/>
      <c r="AD107" s="1"/>
      <c r="AF107" s="42"/>
      <c r="AG107" s="21"/>
      <c r="AI107" s="1"/>
      <c r="AJ107" s="1"/>
      <c r="AK107" s="42"/>
      <c r="AN107" s="1"/>
    </row>
    <row r="108" customFormat="false" ht="12.8" hidden="false" customHeight="false" outlineLevel="0" collapsed="false">
      <c r="A108" s="139" t="s">
        <v>189</v>
      </c>
      <c r="B108" s="117" t="n">
        <f aca="false">B69</f>
        <v>0.203517241379311</v>
      </c>
      <c r="C108" s="117" t="n">
        <v>0.070110701107011</v>
      </c>
      <c r="D108" s="117" t="n">
        <v>-0.0524475524475525</v>
      </c>
      <c r="E108" s="117" t="n">
        <v>0.0563250230840258</v>
      </c>
      <c r="F108" s="117" t="n">
        <v>-0.131209087408548</v>
      </c>
      <c r="G108" s="117" t="n">
        <v>0.22297132900613</v>
      </c>
      <c r="H108" s="117"/>
      <c r="J108" s="139" t="s">
        <v>189</v>
      </c>
      <c r="K108" s="179" t="n">
        <f aca="false">COUNTIF(B120:G120,1)/COUNT(B120:G120)</f>
        <v>0.5</v>
      </c>
      <c r="L108" s="179" t="n">
        <f aca="false">COUNTIF(B120:E120,1)/COUNT(B120:E120)</f>
        <v>0.5</v>
      </c>
      <c r="M108" s="179" t="n">
        <f aca="false">COUNTIF(B120:C120,1)/COUNT(B120:C120)</f>
        <v>0.5</v>
      </c>
      <c r="N108" s="220" t="n">
        <f aca="false">AVERAGE(B120:G120)</f>
        <v>0.5</v>
      </c>
      <c r="P108" s="1"/>
      <c r="Q108" s="1"/>
      <c r="U108" s="42"/>
      <c r="V108" s="21"/>
      <c r="X108" s="1"/>
      <c r="Y108" s="1"/>
      <c r="Z108" s="42"/>
      <c r="AA108" s="21"/>
      <c r="AC108" s="1"/>
      <c r="AD108" s="1"/>
      <c r="AF108" s="42"/>
      <c r="AG108" s="21"/>
      <c r="AI108" s="1"/>
      <c r="AJ108" s="1"/>
      <c r="AK108" s="42"/>
      <c r="AN108" s="1"/>
    </row>
    <row r="110" customFormat="false" ht="23.85" hidden="false" customHeight="false" outlineLevel="0" collapsed="false">
      <c r="A110" s="70" t="s">
        <v>253</v>
      </c>
      <c r="B110" s="23" t="s">
        <v>247</v>
      </c>
      <c r="C110" s="23" t="s">
        <v>248</v>
      </c>
      <c r="D110" s="221" t="s">
        <v>249</v>
      </c>
      <c r="E110" s="221" t="s">
        <v>250</v>
      </c>
      <c r="F110" s="221" t="s">
        <v>251</v>
      </c>
      <c r="G110" s="221" t="s">
        <v>252</v>
      </c>
      <c r="H110" s="221"/>
    </row>
    <row r="111" customFormat="false" ht="12.8" hidden="false" customHeight="false" outlineLevel="0" collapsed="false">
      <c r="A111" s="139" t="s">
        <v>24</v>
      </c>
      <c r="B111" s="22" t="n">
        <f aca="false">COUNTIF(B99,"&gt;"&amp;B$97)</f>
        <v>1</v>
      </c>
      <c r="C111" s="22" t="n">
        <f aca="false">COUNTIF(C99,"&gt;"&amp;C$97)</f>
        <v>1</v>
      </c>
      <c r="D111" s="22" t="n">
        <f aca="false">COUNTIF(D99,"&gt;"&amp;D$97)</f>
        <v>1</v>
      </c>
      <c r="E111" s="22" t="n">
        <f aca="false">COUNTIF(E99,"&gt;"&amp;E$97)</f>
        <v>1</v>
      </c>
      <c r="F111" s="22" t="n">
        <f aca="false">COUNTIF(F99,"&gt;"&amp;F$97)</f>
        <v>1</v>
      </c>
      <c r="G111" s="22" t="n">
        <f aca="false">COUNTIF(G99,"&gt;"&amp;G$97)</f>
        <v>1</v>
      </c>
      <c r="H111" s="22"/>
    </row>
    <row r="112" customFormat="false" ht="12.8" hidden="false" customHeight="false" outlineLevel="0" collapsed="false">
      <c r="A112" s="139" t="s">
        <v>180</v>
      </c>
      <c r="B112" s="22" t="n">
        <f aca="false">COUNTIF(B100,"&gt;"&amp;B$97)</f>
        <v>0</v>
      </c>
      <c r="C112" s="22" t="n">
        <f aca="false">COUNTIF(C100,"&gt;"&amp;C$97)</f>
        <v>0</v>
      </c>
      <c r="D112" s="22" t="n">
        <f aca="false">COUNTIF(D100,"&gt;"&amp;D$97)</f>
        <v>1</v>
      </c>
      <c r="E112" s="22" t="n">
        <f aca="false">COUNTIF(E100,"&gt;"&amp;E$97)</f>
        <v>0</v>
      </c>
      <c r="F112" s="22" t="n">
        <f aca="false">COUNTIF(F100,"&gt;"&amp;F$97)</f>
        <v>1</v>
      </c>
      <c r="G112" s="22" t="n">
        <f aca="false">COUNTIF(G100,"&gt;"&amp;G$97)</f>
        <v>0</v>
      </c>
      <c r="H112" s="22"/>
    </row>
    <row r="113" customFormat="false" ht="12.8" hidden="false" customHeight="false" outlineLevel="0" collapsed="false">
      <c r="A113" s="139" t="s">
        <v>181</v>
      </c>
      <c r="B113" s="22" t="n">
        <f aca="false">COUNTIF(B101,"&gt;"&amp;B$97)</f>
        <v>1</v>
      </c>
      <c r="C113" s="22" t="n">
        <f aca="false">COUNTIF(C101,"&gt;"&amp;C$97)</f>
        <v>1</v>
      </c>
      <c r="D113" s="22" t="n">
        <f aca="false">COUNTIF(D101,"&gt;"&amp;D$97)</f>
        <v>0</v>
      </c>
      <c r="E113" s="22" t="n">
        <f aca="false">COUNTIF(E101,"&gt;"&amp;E$97)</f>
        <v>1</v>
      </c>
      <c r="F113" s="22" t="n">
        <f aca="false">COUNTIF(F101,"&gt;"&amp;F$97)</f>
        <v>1</v>
      </c>
      <c r="G113" s="22" t="n">
        <f aca="false">COUNTIF(G101,"&gt;"&amp;G$97)</f>
        <v>0</v>
      </c>
      <c r="H113" s="22"/>
    </row>
    <row r="114" customFormat="false" ht="12.8" hidden="false" customHeight="false" outlineLevel="0" collapsed="false">
      <c r="A114" s="139" t="s">
        <v>30</v>
      </c>
      <c r="B114" s="22" t="n">
        <f aca="false">COUNTIF(B102,"&gt;"&amp;B$97)</f>
        <v>0</v>
      </c>
      <c r="C114" s="22" t="n">
        <f aca="false">COUNTIF(C102,"&gt;"&amp;C$97)</f>
        <v>0</v>
      </c>
      <c r="D114" s="22" t="n">
        <f aca="false">COUNTIF(D102,"&gt;"&amp;D$97)</f>
        <v>0</v>
      </c>
      <c r="E114" s="22" t="n">
        <f aca="false">COUNTIF(E102,"&gt;"&amp;E$97)</f>
        <v>1</v>
      </c>
      <c r="F114" s="22" t="n">
        <f aca="false">COUNTIF(F102,"&gt;"&amp;F$97)</f>
        <v>1</v>
      </c>
      <c r="G114" s="22" t="n">
        <f aca="false">COUNTIF(G102,"&gt;"&amp;G$97)</f>
        <v>1</v>
      </c>
      <c r="H114" s="22"/>
    </row>
    <row r="115" customFormat="false" ht="12.8" hidden="false" customHeight="false" outlineLevel="0" collapsed="false">
      <c r="A115" s="139" t="s">
        <v>182</v>
      </c>
      <c r="B115" s="22" t="n">
        <f aca="false">COUNTIF(B103,"&gt;"&amp;B$97)</f>
        <v>1</v>
      </c>
      <c r="C115" s="22" t="n">
        <f aca="false">COUNTIF(C103,"&gt;"&amp;C$97)</f>
        <v>0</v>
      </c>
      <c r="D115" s="22" t="n">
        <f aca="false">COUNTIF(D103,"&gt;"&amp;D$97)</f>
        <v>1</v>
      </c>
      <c r="E115" s="22" t="n">
        <f aca="false">COUNTIF(E103,"&gt;"&amp;E$97)</f>
        <v>1</v>
      </c>
      <c r="F115" s="22" t="n">
        <f aca="false">COUNTIF(F103,"&gt;"&amp;F$97)</f>
        <v>0</v>
      </c>
      <c r="G115" s="22" t="n">
        <f aca="false">COUNTIF(G103,"&gt;"&amp;G$97)</f>
        <v>0</v>
      </c>
      <c r="H115" s="22"/>
    </row>
    <row r="116" customFormat="false" ht="12.8" hidden="false" customHeight="false" outlineLevel="0" collapsed="false">
      <c r="A116" s="139" t="s">
        <v>27</v>
      </c>
      <c r="B116" s="22" t="n">
        <f aca="false">COUNTIF(B104,"&gt;"&amp;B$97)</f>
        <v>0</v>
      </c>
      <c r="C116" s="22" t="n">
        <f aca="false">COUNTIF(C104,"&gt;"&amp;C$97)</f>
        <v>0</v>
      </c>
      <c r="D116" s="22" t="n">
        <f aca="false">COUNTIF(D104,"&gt;"&amp;D$97)</f>
        <v>0</v>
      </c>
      <c r="E116" s="22" t="n">
        <f aca="false">COUNTIF(E104,"&gt;"&amp;E$97)</f>
        <v>0</v>
      </c>
      <c r="F116" s="22" t="n">
        <f aca="false">COUNTIF(F104,"&gt;"&amp;F$97)</f>
        <v>0</v>
      </c>
      <c r="G116" s="22" t="n">
        <f aca="false">COUNTIF(G104,"&gt;"&amp;G$97)</f>
        <v>1</v>
      </c>
      <c r="H116" s="22"/>
    </row>
    <row r="117" customFormat="false" ht="12.8" hidden="false" customHeight="false" outlineLevel="0" collapsed="false">
      <c r="A117" s="139" t="s">
        <v>184</v>
      </c>
      <c r="B117" s="22" t="n">
        <f aca="false">COUNTIF(B105,"&gt;"&amp;B$97)</f>
        <v>1</v>
      </c>
      <c r="C117" s="22" t="n">
        <f aca="false">COUNTIF(C105,"&gt;"&amp;C$97)</f>
        <v>0</v>
      </c>
      <c r="D117" s="22" t="n">
        <f aca="false">COUNTIF(D105,"&gt;"&amp;D$97)</f>
        <v>0</v>
      </c>
      <c r="E117" s="22" t="n">
        <f aca="false">COUNTIF(E105,"&gt;"&amp;E$97)</f>
        <v>1</v>
      </c>
      <c r="F117" s="22" t="n">
        <f aca="false">COUNTIF(F105,"&gt;"&amp;F$97)</f>
        <v>1</v>
      </c>
      <c r="G117" s="22" t="n">
        <f aca="false">COUNTIF(G105,"&gt;"&amp;G$97)</f>
        <v>1</v>
      </c>
      <c r="H117" s="22"/>
    </row>
    <row r="118" customFormat="false" ht="12.8" hidden="false" customHeight="false" outlineLevel="0" collapsed="false">
      <c r="A118" s="139" t="s">
        <v>233</v>
      </c>
      <c r="B118" s="22" t="n">
        <f aca="false">COUNTIF(B106,"&gt;"&amp;B$97)</f>
        <v>0</v>
      </c>
      <c r="C118" s="22" t="n">
        <f aca="false">COUNTIF(C106,"&gt;"&amp;C$97)</f>
        <v>1</v>
      </c>
      <c r="D118" s="22" t="n">
        <f aca="false">COUNTIF(D106,"&gt;"&amp;D$97)</f>
        <v>1</v>
      </c>
      <c r="E118" s="22" t="n">
        <f aca="false">COUNTIF(E106,"&gt;"&amp;E$97)</f>
        <v>0</v>
      </c>
      <c r="F118" s="22" t="n">
        <f aca="false">COUNTIF(F106,"&gt;"&amp;F$97)</f>
        <v>0</v>
      </c>
      <c r="G118" s="22" t="n">
        <f aca="false">COUNTIF(G106,"&gt;"&amp;G$97)</f>
        <v>0</v>
      </c>
      <c r="H118" s="22"/>
    </row>
    <row r="119" customFormat="false" ht="12.8" hidden="false" customHeight="false" outlineLevel="0" collapsed="false">
      <c r="A119" s="139" t="s">
        <v>186</v>
      </c>
      <c r="B119" s="22" t="n">
        <f aca="false">COUNTIF(B107,"&gt;"&amp;B$97)</f>
        <v>1</v>
      </c>
      <c r="C119" s="22" t="n">
        <f aca="false">COUNTIF(C107,"&gt;"&amp;C$97)</f>
        <v>1</v>
      </c>
      <c r="D119" s="22" t="n">
        <f aca="false">COUNTIF(D107,"&gt;"&amp;D$97)</f>
        <v>0</v>
      </c>
      <c r="E119" s="22" t="n">
        <f aca="false">COUNTIF(E107,"&gt;"&amp;E$97)</f>
        <v>0</v>
      </c>
      <c r="F119" s="22" t="n">
        <f aca="false">COUNTIF(F107,"&gt;"&amp;F$97)</f>
        <v>0</v>
      </c>
      <c r="G119" s="22" t="n">
        <f aca="false">COUNTIF(G107,"&gt;"&amp;G$97)</f>
        <v>0</v>
      </c>
      <c r="H119" s="22"/>
    </row>
    <row r="120" customFormat="false" ht="12.8" hidden="false" customHeight="false" outlineLevel="0" collapsed="false">
      <c r="A120" s="139" t="s">
        <v>189</v>
      </c>
      <c r="B120" s="22" t="n">
        <f aca="false">COUNTIF(B108,"&gt;"&amp;B$97)</f>
        <v>0</v>
      </c>
      <c r="C120" s="22" t="n">
        <f aca="false">COUNTIF(C108,"&gt;"&amp;C$97)</f>
        <v>1</v>
      </c>
      <c r="D120" s="22" t="n">
        <f aca="false">COUNTIF(D108,"&gt;"&amp;D$97)</f>
        <v>1</v>
      </c>
      <c r="E120" s="22" t="n">
        <f aca="false">COUNTIF(E108,"&gt;"&amp;E$97)</f>
        <v>0</v>
      </c>
      <c r="F120" s="22" t="n">
        <f aca="false">COUNTIF(F108,"&gt;"&amp;F$97)</f>
        <v>0</v>
      </c>
      <c r="G120" s="217" t="n">
        <f aca="false">COUNTIF(G108,"&gt;"&amp;G$97)</f>
        <v>1</v>
      </c>
      <c r="H120" s="217"/>
    </row>
    <row r="122" customFormat="false" ht="12.8" hidden="false" customHeight="false" outlineLevel="0" collapsed="false">
      <c r="C122" s="1"/>
      <c r="H122" s="78"/>
    </row>
    <row r="123" customFormat="false" ht="12.8" hidden="false" customHeight="false" outlineLevel="0" collapsed="false">
      <c r="C123" s="1"/>
      <c r="H123" s="22"/>
    </row>
    <row r="124" customFormat="false" ht="12.8" hidden="false" customHeight="false" outlineLevel="0" collapsed="false">
      <c r="C124" s="1"/>
      <c r="H124" s="22"/>
    </row>
    <row r="125" customFormat="false" ht="12.8" hidden="false" customHeight="false" outlineLevel="0" collapsed="false">
      <c r="C125" s="1"/>
      <c r="H125" s="22"/>
    </row>
    <row r="126" customFormat="false" ht="12.8" hidden="false" customHeight="false" outlineLevel="0" collapsed="false">
      <c r="C126" s="1"/>
      <c r="H126" s="22"/>
    </row>
    <row r="127" customFormat="false" ht="12.8" hidden="false" customHeight="false" outlineLevel="0" collapsed="false">
      <c r="C127" s="1"/>
      <c r="H127" s="22"/>
    </row>
    <row r="128" customFormat="false" ht="12.8" hidden="false" customHeight="false" outlineLevel="0" collapsed="false">
      <c r="C128" s="1"/>
      <c r="H128" s="22"/>
    </row>
    <row r="129" customFormat="false" ht="12.8" hidden="false" customHeight="false" outlineLevel="0" collapsed="false">
      <c r="C129" s="1"/>
      <c r="H129" s="22"/>
    </row>
    <row r="130" customFormat="false" ht="12.8" hidden="false" customHeight="false" outlineLevel="0" collapsed="false">
      <c r="C130" s="1"/>
      <c r="H130" s="22"/>
    </row>
    <row r="131" customFormat="false" ht="12.8" hidden="false" customHeight="false" outlineLevel="0" collapsed="false">
      <c r="C131" s="1"/>
      <c r="H131" s="22"/>
    </row>
    <row r="132" customFormat="false" ht="12.8" hidden="false" customHeight="false" outlineLevel="0" collapsed="false">
      <c r="C132" s="1"/>
      <c r="H132" s="22"/>
    </row>
  </sheetData>
  <mergeCells count="77">
    <mergeCell ref="C2:I2"/>
    <mergeCell ref="H3:H14"/>
    <mergeCell ref="H15:H26"/>
    <mergeCell ref="B46:I46"/>
    <mergeCell ref="J46:P46"/>
    <mergeCell ref="Q46:X46"/>
    <mergeCell ref="Y46:AC46"/>
    <mergeCell ref="AD46:AI46"/>
    <mergeCell ref="AJ46:AN46"/>
    <mergeCell ref="C47:I47"/>
    <mergeCell ref="C59:I59"/>
    <mergeCell ref="J59:P59"/>
    <mergeCell ref="Q59:X59"/>
    <mergeCell ref="Y59:AC59"/>
    <mergeCell ref="AD59:AI59"/>
    <mergeCell ref="AJ59:AN59"/>
    <mergeCell ref="B60:I60"/>
    <mergeCell ref="J60:P60"/>
    <mergeCell ref="Q60:X60"/>
    <mergeCell ref="Y60:AC60"/>
    <mergeCell ref="AD60:AI60"/>
    <mergeCell ref="AJ60:AN60"/>
    <mergeCell ref="B61:I61"/>
    <mergeCell ref="J61:P61"/>
    <mergeCell ref="Q61:X61"/>
    <mergeCell ref="Y61:AC61"/>
    <mergeCell ref="AD61:AI61"/>
    <mergeCell ref="AJ61:AN61"/>
    <mergeCell ref="B62:I62"/>
    <mergeCell ref="J62:P62"/>
    <mergeCell ref="Q62:X62"/>
    <mergeCell ref="Y62:AC62"/>
    <mergeCell ref="AD62:AI62"/>
    <mergeCell ref="AJ62:AN62"/>
    <mergeCell ref="B63:I63"/>
    <mergeCell ref="J63:P63"/>
    <mergeCell ref="Q63:X63"/>
    <mergeCell ref="Y63:AC63"/>
    <mergeCell ref="AD63:AI63"/>
    <mergeCell ref="AJ63:AN63"/>
    <mergeCell ref="B64:I64"/>
    <mergeCell ref="J64:P64"/>
    <mergeCell ref="Q64:X64"/>
    <mergeCell ref="Y64:AC64"/>
    <mergeCell ref="AD64:AI64"/>
    <mergeCell ref="AJ64:AN64"/>
    <mergeCell ref="B65:I65"/>
    <mergeCell ref="J65:P65"/>
    <mergeCell ref="Q65:X65"/>
    <mergeCell ref="Y65:AC65"/>
    <mergeCell ref="AD65:AI65"/>
    <mergeCell ref="AJ65:AN65"/>
    <mergeCell ref="B66:I66"/>
    <mergeCell ref="J66:P66"/>
    <mergeCell ref="Q66:X66"/>
    <mergeCell ref="Y66:AC66"/>
    <mergeCell ref="AD66:AI66"/>
    <mergeCell ref="AJ66:AN66"/>
    <mergeCell ref="B67:I67"/>
    <mergeCell ref="J67:P67"/>
    <mergeCell ref="Q67:X67"/>
    <mergeCell ref="Y67:AC67"/>
    <mergeCell ref="AD67:AI67"/>
    <mergeCell ref="AJ67:AN67"/>
    <mergeCell ref="B68:I68"/>
    <mergeCell ref="J68:P68"/>
    <mergeCell ref="Q68:X68"/>
    <mergeCell ref="Y68:AC68"/>
    <mergeCell ref="AD68:AI68"/>
    <mergeCell ref="AJ68:AN68"/>
    <mergeCell ref="B69:I69"/>
    <mergeCell ref="J69:P69"/>
    <mergeCell ref="Q69:X69"/>
    <mergeCell ref="Y69:AC69"/>
    <mergeCell ref="AD69:AI69"/>
    <mergeCell ref="AJ69:AN69"/>
    <mergeCell ref="AJ70:AN70"/>
  </mergeCells>
  <conditionalFormatting sqref="D45:D46">
    <cfRule type="colorScale" priority="2">
      <colorScale>
        <cfvo type="min" val="0"/>
        <cfvo type="percentile" val="0"/>
        <cfvo type="max" val="0"/>
        <color rgb="FFFF0000"/>
        <color rgb="FFFFFFFF"/>
        <color rgb="FF00A933"/>
      </colorScale>
    </cfRule>
  </conditionalFormatting>
  <conditionalFormatting sqref="C48:C58">
    <cfRule type="colorScale" priority="3">
      <colorScale>
        <cfvo type="min" val="0"/>
        <cfvo type="num" val="-0.0136"/>
        <cfvo type="max" val="0"/>
        <color rgb="FFFF0000"/>
        <color rgb="FFFFFFFF"/>
        <color rgb="FF00A933"/>
      </colorScale>
    </cfRule>
  </conditionalFormatting>
  <conditionalFormatting sqref="D48:D58">
    <cfRule type="colorScale" priority="4">
      <colorScale>
        <cfvo type="min" val="0"/>
        <cfvo type="num" val="0.0325"/>
        <cfvo type="max" val="0"/>
        <color rgb="FFFF0000"/>
        <color rgb="FFFFFFFF"/>
        <color rgb="FF00A933"/>
      </colorScale>
    </cfRule>
  </conditionalFormatting>
  <conditionalFormatting sqref="E48:E58">
    <cfRule type="colorScale" priority="5">
      <colorScale>
        <cfvo type="min" val="0"/>
        <cfvo type="num" val="0.0661"/>
        <cfvo type="max" val="0"/>
        <color rgb="FFFF0000"/>
        <color rgb="FFFFFFFF"/>
        <color rgb="FF00A933"/>
      </colorScale>
    </cfRule>
  </conditionalFormatting>
  <conditionalFormatting sqref="F48:F58">
    <cfRule type="colorScale" priority="6">
      <colorScale>
        <cfvo type="min" val="0"/>
        <cfvo type="num" val="0.072"/>
        <cfvo type="max" val="0"/>
        <color rgb="FFFF0000"/>
        <color rgb="FFFFFFFF"/>
        <color rgb="FF00A933"/>
      </colorScale>
    </cfRule>
  </conditionalFormatting>
  <conditionalFormatting sqref="D60:D69">
    <cfRule type="colorScale" priority="7">
      <colorScale>
        <cfvo type="min" val="0"/>
        <cfvo type="percentile" val="0"/>
        <cfvo type="max" val="0"/>
        <color rgb="FFFF0000"/>
        <color rgb="FFFFFFFF"/>
        <color rgb="FF00A933"/>
      </colorScale>
    </cfRule>
  </conditionalFormatting>
  <conditionalFormatting sqref="G48:G57 H57:H81 I32:I81 I4 I15 I27">
    <cfRule type="colorScale" priority="8">
      <colorScale>
        <cfvo type="min" val="0"/>
        <cfvo type="num" val="0.017"/>
        <cfvo type="max" val="0"/>
        <color rgb="FFFF0000"/>
        <color rgb="FFFFFFFF"/>
        <color rgb="FF00A933"/>
      </colorScale>
    </cfRule>
  </conditionalFormatting>
  <conditionalFormatting sqref="H48:H57 I32:I48 I4 I15 I27">
    <cfRule type="colorScale" priority="9">
      <colorScale>
        <cfvo type="min" val="0"/>
        <cfvo type="num" val="0.0551"/>
        <cfvo type="max" val="0"/>
        <color rgb="FFFF0000"/>
        <color rgb="FFFFFFFF"/>
        <color rgb="FF00A933"/>
      </colorScale>
    </cfRule>
  </conditionalFormatting>
  <conditionalFormatting sqref="G120:H121 I85:I123 H122:H123 I4 I15 I27 I32:I81">
    <cfRule type="colorScale" priority="10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G120:H121 I85:I123 H122:H123 I4 I15 I27 I32:I81">
    <cfRule type="colorScale" priority="11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H123:H132 I85:I123 I4 I15 I27 I32:I81">
    <cfRule type="colorScale" priority="12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H123:H132 I85:I123 I4 I15 I27 I32:I81">
    <cfRule type="colorScale" priority="13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B48:B57">
    <cfRule type="colorScale" priority="14">
      <colorScale>
        <cfvo type="min" val="0"/>
        <cfvo type="num" val="-0.0136"/>
        <cfvo type="max" val="0"/>
        <color rgb="FFFF0000"/>
        <color rgb="FFFFFFFF"/>
        <color rgb="FF00A933"/>
      </colorScale>
    </cfRule>
  </conditionalFormatting>
  <conditionalFormatting sqref="K83:M92">
    <cfRule type="colorScale" priority="15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M99:M108 K100:L108 L99">
    <cfRule type="colorScale" priority="16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K99:M108">
    <cfRule type="colorScale" priority="17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C16:C26">
    <cfRule type="colorScale" priority="18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C16:C26">
    <cfRule type="colorScale" priority="19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C16:C26">
    <cfRule type="colorScale" priority="20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C16:C26">
    <cfRule type="colorScale" priority="21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D16:D26">
    <cfRule type="colorScale" priority="22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D16:D26">
    <cfRule type="colorScale" priority="23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E16:E26">
    <cfRule type="colorScale" priority="24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E16:E26">
    <cfRule type="colorScale" priority="25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I4:I14">
    <cfRule type="colorScale" priority="26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H4:H14">
    <cfRule type="colorScale" priority="27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H16:H26">
    <cfRule type="colorScale" priority="28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4:G14">
    <cfRule type="colorScale" priority="29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4:G14">
    <cfRule type="colorScale" priority="30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16:G26">
    <cfRule type="colorScale" priority="31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16:G26">
    <cfRule type="colorScale" priority="32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16:G26">
    <cfRule type="colorScale" priority="33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G16:G26">
    <cfRule type="colorScale" priority="34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I16">
    <cfRule type="colorScale" priority="35">
      <colorScale>
        <cfvo type="min" val="0"/>
        <cfvo type="num" val="0.017"/>
        <cfvo type="max" val="0"/>
        <color rgb="FFFF0000"/>
        <color rgb="FFFFFFFF"/>
        <color rgb="FF00A933"/>
      </colorScale>
    </cfRule>
  </conditionalFormatting>
  <conditionalFormatting sqref="I16">
    <cfRule type="colorScale" priority="36">
      <colorScale>
        <cfvo type="min" val="0"/>
        <cfvo type="num" val="0.0551"/>
        <cfvo type="max" val="0"/>
        <color rgb="FFFF0000"/>
        <color rgb="FFFFFFFF"/>
        <color rgb="FF00A933"/>
      </colorScale>
    </cfRule>
  </conditionalFormatting>
  <conditionalFormatting sqref="I16">
    <cfRule type="colorScale" priority="37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I16">
    <cfRule type="colorScale" priority="38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I16">
    <cfRule type="colorScale" priority="39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I16">
    <cfRule type="colorScale" priority="40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I16:I26">
    <cfRule type="colorScale" priority="41">
      <colorScale>
        <cfvo type="min" val="0"/>
        <cfvo type="num" val="1"/>
        <cfvo type="max" val="0"/>
        <color rgb="FFFF0000"/>
        <color rgb="FFFFFFFF"/>
        <color rgb="FF00A933"/>
      </colorScale>
    </cfRule>
  </conditionalFormatting>
  <conditionalFormatting sqref="B4:F14">
    <cfRule type="colorScale" priority="42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16:B26">
    <cfRule type="colorScale" priority="43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16:B26">
    <cfRule type="colorScale" priority="44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16:B26">
    <cfRule type="colorScale" priority="45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B16:B26">
    <cfRule type="colorScale" priority="46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F16:F26">
    <cfRule type="colorScale" priority="47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F16:F26">
    <cfRule type="colorScale" priority="48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F16:F26">
    <cfRule type="colorScale" priority="49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F16:F26">
    <cfRule type="colorScale" priority="50">
      <colorScale>
        <cfvo type="min" val="0"/>
        <cfvo type="num" val="1"/>
        <cfvo type="max" val="0"/>
        <color rgb="FFF10D0C"/>
        <color rgb="FFFFFFFF"/>
        <color rgb="FF069A2E"/>
      </colorScale>
    </cfRule>
  </conditionalFormatting>
  <conditionalFormatting sqref="N83:N92">
    <cfRule type="colorScale" priority="51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N99:N108">
    <cfRule type="colorScale" priority="52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N99:N108">
    <cfRule type="colorScale" priority="53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conditionalFormatting sqref="O83:O92">
    <cfRule type="colorScale" priority="54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2A6099"/>
    <pageSetUpPr fitToPage="false"/>
  </sheetPr>
  <dimension ref="A1:AQ144"/>
  <sheetViews>
    <sheetView showFormulas="false" showGridLines="true" showRowColHeaders="true" showZeros="true" rightToLeft="false" tabSelected="false" showOutlineSymbols="true" defaultGridColor="true" view="normal" topLeftCell="A19" colorId="64" zoomScale="55" zoomScaleNormal="55" zoomScalePageLayoutView="100" workbookViewId="0">
      <selection pane="topLeft" activeCell="B34" activeCellId="0" sqref="B34"/>
    </sheetView>
  </sheetViews>
  <sheetFormatPr defaultColWidth="11.53515625" defaultRowHeight="12.8" zeroHeight="false" outlineLevelRow="0" outlineLevelCol="0"/>
  <cols>
    <col collapsed="false" customWidth="true" hidden="false" outlineLevel="0" max="2" min="2" style="38" width="14.06"/>
    <col collapsed="false" customWidth="true" hidden="false" outlineLevel="0" max="3" min="3" style="39" width="14.06"/>
    <col collapsed="false" customWidth="true" hidden="false" outlineLevel="0" max="4" min="4" style="1" width="14.06"/>
    <col collapsed="false" customWidth="true" hidden="false" outlineLevel="0" max="5" min="5" style="40" width="14.06"/>
    <col collapsed="false" customWidth="true" hidden="false" outlineLevel="0" max="6" min="6" style="1" width="14.06"/>
    <col collapsed="false" customWidth="true" hidden="false" outlineLevel="0" max="7" min="7" style="40" width="14.06"/>
    <col collapsed="false" customWidth="true" hidden="false" outlineLevel="0" max="8" min="8" style="1" width="14.06"/>
    <col collapsed="false" customWidth="true" hidden="false" outlineLevel="0" max="9" min="9" style="41" width="14.06"/>
    <col collapsed="false" customWidth="true" hidden="false" outlineLevel="0" max="10" min="10" style="21" width="14.06"/>
    <col collapsed="false" customWidth="true" hidden="false" outlineLevel="0" max="11" min="11" style="22" width="14.06"/>
    <col collapsed="false" customWidth="true" hidden="false" outlineLevel="0" max="12" min="12" style="1" width="14.06"/>
    <col collapsed="false" customWidth="true" hidden="false" outlineLevel="0" max="14" min="13" style="40" width="14.06"/>
    <col collapsed="false" customWidth="true" hidden="false" outlineLevel="0" max="15" min="15" style="1" width="14.06"/>
    <col collapsed="false" customWidth="true" hidden="false" outlineLevel="0" max="16" min="16" style="42" width="14.06"/>
    <col collapsed="false" customWidth="true" hidden="false" outlineLevel="0" max="17" min="17" style="21" width="14.06"/>
    <col collapsed="false" customWidth="true" hidden="false" outlineLevel="0" max="18" min="18" style="1" width="14.06"/>
    <col collapsed="false" customWidth="true" hidden="false" outlineLevel="0" max="19" min="19" style="40" width="14.06"/>
    <col collapsed="false" customWidth="true" hidden="false" outlineLevel="0" max="21" min="20" style="1" width="14.06"/>
    <col collapsed="false" customWidth="true" hidden="false" outlineLevel="0" max="23" min="22" style="40" width="14.06"/>
    <col collapsed="false" customWidth="true" hidden="false" outlineLevel="0" max="24" min="24" style="41" width="14.06"/>
    <col collapsed="false" customWidth="true" hidden="false" outlineLevel="0" max="25" min="25" style="21" width="14.06"/>
    <col collapsed="false" customWidth="true" hidden="false" outlineLevel="0" max="26" min="26" style="1" width="14.06"/>
    <col collapsed="false" customWidth="true" hidden="false" outlineLevel="0" max="27" min="27" style="40" width="14.06"/>
    <col collapsed="false" customWidth="true" hidden="false" outlineLevel="0" max="28" min="28" style="1" width="14.06"/>
    <col collapsed="false" customWidth="true" hidden="false" outlineLevel="0" max="29" min="29" style="42" width="14.06"/>
    <col collapsed="false" customWidth="true" hidden="false" outlineLevel="0" max="30" min="30" style="21" width="14.06"/>
    <col collapsed="false" customWidth="true" hidden="false" outlineLevel="0" max="31" min="31" style="1" width="14.06"/>
    <col collapsed="false" customWidth="true" hidden="false" outlineLevel="0" max="32" min="32" style="40" width="14.06"/>
    <col collapsed="false" customWidth="true" hidden="false" outlineLevel="0" max="34" min="33" style="1" width="14.06"/>
    <col collapsed="false" customWidth="true" hidden="false" outlineLevel="0" max="35" min="35" style="41" width="14.06"/>
    <col collapsed="false" customWidth="true" hidden="false" outlineLevel="0" max="36" min="36" style="21" width="14.06"/>
    <col collapsed="false" customWidth="true" hidden="false" outlineLevel="0" max="37" min="37" style="1" width="14.06"/>
    <col collapsed="false" customWidth="true" hidden="false" outlineLevel="0" max="38" min="38" style="40" width="14.06"/>
    <col collapsed="false" customWidth="true" hidden="false" outlineLevel="0" max="39" min="39" style="1" width="14.06"/>
    <col collapsed="false" customWidth="true" hidden="false" outlineLevel="0" max="40" min="40" style="42" width="14.06"/>
    <col collapsed="false" customWidth="true" hidden="false" outlineLevel="0" max="41" min="41" style="21" width="14.06"/>
    <col collapsed="false" customWidth="true" hidden="false" outlineLevel="0" max="42" min="42" style="1" width="14.06"/>
    <col collapsed="false" customWidth="true" hidden="false" outlineLevel="0" max="43" min="43" style="40" width="14.06"/>
  </cols>
  <sheetData>
    <row r="1" customFormat="false" ht="12.8" hidden="false" customHeight="false" outlineLevel="0" collapsed="false">
      <c r="A1" s="180" t="s">
        <v>209</v>
      </c>
      <c r="B1" s="203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24" t="s">
        <v>79</v>
      </c>
    </row>
    <row r="3" customFormat="false" ht="12.8" hidden="false" customHeight="false" outlineLevel="0" collapsed="false">
      <c r="A3" s="139" t="s">
        <v>228</v>
      </c>
      <c r="B3" s="39" t="n">
        <v>8661.64</v>
      </c>
      <c r="C3" s="39" t="n">
        <v>8365.24</v>
      </c>
      <c r="D3" s="1" t="n">
        <v>8480.61</v>
      </c>
      <c r="E3" s="40" t="n">
        <v>8213.86</v>
      </c>
      <c r="F3" s="1" t="n">
        <v>7704.56</v>
      </c>
      <c r="G3" s="40" t="n">
        <v>7187.14</v>
      </c>
      <c r="H3" s="1" t="n">
        <v>7067.13</v>
      </c>
      <c r="I3" s="41" t="n">
        <v>6697.75</v>
      </c>
      <c r="J3" s="21" t="n">
        <v>6116.23</v>
      </c>
      <c r="K3" s="22" t="n">
        <v>5961.4</v>
      </c>
      <c r="L3" s="1" t="n">
        <v>5803.06</v>
      </c>
      <c r="M3" s="40" t="n">
        <v>5794.16</v>
      </c>
      <c r="N3" s="40" t="n">
        <v>5765.8</v>
      </c>
      <c r="O3" s="1" t="n">
        <v>5713.34</v>
      </c>
      <c r="P3" s="42" t="n">
        <v>5843.35</v>
      </c>
      <c r="Q3" s="21" t="n">
        <v>5652.33</v>
      </c>
      <c r="R3" s="1" t="n">
        <v>5586.34</v>
      </c>
      <c r="S3" s="40" t="n">
        <v>5757.08</v>
      </c>
      <c r="T3" s="1" t="n">
        <v>5787.23</v>
      </c>
      <c r="U3" s="1" t="n">
        <v>6097.34</v>
      </c>
      <c r="V3" s="40" t="n">
        <v>5869.12</v>
      </c>
      <c r="W3" s="40" t="n">
        <v>5627.16</v>
      </c>
      <c r="X3" s="41" t="n">
        <v>6160.18</v>
      </c>
      <c r="Y3" s="21" t="n">
        <v>6153.48</v>
      </c>
      <c r="Z3" s="1" t="n">
        <v>5697.25</v>
      </c>
      <c r="AA3" s="40" t="n">
        <v>5885.39</v>
      </c>
      <c r="AB3" s="1" t="n">
        <v>5281.14</v>
      </c>
      <c r="AC3" s="42" t="n">
        <v>4845.05</v>
      </c>
      <c r="AD3" s="21" t="n">
        <v>4704.85</v>
      </c>
      <c r="AE3" s="1" t="n">
        <v>4485.18</v>
      </c>
      <c r="AF3" s="40" t="n">
        <v>4495.26</v>
      </c>
      <c r="AG3" s="1" t="n">
        <v>4116.66</v>
      </c>
      <c r="AH3" s="1" t="n">
        <v>3623.23</v>
      </c>
      <c r="AI3" s="41" t="n">
        <v>4997.82</v>
      </c>
      <c r="AJ3" s="21" t="n">
        <v>4648.89</v>
      </c>
      <c r="AK3" s="1" t="n">
        <v>4328.09</v>
      </c>
      <c r="AL3" s="40" t="n">
        <v>4084.65</v>
      </c>
      <c r="AM3" s="1" t="n">
        <v>3821.61</v>
      </c>
      <c r="AN3" s="42" t="n">
        <v>3664.66</v>
      </c>
      <c r="AO3" s="21" t="n">
        <v>3469.03</v>
      </c>
      <c r="AP3" s="1" t="n">
        <v>3530.08</v>
      </c>
      <c r="AQ3" s="40" t="n">
        <v>3424.26</v>
      </c>
    </row>
    <row r="4" customFormat="false" ht="12.8" hidden="false" customHeight="false" outlineLevel="0" collapsed="false">
      <c r="A4" s="139" t="s">
        <v>87</v>
      </c>
      <c r="B4" s="193" t="n">
        <f aca="false">B3/$AQ3*1000</f>
        <v>2529.4925034898</v>
      </c>
      <c r="C4" s="193" t="n">
        <f aca="false">C3/$AQ3*1000</f>
        <v>2442.93365573876</v>
      </c>
      <c r="D4" s="194" t="n">
        <f aca="false">D3/$AQ3*1000</f>
        <v>2476.62560670043</v>
      </c>
      <c r="E4" s="195" t="n">
        <f aca="false">E3/$AQ3*1000</f>
        <v>2398.72556406348</v>
      </c>
      <c r="F4" s="194" t="n">
        <f aca="false">F3/$AQ3*1000</f>
        <v>2249.99269915252</v>
      </c>
      <c r="G4" s="195" t="n">
        <f aca="false">G3/$AQ3*1000</f>
        <v>2098.88851897928</v>
      </c>
      <c r="H4" s="194" t="n">
        <f aca="false">H3/$AQ3*1000</f>
        <v>2063.84153072489</v>
      </c>
      <c r="I4" s="196" t="n">
        <f aca="false">I3/$AQ3*1000</f>
        <v>1955.97004900329</v>
      </c>
      <c r="J4" s="197" t="n">
        <f aca="false">J3/$AQ3*1000</f>
        <v>1786.14649588524</v>
      </c>
      <c r="K4" s="194" t="n">
        <f aca="false">K3/$AQ3*1000</f>
        <v>1740.93088725739</v>
      </c>
      <c r="L4" s="194" t="n">
        <f aca="false">L3/$AQ3*1000</f>
        <v>1694.69023964302</v>
      </c>
      <c r="M4" s="195" t="n">
        <f aca="false">M3/$AQ3*1000</f>
        <v>1692.09113793929</v>
      </c>
      <c r="N4" s="195" t="n">
        <f aca="false">N3/$AQ3*1000</f>
        <v>1683.80905655528</v>
      </c>
      <c r="O4" s="194" t="n">
        <f aca="false">O3/$AQ3*1000</f>
        <v>1668.48895819827</v>
      </c>
      <c r="P4" s="198" t="n">
        <f aca="false">P3/$AQ3*1000</f>
        <v>1706.45628544561</v>
      </c>
      <c r="Q4" s="197" t="n">
        <f aca="false">Q3/$AQ3*1000</f>
        <v>1650.67197000228</v>
      </c>
      <c r="R4" s="194" t="n">
        <f aca="false">R3/$AQ3*1000</f>
        <v>1631.4006529878</v>
      </c>
      <c r="S4" s="195" t="n">
        <f aca="false">S3/$AQ3*1000</f>
        <v>1681.26252095343</v>
      </c>
      <c r="T4" s="194" t="n">
        <f aca="false">T3/$AQ3*1000</f>
        <v>1690.06734301718</v>
      </c>
      <c r="U4" s="194" t="n">
        <f aca="false">U3/$AQ3*1000</f>
        <v>1780.62997552756</v>
      </c>
      <c r="V4" s="195" t="n">
        <f aca="false">V3/$AQ3*1000</f>
        <v>1713.98199903045</v>
      </c>
      <c r="W4" s="195" t="n">
        <f aca="false">W3/$AQ3*1000</f>
        <v>1643.32147675702</v>
      </c>
      <c r="X4" s="196" t="n">
        <f aca="false">X3/$AQ3*1000</f>
        <v>1798.98138575926</v>
      </c>
      <c r="Y4" s="197" t="n">
        <f aca="false">Y3/$AQ3*1000</f>
        <v>1797.02475863398</v>
      </c>
      <c r="Z4" s="194" t="n">
        <f aca="false">Z3/$AQ3*1000</f>
        <v>1663.79013275861</v>
      </c>
      <c r="AA4" s="195" t="n">
        <f aca="false">AA3/$AQ3*1000</f>
        <v>1718.73339057198</v>
      </c>
      <c r="AB4" s="194" t="n">
        <f aca="false">AB3/$AQ3*1000</f>
        <v>1542.27190692296</v>
      </c>
      <c r="AC4" s="198" t="n">
        <f aca="false">AC3/$AQ3*1000</f>
        <v>1414.91884377939</v>
      </c>
      <c r="AD4" s="197" t="n">
        <f aca="false">AD3/$AQ3*1000</f>
        <v>1373.97569109822</v>
      </c>
      <c r="AE4" s="194" t="n">
        <f aca="false">AE3/$AQ3*1000</f>
        <v>1309.82460444008</v>
      </c>
      <c r="AF4" s="195" t="n">
        <f aca="false">AF3/$AQ3*1000</f>
        <v>1312.76830614498</v>
      </c>
      <c r="AG4" s="194" t="n">
        <f aca="false">AG3/$AQ3*1000</f>
        <v>1202.20427187188</v>
      </c>
      <c r="AH4" s="194" t="n">
        <f aca="false">AH3/$AQ3*1000</f>
        <v>1058.10598494273</v>
      </c>
      <c r="AI4" s="196" t="n">
        <f aca="false">AI3/$AQ3*1000</f>
        <v>1459.53286257469</v>
      </c>
      <c r="AJ4" s="197" t="n">
        <f aca="false">AJ3/$AQ3*1000</f>
        <v>1357.63347409367</v>
      </c>
      <c r="AK4" s="194" t="n">
        <f aca="false">AK3/$AQ3*1000</f>
        <v>1263.94899919983</v>
      </c>
      <c r="AL4" s="195" t="n">
        <f aca="false">AL3/$AQ3*1000</f>
        <v>1192.85626675545</v>
      </c>
      <c r="AM4" s="194" t="n">
        <f aca="false">AM3/$AQ3*1000</f>
        <v>1116.03966988488</v>
      </c>
      <c r="AN4" s="198" t="n">
        <f aca="false">AN3/$AQ3*1000</f>
        <v>1070.20494939053</v>
      </c>
      <c r="AO4" s="197" t="n">
        <f aca="false">AO3/$AQ3*1000</f>
        <v>1013.07435767144</v>
      </c>
      <c r="AP4" s="194" t="n">
        <f aca="false">AP3/$AQ3*1000</f>
        <v>1030.9030272234</v>
      </c>
      <c r="AQ4" s="40" t="n">
        <v>1000</v>
      </c>
    </row>
    <row r="5" customFormat="false" ht="12.8" hidden="false" customHeight="false" outlineLevel="0" collapsed="false">
      <c r="A5" s="139" t="s">
        <v>88</v>
      </c>
      <c r="B5" s="193" t="n">
        <f aca="false">B7/$AQ7*1000</f>
        <v>2214.42983885284</v>
      </c>
      <c r="C5" s="193" t="n">
        <f aca="false">C7/$AQ7*1000</f>
        <v>2156.37161809879</v>
      </c>
      <c r="D5" s="194" t="n">
        <f aca="false">D7/$AQ7*1000</f>
        <v>2210.97030487505</v>
      </c>
      <c r="E5" s="195" t="n">
        <f aca="false">E7/$AQ7*1000</f>
        <v>2128.96623925787</v>
      </c>
      <c r="F5" s="194" t="n">
        <f aca="false">F7/$AQ7*1000</f>
        <v>2026.11739337336</v>
      </c>
      <c r="G5" s="195" t="n">
        <f aca="false">G7/$AQ7*1000</f>
        <v>1876.60777095871</v>
      </c>
      <c r="H5" s="194" t="n">
        <f aca="false">H7/$AQ7*1000</f>
        <v>1891.95422409844</v>
      </c>
      <c r="I5" s="196" t="n">
        <f aca="false">I7/$AQ7*1000</f>
        <v>1785.10839455523</v>
      </c>
      <c r="J5" s="197" t="n">
        <f aca="false">J7/$AQ7*1000</f>
        <v>1584.17134526131</v>
      </c>
      <c r="K5" s="194" t="n">
        <f aca="false">K7/$AQ7*1000</f>
        <v>1590.61257940341</v>
      </c>
      <c r="L5" s="194" t="n">
        <f aca="false">L7/$AQ7*1000</f>
        <v>1548.88334963042</v>
      </c>
      <c r="M5" s="195" t="n">
        <f aca="false">M7/$AQ7*1000</f>
        <v>1547.62460160966</v>
      </c>
      <c r="N5" s="195" t="n">
        <f aca="false">N7/$AQ7*1000</f>
        <v>1538.34889527357</v>
      </c>
      <c r="O5" s="194" t="n">
        <f aca="false">O7/$AQ7*1000</f>
        <v>1512.66186009343</v>
      </c>
      <c r="P5" s="198" t="n">
        <f aca="false">P7/$AQ7*1000</f>
        <v>1511.7682319447</v>
      </c>
      <c r="Q5" s="197" t="n">
        <f aca="false">Q7/$AQ7*1000</f>
        <v>1446.98670559127</v>
      </c>
      <c r="R5" s="194" t="n">
        <f aca="false">R7/$AQ7*1000</f>
        <v>1380.45750697928</v>
      </c>
      <c r="S5" s="195" t="n">
        <f aca="false">S7/$AQ7*1000</f>
        <v>1454.99671254743</v>
      </c>
      <c r="T5" s="194" t="n">
        <f aca="false">T7/$AQ7*1000</f>
        <v>1457.22441107701</v>
      </c>
      <c r="U5" s="194" t="n">
        <f aca="false">U7/$AQ7*1000</f>
        <v>1523.59519925498</v>
      </c>
      <c r="V5" s="195" t="n">
        <f aca="false">V7/$AQ7*1000</f>
        <v>1487.84295257145</v>
      </c>
      <c r="W5" s="195" t="n">
        <f aca="false">W7/$AQ7*1000</f>
        <v>1416.3439540968</v>
      </c>
      <c r="X5" s="196" t="n">
        <f aca="false">X7/$AQ7*1000</f>
        <v>1529.679945864</v>
      </c>
      <c r="Y5" s="197" t="n">
        <f aca="false">Y7/$AQ7*1000</f>
        <v>1465.62780445024</v>
      </c>
      <c r="Z5" s="194" t="n">
        <f aca="false">Z7/$AQ7*1000</f>
        <v>1363.34540926402</v>
      </c>
      <c r="AA5" s="195" t="n">
        <f aca="false">AA7/$AQ7*1000</f>
        <v>1427.65315560343</v>
      </c>
      <c r="AB5" s="194" t="n">
        <f aca="false">AB7/$AQ7*1000</f>
        <v>1282.0268233471</v>
      </c>
      <c r="AC5" s="198" t="n">
        <f aca="false">AC7/$AQ7*1000</f>
        <v>1201.518748361</v>
      </c>
      <c r="AD5" s="197" t="n">
        <f aca="false">AD7/$AQ7*1000</f>
        <v>1141.3176727959</v>
      </c>
      <c r="AE5" s="194" t="n">
        <f aca="false">AE7/$AQ7*1000</f>
        <v>1132.56355189635</v>
      </c>
      <c r="AF5" s="195" t="n">
        <f aca="false">AF7/$AQ7*1000</f>
        <v>1149.67316794031</v>
      </c>
      <c r="AG5" s="194" t="n">
        <f aca="false">AG7/$AQ7*1000</f>
        <v>1080.96058493448</v>
      </c>
      <c r="AH5" s="194" t="n">
        <f aca="false">AH7/$AQ7*1000</f>
        <v>932.761442173415</v>
      </c>
      <c r="AI5" s="196" t="n">
        <f aca="false">AI7/$AQ7*1000</f>
        <v>1171.3846495668</v>
      </c>
      <c r="AJ5" s="197" t="n">
        <f aca="false">AJ7/$AQ7*1000</f>
        <v>1125.35223713314</v>
      </c>
      <c r="AK5" s="194" t="n">
        <f aca="false">AK7/$AQ7*1000</f>
        <v>1088.23164608957</v>
      </c>
      <c r="AL5" s="195" t="n">
        <f aca="false">AL7/$AQ7*1000</f>
        <v>1054.6551341765</v>
      </c>
      <c r="AM5" s="194" t="n">
        <f aca="false">AM7/$AQ7*1000</f>
        <v>999.647773779699</v>
      </c>
      <c r="AN5" s="198" t="n">
        <f aca="false">AN7/$AQ7*1000</f>
        <v>1030.59024208396</v>
      </c>
      <c r="AO5" s="197" t="n">
        <f aca="false">AO7/$AQ7*1000</f>
        <v>1024.21623283919</v>
      </c>
      <c r="AP5" s="194" t="n">
        <f aca="false">AP7/$AQ7*1000</f>
        <v>1009.53421052524</v>
      </c>
      <c r="AQ5" s="40" t="n">
        <v>1000</v>
      </c>
    </row>
    <row r="6" customFormat="false" ht="12.8" hidden="false" customHeight="false" outlineLevel="0" collapsed="false">
      <c r="A6" s="1"/>
    </row>
    <row r="7" s="22" customFormat="true" ht="12.8" hidden="false" customHeight="false" outlineLevel="0" collapsed="false">
      <c r="A7" s="222" t="s">
        <v>202</v>
      </c>
      <c r="B7" s="223" t="n">
        <f aca="false">SUMPRODUCT(B9:B18,B22:B31)</f>
        <v>611394084.955638</v>
      </c>
      <c r="C7" s="223" t="n">
        <f aca="false">SUMPRODUCT(C9:C18,C22:C31)</f>
        <v>595364472.217732</v>
      </c>
      <c r="D7" s="224" t="n">
        <f aca="false">SUMPRODUCT(D9:D18,D22:D31)</f>
        <v>610438923.236983</v>
      </c>
      <c r="E7" s="223" t="n">
        <f aca="false">SUMPRODUCT(E9:E18,E22:E31)</f>
        <v>587797970.798123</v>
      </c>
      <c r="F7" s="224" t="n">
        <f aca="false">SUMPRODUCT(F9:F18,F22:F31)</f>
        <v>559401868.598344</v>
      </c>
      <c r="G7" s="223" t="n">
        <f aca="false">SUMPRODUCT(G9:G18,G22:G31)</f>
        <v>518122936.575092</v>
      </c>
      <c r="H7" s="224" t="n">
        <f aca="false">SUMPRODUCT(H9:H18,H22:H31)</f>
        <v>522360023.029608</v>
      </c>
      <c r="I7" s="225" t="n">
        <f aca="false">SUMPRODUCT(I9:I18,I22:I31)</f>
        <v>492860371.679743</v>
      </c>
      <c r="J7" s="226" t="n">
        <f aca="false">SUMPRODUCT(J9:J18,J22:J31)</f>
        <v>437382559.183147</v>
      </c>
      <c r="K7" s="224" t="n">
        <f aca="false">SUMPRODUCT(K9:K18,K22:K31)</f>
        <v>439160954.860988</v>
      </c>
      <c r="L7" s="224" t="n">
        <f aca="false">SUMPRODUCT(L9:L18,L22:L31)</f>
        <v>427639702.84147</v>
      </c>
      <c r="M7" s="223" t="n">
        <f aca="false">SUMPRODUCT(M9:M18,M22:M31)</f>
        <v>427292168.193572</v>
      </c>
      <c r="N7" s="223" t="n">
        <f aca="false">SUMPRODUCT(N9:N18,N22:N31)</f>
        <v>424731187.534728</v>
      </c>
      <c r="O7" s="224" t="n">
        <f aca="false">SUMPRODUCT(O9:O18,O22:O31)</f>
        <v>417639113.045106</v>
      </c>
      <c r="P7" s="227" t="n">
        <f aca="false">SUMPRODUCT(P9:P18,P22:P31)</f>
        <v>417392386.346116</v>
      </c>
      <c r="Q7" s="226" t="n">
        <f aca="false">SUMPRODUCT(Q9:Q18,Q22:Q31)</f>
        <v>399506499.273983</v>
      </c>
      <c r="R7" s="224" t="n">
        <f aca="false">SUMPRODUCT(R9:R18,R22:R31)</f>
        <v>381138087.778371</v>
      </c>
      <c r="S7" s="223" t="n">
        <f aca="false">SUMPRODUCT(S9:S18,S22:S31)</f>
        <v>401718026.046034</v>
      </c>
      <c r="T7" s="224" t="n">
        <f aca="false">SUMPRODUCT(T9:T18,T22:T31)</f>
        <v>402333083.556617</v>
      </c>
      <c r="U7" s="224" t="n">
        <f aca="false">SUMPRODUCT(U9:U18,U22:U31)</f>
        <v>420657758.646292</v>
      </c>
      <c r="V7" s="223" t="n">
        <f aca="false">SUMPRODUCT(V9:V18,V22:V31)</f>
        <v>410786724.684108</v>
      </c>
      <c r="W7" s="223" t="n">
        <f aca="false">SUMPRODUCT(W9:W18,W22:W31)</f>
        <v>391046173.874742</v>
      </c>
      <c r="X7" s="225" t="n">
        <f aca="false">SUMPRODUCT(X9:X18,X22:X31)</f>
        <v>422337729.725048</v>
      </c>
      <c r="Y7" s="226" t="n">
        <f aca="false">SUMPRODUCT(Y9:Y18,Y22:Y31)</f>
        <v>404653222.543098</v>
      </c>
      <c r="Z7" s="224" t="n">
        <f aca="false">SUMPRODUCT(Z9:Z18,Z22:Z31)</f>
        <v>376413514.824771</v>
      </c>
      <c r="AA7" s="223" t="n">
        <f aca="false">SUMPRODUCT(AA9:AA18,AA22:AA31)</f>
        <v>394168593.373166</v>
      </c>
      <c r="AB7" s="224" t="n">
        <f aca="false">SUMPRODUCT(AB9:AB18,AB22:AB31)</f>
        <v>353961820.237634</v>
      </c>
      <c r="AC7" s="227" t="n">
        <f aca="false">SUMPRODUCT(AC9:AC18,AC22:AC31)</f>
        <v>331733904.060728</v>
      </c>
      <c r="AD7" s="226" t="n">
        <f aca="false">SUMPRODUCT(AD9:AD18,AD22:AD31)</f>
        <v>315112658.780028</v>
      </c>
      <c r="AE7" s="224" t="n">
        <f aca="false">SUMPRODUCT(AE9:AE18,AE22:AE31)</f>
        <v>312695685.506337</v>
      </c>
      <c r="AF7" s="223" t="n">
        <f aca="false">SUMPRODUCT(AF9:AF18,AF22:AF31)</f>
        <v>317419573.281693</v>
      </c>
      <c r="AG7" s="224" t="n">
        <f aca="false">SUMPRODUCT(AG9:AG18,AG22:AG31)</f>
        <v>298448339.208388</v>
      </c>
      <c r="AH7" s="224" t="n">
        <f aca="false">SUMPRODUCT(AH9:AH18,AH22:AH31)</f>
        <v>257531224.703397</v>
      </c>
      <c r="AI7" s="225" t="n">
        <f aca="false">SUMPRODUCT(AI9:AI18,AI22:AI31)</f>
        <v>323414015.37652</v>
      </c>
      <c r="AJ7" s="226" t="n">
        <f aca="false">SUMPRODUCT(AJ9:AJ18,AJ22:AJ31)</f>
        <v>310704674.044326</v>
      </c>
      <c r="AK7" s="224" t="n">
        <f aca="false">SUMPRODUCT(AK9:AK18,AK22:AK31)</f>
        <v>300455846.379569</v>
      </c>
      <c r="AL7" s="223" t="n">
        <f aca="false">SUMPRODUCT(AL9:AL18,AL22:AL31)</f>
        <v>291185522.968588</v>
      </c>
      <c r="AM7" s="224" t="n">
        <f aca="false">SUMPRODUCT(AM9:AM18,AM22:AM31)</f>
        <v>275998239.007019</v>
      </c>
      <c r="AN7" s="227" t="n">
        <f aca="false">SUMPRODUCT(AN9:AN18,AN22:AN31)</f>
        <v>284541314.864844</v>
      </c>
      <c r="AO7" s="226" t="n">
        <f aca="false">SUMPRODUCT(AO9:AO18,AO22:AO31)</f>
        <v>282781479.677778</v>
      </c>
      <c r="AP7" s="224" t="n">
        <f aca="false">SUMPRODUCT(AP9:AP18,AP22:AP31)</f>
        <v>278727839.575733</v>
      </c>
      <c r="AQ7" s="223" t="n">
        <f aca="false">SUMPRODUCT(AQ9:AQ18,AQ22:AQ31)</f>
        <v>276095487.076874</v>
      </c>
    </row>
    <row r="8" s="22" customFormat="true" ht="12.8" hidden="false" customHeight="false" outlineLevel="0" collapsed="false">
      <c r="A8" s="222"/>
      <c r="B8" s="223"/>
      <c r="C8" s="223"/>
      <c r="D8" s="224"/>
      <c r="E8" s="223"/>
      <c r="F8" s="224"/>
      <c r="G8" s="223"/>
      <c r="H8" s="224"/>
      <c r="I8" s="225"/>
      <c r="J8" s="226"/>
      <c r="K8" s="224"/>
      <c r="L8" s="224"/>
      <c r="M8" s="223"/>
      <c r="N8" s="223"/>
      <c r="O8" s="224"/>
      <c r="P8" s="227"/>
      <c r="Q8" s="226"/>
      <c r="R8" s="224"/>
      <c r="S8" s="223"/>
      <c r="T8" s="224"/>
      <c r="U8" s="224"/>
      <c r="V8" s="223"/>
      <c r="W8" s="223"/>
      <c r="X8" s="225"/>
      <c r="Y8" s="226"/>
      <c r="Z8" s="224"/>
      <c r="AA8" s="223"/>
      <c r="AB8" s="224"/>
      <c r="AC8" s="227"/>
      <c r="AD8" s="226"/>
      <c r="AE8" s="224"/>
      <c r="AF8" s="223"/>
      <c r="AG8" s="224"/>
      <c r="AH8" s="224"/>
      <c r="AI8" s="225"/>
      <c r="AJ8" s="226"/>
      <c r="AK8" s="224"/>
      <c r="AL8" s="223"/>
      <c r="AM8" s="224"/>
      <c r="AN8" s="227"/>
      <c r="AO8" s="226"/>
      <c r="AP8" s="224"/>
      <c r="AQ8" s="223"/>
    </row>
    <row r="9" customFormat="false" ht="12.8" hidden="false" customHeight="false" outlineLevel="0" collapsed="false">
      <c r="A9" s="139" t="s">
        <v>24</v>
      </c>
      <c r="B9" s="25" t="n">
        <v>889062183.8</v>
      </c>
      <c r="C9" s="25" t="n">
        <v>869378456.52</v>
      </c>
      <c r="D9" s="32" t="n">
        <v>899672259.78</v>
      </c>
      <c r="E9" s="20" t="n">
        <v>869685667.34</v>
      </c>
      <c r="F9" s="32" t="n">
        <v>804146000.28</v>
      </c>
      <c r="G9" s="20" t="n">
        <v>667246707.26</v>
      </c>
      <c r="H9" s="32" t="n">
        <v>665115131.1</v>
      </c>
      <c r="I9" s="26" t="n">
        <v>619203604.32</v>
      </c>
      <c r="J9" s="33" t="n">
        <v>527217866.14</v>
      </c>
      <c r="K9" s="168" t="n">
        <v>481133649.08</v>
      </c>
      <c r="L9" s="32" t="n">
        <v>462882584.08</v>
      </c>
      <c r="M9" s="20" t="n">
        <v>461004114.06</v>
      </c>
      <c r="N9" s="20" t="n">
        <v>456267360.5</v>
      </c>
      <c r="O9" s="32" t="n">
        <v>433578600</v>
      </c>
      <c r="P9" s="167" t="n">
        <v>459315010.42</v>
      </c>
      <c r="Q9" s="33" t="n">
        <v>432772959.08</v>
      </c>
      <c r="R9" s="32" t="n">
        <v>410855375.56</v>
      </c>
      <c r="S9" s="20" t="n">
        <v>422381525.3</v>
      </c>
      <c r="T9" s="32" t="n">
        <v>431806486.44</v>
      </c>
      <c r="U9" s="32" t="n">
        <v>467236899.08</v>
      </c>
      <c r="V9" s="20" t="n">
        <v>450212083.3</v>
      </c>
      <c r="W9" s="20" t="n">
        <v>414399232.1</v>
      </c>
      <c r="X9" s="26" t="n">
        <v>460399698.08</v>
      </c>
      <c r="Y9" s="33" t="n">
        <v>434539513.94</v>
      </c>
      <c r="Z9" s="32" t="n">
        <v>379379792.68</v>
      </c>
      <c r="AA9" s="20" t="n">
        <v>394664364.78</v>
      </c>
      <c r="AB9" s="32" t="n">
        <v>326064077.5</v>
      </c>
      <c r="AC9" s="167" t="n">
        <v>295535697.1</v>
      </c>
      <c r="AD9" s="33" t="n">
        <v>270510429.7</v>
      </c>
      <c r="AE9" s="32" t="n">
        <v>256123031.78</v>
      </c>
      <c r="AF9" s="20" t="n">
        <v>262117533.86</v>
      </c>
      <c r="AG9" s="32" t="n">
        <v>214980128.44</v>
      </c>
      <c r="AH9" s="32" t="n">
        <v>223353383.54</v>
      </c>
      <c r="AI9" s="26" t="n">
        <v>293175102.5</v>
      </c>
      <c r="AJ9" s="33" t="n">
        <v>246361584</v>
      </c>
      <c r="AK9" s="32" t="n">
        <v>209372882.46</v>
      </c>
      <c r="AL9" s="20" t="n">
        <v>204101381.96</v>
      </c>
      <c r="AM9" s="32" t="n">
        <v>197031827.3</v>
      </c>
      <c r="AN9" s="167" t="n">
        <v>209362506.22</v>
      </c>
      <c r="AO9" s="33" t="n">
        <v>187157723.2</v>
      </c>
      <c r="AP9" s="32" t="n">
        <v>194797600.48</v>
      </c>
      <c r="AQ9" s="20" t="n">
        <v>191033990</v>
      </c>
    </row>
    <row r="10" customFormat="false" ht="12.8" hidden="false" customHeight="false" outlineLevel="0" collapsed="false">
      <c r="A10" s="139" t="s">
        <v>180</v>
      </c>
      <c r="B10" s="25" t="n">
        <v>636821421.902439</v>
      </c>
      <c r="C10" s="25" t="n">
        <v>640997811.014634</v>
      </c>
      <c r="D10" s="32" t="n">
        <v>649833679.02439</v>
      </c>
      <c r="E10" s="20" t="n">
        <v>653121806.273171</v>
      </c>
      <c r="F10" s="32" t="n">
        <v>654773661.668293</v>
      </c>
      <c r="G10" s="20" t="n">
        <v>654508741.463415</v>
      </c>
      <c r="H10" s="32" t="n">
        <v>654508741.463415</v>
      </c>
      <c r="I10" s="26" t="n">
        <v>654508741.463415</v>
      </c>
      <c r="J10" s="33" t="n">
        <v>598096321.365854</v>
      </c>
      <c r="K10" s="168" t="n">
        <v>640483554.146341</v>
      </c>
      <c r="L10" s="32" t="n">
        <v>623341658.536585</v>
      </c>
      <c r="M10" s="20" t="n">
        <v>623341658.536585</v>
      </c>
      <c r="N10" s="20" t="n">
        <v>621783304.390244</v>
      </c>
      <c r="O10" s="32" t="n">
        <v>626364865.580488</v>
      </c>
      <c r="P10" s="167" t="n">
        <v>599966346.341463</v>
      </c>
      <c r="Q10" s="33" t="n">
        <v>568799263.414634</v>
      </c>
      <c r="R10" s="32" t="n">
        <v>545423951.219512</v>
      </c>
      <c r="S10" s="20" t="n">
        <v>574097667.512195</v>
      </c>
      <c r="T10" s="32" t="n">
        <v>579318153.902439</v>
      </c>
      <c r="U10" s="32" t="n">
        <v>561007492.682927</v>
      </c>
      <c r="V10" s="20" t="n">
        <v>559449138.536585</v>
      </c>
      <c r="W10" s="20" t="n">
        <v>545688871.42439</v>
      </c>
      <c r="X10" s="26" t="n">
        <v>568799263.414634</v>
      </c>
      <c r="Y10" s="33" t="n">
        <v>537632180.487805</v>
      </c>
      <c r="Z10" s="32" t="n">
        <v>522858983.180488</v>
      </c>
      <c r="AA10" s="20" t="n">
        <v>552233958.839024</v>
      </c>
      <c r="AB10" s="32" t="n">
        <v>536073826.341463</v>
      </c>
      <c r="AC10" s="167" t="n">
        <v>508397456.702439</v>
      </c>
      <c r="AD10" s="33" t="n">
        <v>489323201.95122</v>
      </c>
      <c r="AE10" s="32" t="n">
        <v>495556618.536585</v>
      </c>
      <c r="AF10" s="20" t="n">
        <v>497348725.804878</v>
      </c>
      <c r="AG10" s="32" t="n">
        <v>487593428.84878</v>
      </c>
      <c r="AH10" s="32" t="n">
        <v>418932345.160976</v>
      </c>
      <c r="AI10" s="26" t="n">
        <v>498673326.829268</v>
      </c>
      <c r="AJ10" s="33" t="n">
        <v>498673326.829268</v>
      </c>
      <c r="AK10" s="32" t="n">
        <v>481531431.219512</v>
      </c>
      <c r="AL10" s="20" t="n">
        <v>467506243.902439</v>
      </c>
      <c r="AM10" s="32" t="n">
        <v>458156119.02439</v>
      </c>
      <c r="AN10" s="167" t="n">
        <v>456410762.380488</v>
      </c>
      <c r="AO10" s="33" t="n">
        <v>453029133.882927</v>
      </c>
      <c r="AP10" s="32" t="n">
        <v>449709839.551219</v>
      </c>
      <c r="AQ10" s="20" t="n">
        <v>446811300.839024</v>
      </c>
    </row>
    <row r="11" customFormat="false" ht="12.8" hidden="false" customHeight="false" outlineLevel="0" collapsed="false">
      <c r="A11" s="139" t="s">
        <v>181</v>
      </c>
      <c r="B11" s="25" t="n">
        <v>626662189.932683</v>
      </c>
      <c r="C11" s="25" t="n">
        <v>599396396.661463</v>
      </c>
      <c r="D11" s="32" t="n">
        <v>614694781.682927</v>
      </c>
      <c r="E11" s="20" t="n">
        <v>573912882.881951</v>
      </c>
      <c r="F11" s="32" t="n">
        <v>540210941.463415</v>
      </c>
      <c r="G11" s="20" t="n">
        <v>528828321.973171</v>
      </c>
      <c r="H11" s="32" t="n">
        <v>552015036.585366</v>
      </c>
      <c r="I11" s="26" t="n">
        <v>465341037.897561</v>
      </c>
      <c r="J11" s="33" t="n">
        <v>410217580.138537</v>
      </c>
      <c r="K11" s="168" t="n">
        <v>399083957.619512</v>
      </c>
      <c r="L11" s="32" t="n">
        <v>391733894.766342</v>
      </c>
      <c r="M11" s="20" t="n">
        <v>393006931.707317</v>
      </c>
      <c r="N11" s="20" t="n">
        <v>388381948.366829</v>
      </c>
      <c r="O11" s="32" t="n">
        <v>362732899.512195</v>
      </c>
      <c r="P11" s="167" t="n">
        <v>369181823.856585</v>
      </c>
      <c r="Q11" s="33" t="n">
        <v>329125946.341463</v>
      </c>
      <c r="R11" s="32" t="n">
        <v>315363760.146341</v>
      </c>
      <c r="S11" s="20" t="n">
        <v>347500617.423415</v>
      </c>
      <c r="T11" s="32" t="n">
        <v>344401834.146341</v>
      </c>
      <c r="U11" s="32" t="n">
        <v>391618214.634146</v>
      </c>
      <c r="V11" s="20" t="n">
        <v>386025434.365366</v>
      </c>
      <c r="W11" s="20" t="n">
        <v>366418415.752683</v>
      </c>
      <c r="X11" s="26" t="n">
        <v>395784365.853659</v>
      </c>
      <c r="Y11" s="33" t="n">
        <v>405434283.051707</v>
      </c>
      <c r="Z11" s="32" t="n">
        <v>361080326.195122</v>
      </c>
      <c r="AA11" s="20" t="n">
        <v>374802100.723415</v>
      </c>
      <c r="AB11" s="32" t="n">
        <v>306780238.78878</v>
      </c>
      <c r="AC11" s="167" t="n">
        <v>257553412.594146</v>
      </c>
      <c r="AD11" s="33" t="n">
        <v>255662813.170732</v>
      </c>
      <c r="AE11" s="32" t="n">
        <v>244171179.390244</v>
      </c>
      <c r="AF11" s="20" t="n">
        <v>241328058.926341</v>
      </c>
      <c r="AG11" s="32" t="n">
        <v>222194731.707317</v>
      </c>
      <c r="AH11" s="32" t="n">
        <v>192726155.414634</v>
      </c>
      <c r="AI11" s="26" t="n">
        <v>258670635.479512</v>
      </c>
      <c r="AJ11" s="33" t="n">
        <v>238917246.087317</v>
      </c>
      <c r="AK11" s="32" t="n">
        <v>233998826.829268</v>
      </c>
      <c r="AL11" s="20" t="n">
        <v>235877205.542439</v>
      </c>
      <c r="AM11" s="32" t="n">
        <v>217804580.423902</v>
      </c>
      <c r="AN11" s="167" t="n">
        <v>212473712.195122</v>
      </c>
      <c r="AO11" s="33" t="n">
        <v>195809107.317073</v>
      </c>
      <c r="AP11" s="32" t="n">
        <v>198258804.234146</v>
      </c>
      <c r="AQ11" s="20" t="n">
        <v>194420390.243902</v>
      </c>
    </row>
    <row r="12" customFormat="false" ht="12.8" hidden="false" customHeight="false" outlineLevel="0" collapsed="false">
      <c r="A12" s="139" t="s">
        <v>30</v>
      </c>
      <c r="B12" s="25" t="n">
        <v>518290128.416098</v>
      </c>
      <c r="C12" s="25" t="n">
        <v>512282402.401626</v>
      </c>
      <c r="D12" s="32" t="n">
        <v>518986487.469106</v>
      </c>
      <c r="E12" s="20" t="n">
        <v>515020592.327642</v>
      </c>
      <c r="F12" s="32" t="n">
        <v>479189055.560976</v>
      </c>
      <c r="G12" s="20" t="n">
        <v>467290904.655935</v>
      </c>
      <c r="H12" s="32" t="n">
        <v>474678780.798862</v>
      </c>
      <c r="I12" s="26" t="n">
        <v>471234223.985854</v>
      </c>
      <c r="J12" s="33" t="n">
        <v>422529587.09187</v>
      </c>
      <c r="K12" s="168" t="n">
        <v>411979933.631057</v>
      </c>
      <c r="L12" s="32" t="n">
        <v>409332046.95122</v>
      </c>
      <c r="M12" s="20" t="n">
        <v>407624431.185203</v>
      </c>
      <c r="N12" s="20" t="n">
        <v>407168492.88813</v>
      </c>
      <c r="O12" s="32" t="n">
        <v>415406103.958374</v>
      </c>
      <c r="P12" s="167" t="n">
        <v>416945913.949919</v>
      </c>
      <c r="Q12" s="33" t="n">
        <v>399319092.680325</v>
      </c>
      <c r="R12" s="32" t="n">
        <v>374020219.330732</v>
      </c>
      <c r="S12" s="20" t="n">
        <v>392622920.783902</v>
      </c>
      <c r="T12" s="32" t="n">
        <v>389896135.133821</v>
      </c>
      <c r="U12" s="32" t="n">
        <v>418932585.365854</v>
      </c>
      <c r="V12" s="20" t="n">
        <v>408122030.000488</v>
      </c>
      <c r="W12" s="20" t="n">
        <v>383416178.999512</v>
      </c>
      <c r="X12" s="26" t="n">
        <v>423701434.629268</v>
      </c>
      <c r="Y12" s="33" t="n">
        <v>429177116.260325</v>
      </c>
      <c r="Z12" s="32" t="n">
        <v>398316214.619024</v>
      </c>
      <c r="AA12" s="20" t="n">
        <v>417615740.605854</v>
      </c>
      <c r="AB12" s="32" t="n">
        <v>360747504.065041</v>
      </c>
      <c r="AC12" s="167" t="n">
        <v>332681813.729431</v>
      </c>
      <c r="AD12" s="33" t="n">
        <v>307379682.015285</v>
      </c>
      <c r="AE12" s="32" t="n">
        <v>290926570.205691</v>
      </c>
      <c r="AF12" s="20" t="n">
        <v>298712199.56439</v>
      </c>
      <c r="AG12" s="32" t="n">
        <v>277078520.856098</v>
      </c>
      <c r="AH12" s="32" t="n">
        <v>225862848.593496</v>
      </c>
      <c r="AI12" s="26" t="n">
        <v>303340473.671382</v>
      </c>
      <c r="AJ12" s="33" t="n">
        <v>276964012.616098</v>
      </c>
      <c r="AK12" s="32" t="n">
        <v>260700118.690894</v>
      </c>
      <c r="AL12" s="20" t="n">
        <v>232671899.547642</v>
      </c>
      <c r="AM12" s="32" t="n">
        <v>210536432.698211</v>
      </c>
      <c r="AN12" s="167" t="n">
        <v>197829276.422764</v>
      </c>
      <c r="AO12" s="33" t="n">
        <v>190861962.04748</v>
      </c>
      <c r="AP12" s="32" t="n">
        <v>194392632.780813</v>
      </c>
      <c r="AQ12" s="20" t="n">
        <v>187301500.55252</v>
      </c>
    </row>
    <row r="13" customFormat="false" ht="12.8" hidden="false" customHeight="false" outlineLevel="0" collapsed="false">
      <c r="A13" s="139" t="s">
        <v>182</v>
      </c>
      <c r="B13" s="25" t="n">
        <v>562794123.892683</v>
      </c>
      <c r="C13" s="25" t="n">
        <v>511029658.536585</v>
      </c>
      <c r="D13" s="32" t="n">
        <v>511029658.536585</v>
      </c>
      <c r="E13" s="20" t="n">
        <v>445473070.507317</v>
      </c>
      <c r="F13" s="32" t="n">
        <v>442892370.731707</v>
      </c>
      <c r="G13" s="20" t="n">
        <v>452045479.726829</v>
      </c>
      <c r="H13" s="32" t="n">
        <v>429361440.995122</v>
      </c>
      <c r="I13" s="26" t="n">
        <v>400306565.853659</v>
      </c>
      <c r="J13" s="33" t="n">
        <v>374124813.014634</v>
      </c>
      <c r="K13" s="168" t="n">
        <v>380220261.219512</v>
      </c>
      <c r="L13" s="32" t="n">
        <v>368168478.439024</v>
      </c>
      <c r="M13" s="20" t="n">
        <v>368793070.243902</v>
      </c>
      <c r="N13" s="20" t="n">
        <v>365059714.682927</v>
      </c>
      <c r="O13" s="32" t="n">
        <v>350907032.195122</v>
      </c>
      <c r="P13" s="167" t="n">
        <v>373610944.302439</v>
      </c>
      <c r="Q13" s="33" t="n">
        <v>382136622.439024</v>
      </c>
      <c r="R13" s="32" t="n">
        <v>383272243.902439</v>
      </c>
      <c r="S13" s="20" t="n">
        <v>399031830.760976</v>
      </c>
      <c r="T13" s="32" t="n">
        <v>388822593.804878</v>
      </c>
      <c r="U13" s="32" t="n">
        <v>425858048.780488</v>
      </c>
      <c r="V13" s="20" t="n">
        <v>398035322.926829</v>
      </c>
      <c r="W13" s="20" t="n">
        <v>384217648.770732</v>
      </c>
      <c r="X13" s="26" t="n">
        <v>425858048.780488</v>
      </c>
      <c r="Y13" s="33" t="n">
        <v>389878721.765854</v>
      </c>
      <c r="Z13" s="32" t="n">
        <v>371916029.268293</v>
      </c>
      <c r="AA13" s="20" t="n">
        <v>381952083.95122</v>
      </c>
      <c r="AB13" s="32" t="n">
        <v>340686439.02439</v>
      </c>
      <c r="AC13" s="167" t="n">
        <v>338415196.097561</v>
      </c>
      <c r="AD13" s="33" t="n">
        <v>325065965.795122</v>
      </c>
      <c r="AE13" s="32" t="n">
        <v>323300074.419512</v>
      </c>
      <c r="AF13" s="20" t="n">
        <v>335666992.156098</v>
      </c>
      <c r="AG13" s="32" t="n">
        <v>298100634.146341</v>
      </c>
      <c r="AH13" s="32" t="n">
        <v>251525958.878049</v>
      </c>
      <c r="AI13" s="26" t="n">
        <v>354881707.317073</v>
      </c>
      <c r="AJ13" s="33" t="n">
        <v>341140687.609756</v>
      </c>
      <c r="AK13" s="32" t="n">
        <v>340686439.02439</v>
      </c>
      <c r="AL13" s="20" t="n">
        <v>340686439.02439</v>
      </c>
      <c r="AM13" s="32" t="n">
        <v>293805145.960976</v>
      </c>
      <c r="AN13" s="167" t="n">
        <v>334554083.121951</v>
      </c>
      <c r="AO13" s="33" t="n">
        <v>340686439.02439</v>
      </c>
      <c r="AP13" s="32" t="n">
        <v>328106592.263415</v>
      </c>
      <c r="AQ13" s="20" t="n">
        <v>322082120.4</v>
      </c>
    </row>
    <row r="14" customFormat="false" ht="12.8" hidden="false" customHeight="false" outlineLevel="0" collapsed="false">
      <c r="A14" s="139" t="s">
        <v>27</v>
      </c>
      <c r="B14" s="29" t="n">
        <v>159310018.722602</v>
      </c>
      <c r="C14" s="25" t="n">
        <v>155096643.94439</v>
      </c>
      <c r="D14" s="32" t="n">
        <v>155324715.447154</v>
      </c>
      <c r="E14" s="20" t="n">
        <v>148928279.203577</v>
      </c>
      <c r="F14" s="32" t="n">
        <v>144269067.671545</v>
      </c>
      <c r="G14" s="20" t="n">
        <v>129700833.686829</v>
      </c>
      <c r="H14" s="32" t="n">
        <v>124259735.810732</v>
      </c>
      <c r="I14" s="26" t="n">
        <v>119691434.920976</v>
      </c>
      <c r="J14" s="33" t="n">
        <v>117636543.756098</v>
      </c>
      <c r="K14" s="168" t="n">
        <v>126998969.398374</v>
      </c>
      <c r="L14" s="32" t="n">
        <v>119234560.97561</v>
      </c>
      <c r="M14" s="20" t="n">
        <v>119325928.455285</v>
      </c>
      <c r="N14" s="20" t="n">
        <v>119326385.292683</v>
      </c>
      <c r="O14" s="32" t="n">
        <v>120480996.133333</v>
      </c>
      <c r="P14" s="167" t="n">
        <v>121650847.069593</v>
      </c>
      <c r="Q14" s="33" t="n">
        <v>123152508.145041</v>
      </c>
      <c r="R14" s="32" t="n">
        <v>120605164.538211</v>
      </c>
      <c r="S14" s="20" t="n">
        <v>127608244.299837</v>
      </c>
      <c r="T14" s="32" t="n">
        <v>129741821.138211</v>
      </c>
      <c r="U14" s="32" t="n">
        <v>134316280.196098</v>
      </c>
      <c r="V14" s="20" t="n">
        <v>126074860.435447</v>
      </c>
      <c r="W14" s="20" t="n">
        <v>124990712.195122</v>
      </c>
      <c r="X14" s="26" t="n">
        <v>138878569.105691</v>
      </c>
      <c r="Y14" s="33" t="n">
        <v>143044926.178862</v>
      </c>
      <c r="Z14" s="32" t="n">
        <v>138029162.194146</v>
      </c>
      <c r="AA14" s="20" t="n">
        <v>141135656.503089</v>
      </c>
      <c r="AB14" s="32" t="n">
        <v>139238410.787642</v>
      </c>
      <c r="AC14" s="167" t="n">
        <v>131569243.825691</v>
      </c>
      <c r="AD14" s="33" t="n">
        <v>134541025.922602</v>
      </c>
      <c r="AE14" s="32" t="n">
        <v>127841030.364553</v>
      </c>
      <c r="AF14" s="20" t="n">
        <v>122864463.028618</v>
      </c>
      <c r="AG14" s="32" t="n">
        <v>118777723.577236</v>
      </c>
      <c r="AH14" s="32" t="n">
        <v>92274594.2865041</v>
      </c>
      <c r="AI14" s="26" t="n">
        <v>140863728.610081</v>
      </c>
      <c r="AJ14" s="33" t="n">
        <v>142259513.050081</v>
      </c>
      <c r="AK14" s="32" t="n">
        <v>133396447.23122</v>
      </c>
      <c r="AL14" s="20" t="n">
        <v>121168043.033496</v>
      </c>
      <c r="AM14" s="32" t="n">
        <v>113260918.60748</v>
      </c>
      <c r="AN14" s="167" t="n">
        <v>94108504.0650407</v>
      </c>
      <c r="AO14" s="33" t="n">
        <v>86790517.1479675</v>
      </c>
      <c r="AP14" s="32" t="n">
        <v>88339762.4068293</v>
      </c>
      <c r="AQ14" s="20" t="n">
        <v>85068605.6260163</v>
      </c>
    </row>
    <row r="15" customFormat="false" ht="12.8" hidden="false" customHeight="false" outlineLevel="0" collapsed="false">
      <c r="A15" s="139" t="s">
        <v>184</v>
      </c>
      <c r="B15" s="228" t="n">
        <v>81419457.5100813</v>
      </c>
      <c r="C15" s="25" t="n">
        <v>71933147.5726829</v>
      </c>
      <c r="D15" s="32" t="n">
        <v>71915168.7804878</v>
      </c>
      <c r="E15" s="20" t="n">
        <v>71915168.7804878</v>
      </c>
      <c r="F15" s="32" t="n">
        <v>66921059.8373984</v>
      </c>
      <c r="G15" s="20" t="n">
        <v>68918703.4146342</v>
      </c>
      <c r="H15" s="32" t="n">
        <v>61427540</v>
      </c>
      <c r="I15" s="26" t="n">
        <v>58573906.1499187</v>
      </c>
      <c r="J15" s="33" t="n">
        <v>58893029.7113821</v>
      </c>
      <c r="K15" s="168" t="n">
        <v>55934020.1626016</v>
      </c>
      <c r="L15" s="32" t="n">
        <v>55714279.3691057</v>
      </c>
      <c r="M15" s="20" t="n">
        <v>55434609.2682927</v>
      </c>
      <c r="N15" s="20" t="n">
        <v>55434609.2682927</v>
      </c>
      <c r="O15" s="32" t="n">
        <v>57400789.959187</v>
      </c>
      <c r="P15" s="167" t="n">
        <v>59979248.4065041</v>
      </c>
      <c r="Q15" s="33" t="n">
        <v>63678884.3115447</v>
      </c>
      <c r="R15" s="32" t="n">
        <v>74891657.7105691</v>
      </c>
      <c r="S15" s="20" t="n">
        <v>69336710.3331707</v>
      </c>
      <c r="T15" s="32" t="n">
        <v>65922238.0487805</v>
      </c>
      <c r="U15" s="32" t="n">
        <v>64920919.2056911</v>
      </c>
      <c r="V15" s="20" t="n">
        <v>59138240.4604878</v>
      </c>
      <c r="W15" s="20" t="n">
        <v>59138240.4604878</v>
      </c>
      <c r="X15" s="26" t="n">
        <v>65690511.3938211</v>
      </c>
      <c r="Y15" s="33" t="n">
        <v>69556950.537561</v>
      </c>
      <c r="Z15" s="32" t="n">
        <v>65173121.7073171</v>
      </c>
      <c r="AA15" s="20" t="n">
        <v>64973357.3495935</v>
      </c>
      <c r="AB15" s="32" t="n">
        <v>59929307.3170732</v>
      </c>
      <c r="AC15" s="167" t="n">
        <v>52594958.923252</v>
      </c>
      <c r="AD15" s="33" t="n">
        <v>55881582.0186992</v>
      </c>
      <c r="AE15" s="32" t="n">
        <v>51439322.1138211</v>
      </c>
      <c r="AF15" s="20" t="n">
        <v>51426337.4305691</v>
      </c>
      <c r="AG15" s="32" t="n">
        <v>46500148.3691057</v>
      </c>
      <c r="AH15" s="32" t="n">
        <v>39496409.9873171</v>
      </c>
      <c r="AI15" s="26" t="n">
        <v>59899342.6634146</v>
      </c>
      <c r="AJ15" s="33" t="n">
        <v>56248149.615122</v>
      </c>
      <c r="AK15" s="32" t="n">
        <v>51127190.3048781</v>
      </c>
      <c r="AL15" s="20" t="n">
        <v>46815776.0543089</v>
      </c>
      <c r="AM15" s="32" t="n">
        <v>43515169.4538211</v>
      </c>
      <c r="AN15" s="167" t="n">
        <v>40951693.3333333</v>
      </c>
      <c r="AO15" s="33" t="n">
        <v>39976843.2676423</v>
      </c>
      <c r="AP15" s="32" t="n">
        <v>43178566.5110569</v>
      </c>
      <c r="AQ15" s="20" t="n">
        <v>40672522.6434146</v>
      </c>
    </row>
    <row r="16" customFormat="false" ht="12.8" hidden="false" customHeight="false" outlineLevel="0" collapsed="false">
      <c r="A16" s="139" t="s">
        <v>229</v>
      </c>
      <c r="B16" s="228" t="n">
        <v>62220057.0713821</v>
      </c>
      <c r="C16" s="25" t="n">
        <v>62144861.7886179</v>
      </c>
      <c r="D16" s="32" t="n">
        <v>63831650.8943089</v>
      </c>
      <c r="E16" s="20" t="n">
        <v>61700969.9186992</v>
      </c>
      <c r="F16" s="32" t="n">
        <v>59925402.4390244</v>
      </c>
      <c r="G16" s="20" t="n">
        <v>63338930.9186992</v>
      </c>
      <c r="H16" s="32" t="n">
        <v>61541168.8455285</v>
      </c>
      <c r="I16" s="26" t="n">
        <v>62855088.7804878</v>
      </c>
      <c r="J16" s="33" t="n">
        <v>50294280.5373984</v>
      </c>
      <c r="K16" s="168" t="n">
        <v>44407475.3369106</v>
      </c>
      <c r="L16" s="32" t="n">
        <v>44389186.9918699</v>
      </c>
      <c r="M16" s="20" t="n">
        <v>44389186.9918699</v>
      </c>
      <c r="N16" s="20" t="n">
        <v>44398064.8292683</v>
      </c>
      <c r="O16" s="32" t="n">
        <v>45720862.601626</v>
      </c>
      <c r="P16" s="167" t="n">
        <v>43501403.2520325</v>
      </c>
      <c r="Q16" s="229" t="n">
        <v>15424652.195122</v>
      </c>
      <c r="R16" s="32" t="n">
        <v>17132154.8455285</v>
      </c>
      <c r="S16" s="20" t="n">
        <v>17132154.8455285</v>
      </c>
      <c r="T16" s="32" t="n">
        <v>19038527.6001626</v>
      </c>
      <c r="U16" s="32" t="n">
        <v>19360160.1626016</v>
      </c>
      <c r="V16" s="20" t="n">
        <v>19085499.7920325</v>
      </c>
      <c r="W16" s="20" t="n">
        <v>19085499.7920325</v>
      </c>
      <c r="X16" s="26" t="n">
        <v>20947058.5365854</v>
      </c>
      <c r="Y16" s="33" t="n">
        <v>19677539.8373984</v>
      </c>
      <c r="Z16" s="32" t="n">
        <v>19042780.4878049</v>
      </c>
      <c r="AA16" s="20" t="n">
        <v>19042780.4878049</v>
      </c>
      <c r="AB16" s="32" t="n">
        <v>19994919.5121951</v>
      </c>
      <c r="AC16" s="167" t="n">
        <v>18953914.1788618</v>
      </c>
      <c r="AD16" s="33" t="n">
        <v>18344545.203252</v>
      </c>
      <c r="AE16" s="32" t="n">
        <v>18547668.195122</v>
      </c>
      <c r="AF16" s="20" t="n">
        <v>17484509.7604878</v>
      </c>
      <c r="AG16" s="32" t="n">
        <v>16507678.5973984</v>
      </c>
      <c r="AH16" s="32" t="n">
        <v>14599465.0406504</v>
      </c>
      <c r="AI16" s="26" t="n">
        <v>20419636.9930081</v>
      </c>
      <c r="AJ16" s="33" t="n">
        <v>19677539.8373984</v>
      </c>
      <c r="AK16" s="32" t="n">
        <v>16837563.0313821</v>
      </c>
      <c r="AL16" s="20" t="n">
        <v>16090832.1325203</v>
      </c>
      <c r="AM16" s="32" t="n">
        <v>15111208.0282927</v>
      </c>
      <c r="AN16" s="167" t="n">
        <v>16810966.6146342</v>
      </c>
      <c r="AO16" s="33" t="n">
        <v>13583850.0813008</v>
      </c>
      <c r="AP16" s="32" t="n">
        <v>15494475.7235772</v>
      </c>
      <c r="AQ16" s="20" t="n">
        <v>14599465.0406504</v>
      </c>
    </row>
    <row r="17" customFormat="false" ht="12.8" hidden="false" customHeight="false" outlineLevel="0" collapsed="false">
      <c r="A17" s="139" t="s">
        <v>186</v>
      </c>
      <c r="B17" s="29" t="n">
        <v>58997055.1039024</v>
      </c>
      <c r="C17" s="25" t="n">
        <v>55666825.8536585</v>
      </c>
      <c r="D17" s="32" t="n">
        <v>54049031.7073171</v>
      </c>
      <c r="E17" s="20" t="n">
        <v>58828878.0487805</v>
      </c>
      <c r="F17" s="32" t="n">
        <v>47813170.6341463</v>
      </c>
      <c r="G17" s="20" t="n">
        <v>42077355.0243902</v>
      </c>
      <c r="H17" s="32" t="n">
        <v>37871090.2439024</v>
      </c>
      <c r="I17" s="26" t="n">
        <v>36768048.7804878</v>
      </c>
      <c r="J17" s="33" t="n">
        <v>35107015.4087805</v>
      </c>
      <c r="K17" s="168" t="n">
        <v>32355882.9268293</v>
      </c>
      <c r="L17" s="32" t="n">
        <v>32355882.9268293</v>
      </c>
      <c r="M17" s="20" t="n">
        <v>32355882.9268293</v>
      </c>
      <c r="N17" s="20" t="n">
        <v>31988202.4390244</v>
      </c>
      <c r="O17" s="32" t="n">
        <v>32576491.2195122</v>
      </c>
      <c r="P17" s="167" t="n">
        <v>33458924.3902439</v>
      </c>
      <c r="Q17" s="33" t="n">
        <v>32355882.9268293</v>
      </c>
      <c r="R17" s="32" t="n">
        <v>32355882.9268293</v>
      </c>
      <c r="S17" s="20" t="n">
        <v>32297568.8014634</v>
      </c>
      <c r="T17" s="32" t="n">
        <v>33525106.8780488</v>
      </c>
      <c r="U17" s="32" t="n">
        <v>33826604.8780488</v>
      </c>
      <c r="V17" s="20" t="n">
        <v>34561965.8536585</v>
      </c>
      <c r="W17" s="20" t="n">
        <v>34561965.8536585</v>
      </c>
      <c r="X17" s="26" t="n">
        <v>34561965.8536585</v>
      </c>
      <c r="Y17" s="33" t="n">
        <v>35665007.3170732</v>
      </c>
      <c r="Z17" s="32" t="n">
        <v>34561965.8536585</v>
      </c>
      <c r="AA17" s="20" t="n">
        <v>36760695.1707317</v>
      </c>
      <c r="AB17" s="32" t="n">
        <v>33091243.902439</v>
      </c>
      <c r="AC17" s="167" t="n">
        <v>30598370.195122</v>
      </c>
      <c r="AD17" s="33" t="n">
        <v>30641682.9565854</v>
      </c>
      <c r="AE17" s="32" t="n">
        <v>29414439.0243902</v>
      </c>
      <c r="AF17" s="20" t="n">
        <v>29414439.0243902</v>
      </c>
      <c r="AG17" s="32" t="n">
        <v>32944171.7073171</v>
      </c>
      <c r="AH17" s="32" t="n">
        <v>32355882.9268293</v>
      </c>
      <c r="AI17" s="26" t="n">
        <v>41915575.6097561</v>
      </c>
      <c r="AJ17" s="33" t="n">
        <v>41402440.7209756</v>
      </c>
      <c r="AK17" s="32" t="n">
        <v>39055021.4146341</v>
      </c>
      <c r="AL17" s="20" t="n">
        <v>39047667.8048781</v>
      </c>
      <c r="AM17" s="32" t="n">
        <v>39231508.0487805</v>
      </c>
      <c r="AN17" s="167" t="n">
        <v>37144921.2804878</v>
      </c>
      <c r="AO17" s="33" t="n">
        <v>36768048.7804878</v>
      </c>
      <c r="AP17" s="32" t="n">
        <v>35853774.4795122</v>
      </c>
      <c r="AQ17" s="20" t="n">
        <v>34924866.495122</v>
      </c>
    </row>
    <row r="18" customFormat="false" ht="12.8" hidden="false" customHeight="false" outlineLevel="0" collapsed="false">
      <c r="A18" s="139" t="s">
        <v>189</v>
      </c>
      <c r="B18" s="25" t="n">
        <v>25761875.5902439</v>
      </c>
      <c r="C18" s="25" t="n">
        <v>26572331.7073171</v>
      </c>
      <c r="D18" s="32" t="n">
        <v>27059491.1219512</v>
      </c>
      <c r="E18" s="20" t="n">
        <v>22881730.0813008</v>
      </c>
      <c r="F18" s="32" t="n">
        <v>21590019.5121951</v>
      </c>
      <c r="G18" s="20" t="n">
        <v>21405489.4308943</v>
      </c>
      <c r="H18" s="32" t="n">
        <v>21479301.4634146</v>
      </c>
      <c r="I18" s="26" t="n">
        <v>21390727.0243902</v>
      </c>
      <c r="J18" s="33" t="n">
        <v>21405489.4308943</v>
      </c>
      <c r="K18" s="168" t="n">
        <v>18453451.0022764</v>
      </c>
      <c r="L18" s="32" t="n">
        <v>18455222.4910569</v>
      </c>
      <c r="M18" s="20" t="n">
        <v>18453008.1300813</v>
      </c>
      <c r="N18" s="20" t="n">
        <v>18452270.0097561</v>
      </c>
      <c r="O18" s="32" t="n">
        <v>18438245.7235772</v>
      </c>
      <c r="P18" s="167" t="n">
        <v>19944011.1869919</v>
      </c>
      <c r="Q18" s="33" t="n">
        <v>20003060.8130081</v>
      </c>
      <c r="R18" s="32" t="n">
        <v>20372120.9756098</v>
      </c>
      <c r="S18" s="20" t="n">
        <v>20076872.8455285</v>
      </c>
      <c r="T18" s="32" t="n">
        <v>20973393.7925203</v>
      </c>
      <c r="U18" s="32" t="n">
        <v>20519745.0406504</v>
      </c>
      <c r="V18" s="20" t="n">
        <v>20572151.5837398</v>
      </c>
      <c r="W18" s="20" t="n">
        <v>19338752.5203252</v>
      </c>
      <c r="X18" s="26" t="n">
        <v>19338752.5203252</v>
      </c>
      <c r="Y18" s="33" t="n">
        <v>21110241.300813</v>
      </c>
      <c r="Z18" s="32" t="n">
        <v>20814993.1707317</v>
      </c>
      <c r="AA18" s="20" t="n">
        <v>21376555.1141463</v>
      </c>
      <c r="AB18" s="32" t="n">
        <v>21555770.7291057</v>
      </c>
      <c r="AC18" s="167" t="n">
        <v>20667369.1056911</v>
      </c>
      <c r="AD18" s="33" t="n">
        <v>19984607.8048781</v>
      </c>
      <c r="AE18" s="32" t="n">
        <v>19191128.4552846</v>
      </c>
      <c r="AF18" s="20" t="n">
        <v>19707369.8107317</v>
      </c>
      <c r="AG18" s="32" t="n">
        <v>17272015.6097561</v>
      </c>
      <c r="AH18" s="32" t="n">
        <v>17212965.9837398</v>
      </c>
      <c r="AI18" s="26" t="n">
        <v>24697506.0813008</v>
      </c>
      <c r="AJ18" s="33" t="n">
        <v>23002781.8146341</v>
      </c>
      <c r="AK18" s="32" t="n">
        <v>21110241.300813</v>
      </c>
      <c r="AL18" s="20" t="n">
        <v>21848361.6260163</v>
      </c>
      <c r="AM18" s="32" t="n">
        <v>19043504.3902439</v>
      </c>
      <c r="AN18" s="167" t="n">
        <v>20372120.9756098</v>
      </c>
      <c r="AO18" s="33" t="n">
        <v>18808929.7508943</v>
      </c>
      <c r="AP18" s="32" t="n">
        <v>17700863.5186992</v>
      </c>
      <c r="AQ18" s="20" t="n">
        <v>16415796.0325203</v>
      </c>
    </row>
    <row r="21" customFormat="false" ht="12.8" hidden="false" customHeight="false" outlineLevel="0" collapsed="false">
      <c r="A21" s="139" t="s">
        <v>257</v>
      </c>
      <c r="B21" s="230"/>
      <c r="C21" s="25"/>
      <c r="D21" s="32"/>
      <c r="E21" s="20"/>
      <c r="F21" s="32"/>
      <c r="G21" s="20"/>
      <c r="H21" s="32"/>
      <c r="I21" s="26"/>
      <c r="J21" s="33"/>
      <c r="K21" s="168"/>
      <c r="L21" s="32"/>
      <c r="M21" s="20"/>
      <c r="N21" s="20"/>
      <c r="O21" s="32"/>
      <c r="P21" s="167"/>
      <c r="Q21" s="33"/>
      <c r="R21" s="32"/>
      <c r="S21" s="20"/>
      <c r="T21" s="32"/>
      <c r="U21" s="32"/>
      <c r="V21" s="20"/>
      <c r="W21" s="20"/>
      <c r="X21" s="26"/>
      <c r="Y21" s="33"/>
      <c r="Z21" s="32"/>
      <c r="AA21" s="20"/>
      <c r="AB21" s="32"/>
      <c r="AC21" s="167"/>
      <c r="AD21" s="33"/>
      <c r="AE21" s="32"/>
      <c r="AF21" s="20"/>
      <c r="AG21" s="32"/>
      <c r="AH21" s="32"/>
      <c r="AI21" s="26"/>
      <c r="AJ21" s="33"/>
      <c r="AK21" s="32"/>
      <c r="AL21" s="20"/>
      <c r="AM21" s="32"/>
      <c r="AN21" s="167"/>
      <c r="AO21" s="33"/>
      <c r="AP21" s="32"/>
    </row>
    <row r="22" customFormat="false" ht="12.8" hidden="false" customHeight="false" outlineLevel="0" collapsed="false">
      <c r="A22" s="139" t="s">
        <v>24</v>
      </c>
      <c r="B22" s="34" t="n">
        <f aca="false">MBI10!B32/SUM(MBI10!B$32:B$41)</f>
        <v>0.245506511161034</v>
      </c>
      <c r="C22" s="34" t="n">
        <f aca="false">MBI10!C32/SUM(MBI10!C$32:C$41)</f>
        <v>0.248074994921259</v>
      </c>
      <c r="D22" s="211" t="n">
        <f aca="false">MBI10!D32/SUM(MBI10!D$32:D$41)</f>
        <v>0.252263637177794</v>
      </c>
      <c r="E22" s="34" t="n">
        <f aca="false">MBI10!E32/SUM(MBI10!E$32:E$41)</f>
        <v>0.254184870828709</v>
      </c>
      <c r="F22" s="211" t="n">
        <f aca="false">MBI10!F32/SUM(MBI10!F$32:F$41)</f>
        <v>0.246539663131185</v>
      </c>
      <c r="G22" s="34" t="n">
        <f aca="false">MBI10!G32/SUM(MBI10!G$32:G$41)</f>
        <v>0.215563421026591</v>
      </c>
      <c r="H22" s="211" t="n">
        <f aca="false">MBI10!H32/SUM(MBI10!H$32:H$41)</f>
        <v>0.215788275399044</v>
      </c>
      <c r="I22" s="231" t="n">
        <f aca="false">MBI10!I32/SUM(MBI10!I$32:I$41)</f>
        <v>0.212794002911282</v>
      </c>
      <c r="J22" s="213" t="n">
        <f aca="false">MBI10!J32/SUM(MBI10!J$32:J$41)</f>
        <v>0.201572672679774</v>
      </c>
      <c r="K22" s="211" t="n">
        <f aca="false">MBI10!K32/SUM(MBI10!K$32:K$41)</f>
        <v>0.185690524959357</v>
      </c>
      <c r="L22" s="211" t="n">
        <f aca="false">MBI10!L32/SUM(MBI10!L$32:L$41)</f>
        <v>0.183275718779327</v>
      </c>
      <c r="M22" s="34" t="n">
        <f aca="false">MBI10!M32/SUM(MBI10!M$32:M$41)</f>
        <v>0.182667848515126</v>
      </c>
      <c r="N22" s="34" t="n">
        <f aca="false">MBI10!N32/SUM(MBI10!N$32:N$41)</f>
        <v>0.181905901440745</v>
      </c>
      <c r="O22" s="211" t="n">
        <f aca="false">MBI10!O32/SUM(MBI10!O$32:O$41)</f>
        <v>0.175993419367527</v>
      </c>
      <c r="P22" s="212" t="n">
        <f aca="false">MBI10!P32/SUM(MBI10!P$32:P$41)</f>
        <v>0.183905902895466</v>
      </c>
      <c r="Q22" s="213" t="n">
        <f aca="false">MBI10!Q32/SUM(MBI10!Q$32:Q$41)</f>
        <v>0.182853917058172</v>
      </c>
      <c r="R22" s="211" t="n">
        <f aca="false">MBI10!R32/SUM(MBI10!R$32:R$41)</f>
        <v>0.17907715340599</v>
      </c>
      <c r="S22" s="34" t="n">
        <f aca="false">MBI10!S32/SUM(MBI10!S$32:S$41)</f>
        <v>0.175839460138674</v>
      </c>
      <c r="T22" s="211" t="n">
        <f aca="false">MBI10!T32/SUM(MBI10!T$32:T$41)</f>
        <v>0.179661383771119</v>
      </c>
      <c r="U22" s="211" t="n">
        <f aca="false">MBI10!U32/SUM(MBI10!U$32:U$41)</f>
        <v>0.184125733235579</v>
      </c>
      <c r="V22" s="34" t="n">
        <f aca="false">MBI10!V32/SUM(MBI10!V$32:V$41)</f>
        <v>0.182918108441296</v>
      </c>
      <c r="W22" s="34" t="n">
        <f aca="false">MBI10!W32/SUM(MBI10!W$32:W$41)</f>
        <v>0.176245937096445</v>
      </c>
      <c r="X22" s="231" t="n">
        <f aca="false">MBI10!X32/SUM(MBI10!X$32:X$41)</f>
        <v>0.180268977548196</v>
      </c>
      <c r="Y22" s="213" t="n">
        <f aca="false">MBI10!Y32/SUM(MBI10!Y$32:Y$41)</f>
        <v>0.174814592620628</v>
      </c>
      <c r="Z22" s="211" t="n">
        <f aca="false">MBI10!Z32/SUM(MBI10!Z$32:Z$41)</f>
        <v>0.164150295996884</v>
      </c>
      <c r="AA22" s="34" t="n">
        <f aca="false">MBI10!AA32/SUM(MBI10!AA$32:AA$41)</f>
        <v>0.164131819958199</v>
      </c>
      <c r="AB22" s="211" t="n">
        <f aca="false">MBI10!AB32/SUM(MBI10!AB$32:AB$41)</f>
        <v>0.152070653871936</v>
      </c>
      <c r="AC22" s="212" t="n">
        <f aca="false">MBI10!AC32/SUM(MBI10!AC$32:AC$41)</f>
        <v>0.148737061450105</v>
      </c>
      <c r="AD22" s="213" t="n">
        <f aca="false">MBI10!AD32/SUM(MBI10!AD$32:AD$41)</f>
        <v>0.141826345977357</v>
      </c>
      <c r="AE22" s="211" t="n">
        <f aca="false">MBI10!AE32/SUM(MBI10!AE$32:AE$41)</f>
        <v>0.137959335096632</v>
      </c>
      <c r="AF22" s="34" t="n">
        <f aca="false">MBI10!AF32/SUM(MBI10!AF$32:AF$41)</f>
        <v>0.139716239760392</v>
      </c>
      <c r="AG22" s="211" t="n">
        <f aca="false">MBI10!AG32/SUM(MBI10!AG$32:AG$41)</f>
        <v>0.124126117955266</v>
      </c>
      <c r="AH22" s="211" t="n">
        <f aca="false">MBI10!AH32/SUM(MBI10!AH$32:AH$41)</f>
        <v>0.148078935841402</v>
      </c>
      <c r="AI22" s="231" t="n">
        <f aca="false">MBI10!AI32/SUM(MBI10!AI$32:AI$41)</f>
        <v>0.146841805210573</v>
      </c>
      <c r="AJ22" s="213" t="n">
        <f aca="false">MBI10!AJ32/SUM(MBI10!AJ$32:AJ$41)</f>
        <v>0.130720260671241</v>
      </c>
      <c r="AK22" s="211" t="n">
        <f aca="false">MBI10!AK32/SUM(MBI10!AK$32:AK$41)</f>
        <v>0.117110968659951</v>
      </c>
      <c r="AL22" s="34" t="n">
        <f aca="false">MBI10!AK32/SUM(MBI10!AK$32:AK$41)</f>
        <v>0.117110968659951</v>
      </c>
      <c r="AM22" s="211" t="n">
        <f aca="false">MBI10!AM32/SUM(MBI10!AM$32:AM$41)</f>
        <v>0.122570617011549</v>
      </c>
      <c r="AN22" s="212" t="n">
        <f aca="false">MBI10!AN32/SUM(MBI10!AN$32:AN$41)</f>
        <v>0.129234635404748</v>
      </c>
      <c r="AO22" s="213" t="n">
        <f aca="false">MBI10!AO32/SUM(MBI10!AO$32:AO$41)</f>
        <v>0.119706433388486</v>
      </c>
      <c r="AP22" s="211" t="n">
        <f aca="false">MBI10!AP32/SUM(MBI10!AP$32:AP$41)</f>
        <v>0.124405100310161</v>
      </c>
      <c r="AQ22" s="34" t="n">
        <f aca="false">MBI10!AQ32/SUM(MBI10!AQ$32:AQ$41)</f>
        <v>0.124587610296489</v>
      </c>
    </row>
    <row r="23" customFormat="false" ht="12.8" hidden="false" customHeight="false" outlineLevel="0" collapsed="false">
      <c r="A23" s="139" t="s">
        <v>180</v>
      </c>
      <c r="B23" s="34" t="n">
        <f aca="false">MBI10!B33/SUM(MBI10!B$32:B$41)</f>
        <v>0.175852497578558</v>
      </c>
      <c r="C23" s="34" t="n">
        <f aca="false">MBI10!C33/SUM(MBI10!C$32:C$41)</f>
        <v>0.18290714190056</v>
      </c>
      <c r="D23" s="211" t="n">
        <f aca="false">MBI10!D33/SUM(MBI10!D$32:D$41)</f>
        <v>0.182210138913704</v>
      </c>
      <c r="E23" s="34" t="n">
        <f aca="false">MBI10!E33/SUM(MBI10!E$32:E$41)</f>
        <v>0.190889292761055</v>
      </c>
      <c r="F23" s="211" t="n">
        <f aca="false">MBI10!F33/SUM(MBI10!F$32:F$41)</f>
        <v>0.200744240372601</v>
      </c>
      <c r="G23" s="34" t="n">
        <f aca="false">MBI10!G33/SUM(MBI10!G$32:G$41)</f>
        <v>0.211448242256646</v>
      </c>
      <c r="H23" s="211" t="n">
        <f aca="false">MBI10!H33/SUM(MBI10!H$32:H$41)</f>
        <v>0.212347165099684</v>
      </c>
      <c r="I23" s="231" t="n">
        <f aca="false">MBI10!I33/SUM(MBI10!I$32:I$41)</f>
        <v>0.224926880374632</v>
      </c>
      <c r="J23" s="213" t="n">
        <f aca="false">MBI10!J33/SUM(MBI10!J$32:J$41)</f>
        <v>0.228671829542366</v>
      </c>
      <c r="K23" s="211" t="n">
        <f aca="false">MBI10!K33/SUM(MBI10!K$32:K$41)</f>
        <v>0.247190624943161</v>
      </c>
      <c r="L23" s="211" t="n">
        <f aca="false">MBI10!L33/SUM(MBI10!L$32:L$41)</f>
        <v>0.246808574015491</v>
      </c>
      <c r="M23" s="34" t="n">
        <f aca="false">MBI10!M33/SUM(MBI10!M$32:M$41)</f>
        <v>0.246992328662622</v>
      </c>
      <c r="N23" s="34" t="n">
        <f aca="false">MBI10!N33/SUM(MBI10!N$32:N$41)</f>
        <v>0.247894244203586</v>
      </c>
      <c r="O23" s="211" t="n">
        <f aca="false">MBI10!O33/SUM(MBI10!O$32:O$41)</f>
        <v>0.254247083378173</v>
      </c>
      <c r="P23" s="212" t="n">
        <f aca="false">MBI10!P33/SUM(MBI10!P$32:P$41)</f>
        <v>0.240221525810636</v>
      </c>
      <c r="Q23" s="213" t="n">
        <f aca="false">MBI10!Q33/SUM(MBI10!Q$32:Q$41)</f>
        <v>0.240327338279799</v>
      </c>
      <c r="R23" s="211" t="n">
        <f aca="false">MBI10!R33/SUM(MBI10!R$32:R$41)</f>
        <v>0.237730779232738</v>
      </c>
      <c r="S23" s="34" t="n">
        <f aca="false">MBI10!S33/SUM(MBI10!S$32:S$41)</f>
        <v>0.238999619717071</v>
      </c>
      <c r="T23" s="211" t="n">
        <f aca="false">MBI10!T33/SUM(MBI10!T$32:T$41)</f>
        <v>0.241036446747089</v>
      </c>
      <c r="U23" s="211" t="n">
        <f aca="false">MBI10!U33/SUM(MBI10!U$32:U$41)</f>
        <v>0.22107824990768</v>
      </c>
      <c r="V23" s="34" t="n">
        <f aca="false">MBI10!V33/SUM(MBI10!V$32:V$41)</f>
        <v>0.227300381278381</v>
      </c>
      <c r="W23" s="34" t="n">
        <f aca="false">MBI10!W33/SUM(MBI10!W$32:W$41)</f>
        <v>0.232084036497647</v>
      </c>
      <c r="X23" s="231" t="n">
        <f aca="false">MBI10!X33/SUM(MBI10!X$32:X$41)</f>
        <v>0.222712703925593</v>
      </c>
      <c r="Y23" s="213" t="n">
        <f aca="false">MBI10!Y33/SUM(MBI10!Y$32:Y$41)</f>
        <v>0.216288617252637</v>
      </c>
      <c r="Z23" s="211" t="n">
        <f aca="false">MBI10!Z33/SUM(MBI10!Z$32:Z$41)</f>
        <v>0.226230965670069</v>
      </c>
      <c r="AA23" s="34" t="n">
        <f aca="false">MBI10!AA33/SUM(MBI10!AA$32:AA$41)</f>
        <v>0.229661385206378</v>
      </c>
      <c r="AB23" s="211" t="n">
        <f aca="false">MBI10!AB33/SUM(MBI10!AB$32:AB$41)</f>
        <v>0.250015573381821</v>
      </c>
      <c r="AC23" s="212" t="n">
        <f aca="false">MBI10!AC33/SUM(MBI10!AC$32:AC$41)</f>
        <v>0.255866023971518</v>
      </c>
      <c r="AD23" s="213" t="n">
        <f aca="false">MBI10!AD33/SUM(MBI10!AD$32:AD$41)</f>
        <v>0.256548044419753</v>
      </c>
      <c r="AE23" s="211" t="n">
        <f aca="false">MBI10!AE33/SUM(MBI10!AE$32:AE$41)</f>
        <v>0.266928987685757</v>
      </c>
      <c r="AF23" s="34" t="n">
        <f aca="false">MBI10!AF33/SUM(MBI10!AF$32:AF$41)</f>
        <v>0.265101280314174</v>
      </c>
      <c r="AG23" s="211" t="n">
        <f aca="false">MBI10!AG33/SUM(MBI10!AG$32:AG$41)</f>
        <v>0.281528715712848</v>
      </c>
      <c r="AH23" s="211" t="n">
        <f aca="false">MBI10!AH33/SUM(MBI10!AH$32:AH$41)</f>
        <v>0.277743971807217</v>
      </c>
      <c r="AI23" s="231" t="n">
        <f aca="false">MBI10!AI33/SUM(MBI10!AI$32:AI$41)</f>
        <v>0.249769134205288</v>
      </c>
      <c r="AJ23" s="213" t="n">
        <f aca="false">MBI10!AJ33/SUM(MBI10!AJ$32:AJ$41)</f>
        <v>0.26459769504046</v>
      </c>
      <c r="AK23" s="211" t="n">
        <f aca="false">MBI10!AK33/SUM(MBI10!AK$32:AK$41)</f>
        <v>0.269340574040688</v>
      </c>
      <c r="AL23" s="34" t="n">
        <f aca="false">MBI10!AK33/SUM(MBI10!AK$32:AK$41)</f>
        <v>0.269340574040688</v>
      </c>
      <c r="AM23" s="211" t="n">
        <f aca="false">MBI10!AM33/SUM(MBI10!AM$32:AM$41)</f>
        <v>0.285012218411458</v>
      </c>
      <c r="AN23" s="212" t="n">
        <f aca="false">MBI10!AN33/SUM(MBI10!AN$32:AN$41)</f>
        <v>0.281731813092955</v>
      </c>
      <c r="AO23" s="213" t="n">
        <f aca="false">MBI10!AO33/SUM(MBI10!AO$32:AO$41)</f>
        <v>0.289758290018566</v>
      </c>
      <c r="AP23" s="211" t="n">
        <f aca="false">MBI10!AP33/SUM(MBI10!AP$32:AP$41)</f>
        <v>0.287201677854239</v>
      </c>
      <c r="AQ23" s="34" t="n">
        <f aca="false">MBI10!AQ33/SUM(MBI10!AQ$32:AQ$41)</f>
        <v>0.291399201916892</v>
      </c>
    </row>
    <row r="24" customFormat="false" ht="12.8" hidden="false" customHeight="false" outlineLevel="0" collapsed="false">
      <c r="A24" s="139" t="s">
        <v>181</v>
      </c>
      <c r="B24" s="34" t="n">
        <f aca="false">MBI10!B34/SUM(MBI10!B$32:B$41)</f>
        <v>0.173047117209875</v>
      </c>
      <c r="C24" s="34" t="n">
        <f aca="false">MBI10!C34/SUM(MBI10!C$32:C$41)</f>
        <v>0.171036281083867</v>
      </c>
      <c r="D24" s="211" t="n">
        <f aca="false">MBI10!D34/SUM(MBI10!D$32:D$41)</f>
        <v>0.172357366469723</v>
      </c>
      <c r="E24" s="34" t="n">
        <f aca="false">MBI10!E34/SUM(MBI10!E$32:E$41)</f>
        <v>0.167738733062562</v>
      </c>
      <c r="F24" s="211" t="n">
        <f aca="false">MBI10!F34/SUM(MBI10!F$32:F$41)</f>
        <v>0.165620948785167</v>
      </c>
      <c r="G24" s="34" t="n">
        <f aca="false">MBI10!G34/SUM(MBI10!G$32:G$41)</f>
        <v>0.170845417414504</v>
      </c>
      <c r="H24" s="211" t="n">
        <f aca="false">MBI10!H34/SUM(MBI10!H$32:H$41)</f>
        <v>0.179094366026665</v>
      </c>
      <c r="I24" s="231" t="n">
        <f aca="false">MBI10!I34/SUM(MBI10!I$32:I$41)</f>
        <v>0.159917967987052</v>
      </c>
      <c r="J24" s="213" t="n">
        <f aca="false">MBI10!J34/SUM(MBI10!J$32:J$41)</f>
        <v>0.156839628015938</v>
      </c>
      <c r="K24" s="211" t="n">
        <f aca="false">MBI10!K34/SUM(MBI10!K$32:K$41)</f>
        <v>0.154023959319675</v>
      </c>
      <c r="L24" s="211" t="n">
        <f aca="false">MBI10!L34/SUM(MBI10!L$32:L$41)</f>
        <v>0.15510480109383</v>
      </c>
      <c r="M24" s="34" t="n">
        <f aca="false">MBI10!M34/SUM(MBI10!M$32:M$41)</f>
        <v>0.155724707170755</v>
      </c>
      <c r="N24" s="34" t="n">
        <f aca="false">MBI10!N34/SUM(MBI10!N$32:N$41)</f>
        <v>0.154841162303524</v>
      </c>
      <c r="O24" s="211" t="n">
        <f aca="false">MBI10!O34/SUM(MBI10!O$32:O$41)</f>
        <v>0.147236517905286</v>
      </c>
      <c r="P24" s="212" t="n">
        <f aca="false">MBI10!P34/SUM(MBI10!P$32:P$41)</f>
        <v>0.147817326036998</v>
      </c>
      <c r="Q24" s="213" t="n">
        <f aca="false">MBI10!Q34/SUM(MBI10!Q$32:Q$41)</f>
        <v>0.139061295839626</v>
      </c>
      <c r="R24" s="211" t="n">
        <f aca="false">MBI10!R34/SUM(MBI10!R$32:R$41)</f>
        <v>0.137455775958732</v>
      </c>
      <c r="S24" s="34" t="n">
        <f aca="false">MBI10!S34/SUM(MBI10!S$32:S$41)</f>
        <v>0.144666178100923</v>
      </c>
      <c r="T24" s="211" t="n">
        <f aca="false">MBI10!T34/SUM(MBI10!T$32:T$41)</f>
        <v>0.143294999123736</v>
      </c>
      <c r="U24" s="211" t="n">
        <f aca="false">MBI10!U34/SUM(MBI10!U$32:U$41)</f>
        <v>0.154326404999051</v>
      </c>
      <c r="V24" s="34" t="n">
        <f aca="false">MBI10!V34/SUM(MBI10!V$32:V$41)</f>
        <v>0.156839509385825</v>
      </c>
      <c r="W24" s="34" t="n">
        <f aca="false">MBI10!W34/SUM(MBI10!W$32:W$41)</f>
        <v>0.155839470856313</v>
      </c>
      <c r="X24" s="231" t="n">
        <f aca="false">MBI10!X34/SUM(MBI10!X$32:X$41)</f>
        <v>0.154968917789349</v>
      </c>
      <c r="Y24" s="213" t="n">
        <f aca="false">MBI10!Y34/SUM(MBI10!Y$32:Y$41)</f>
        <v>0.163105602027959</v>
      </c>
      <c r="Z24" s="211" t="n">
        <f aca="false">MBI10!Z34/SUM(MBI10!Z$32:Z$41)</f>
        <v>0.156232470909633</v>
      </c>
      <c r="AA24" s="34" t="n">
        <f aca="false">MBI10!AA34/SUM(MBI10!AA$32:AA$41)</f>
        <v>0.155871561776757</v>
      </c>
      <c r="AB24" s="211" t="n">
        <f aca="false">MBI10!AB34/SUM(MBI10!AB$32:AB$41)</f>
        <v>0.143077004573122</v>
      </c>
      <c r="AC24" s="212" t="n">
        <f aca="false">MBI10!AC34/SUM(MBI10!AC$32:AC$41)</f>
        <v>0.129621355834851</v>
      </c>
      <c r="AD24" s="213" t="n">
        <f aca="false">MBI10!AD34/SUM(MBI10!AD$32:AD$41)</f>
        <v>0.134041865352509</v>
      </c>
      <c r="AE24" s="211" t="n">
        <f aca="false">MBI10!AE34/SUM(MBI10!AE$32:AE$41)</f>
        <v>0.131521532149335</v>
      </c>
      <c r="AF24" s="34" t="n">
        <f aca="false">MBI10!AF34/SUM(MBI10!AF$32:AF$41)</f>
        <v>0.128634847296677</v>
      </c>
      <c r="AG24" s="211" t="n">
        <f aca="false">MBI10!AG34/SUM(MBI10!AG$32:AG$41)</f>
        <v>0.12829171550448</v>
      </c>
      <c r="AH24" s="211" t="n">
        <f aca="false">MBI10!AH34/SUM(MBI10!AH$32:AH$41)</f>
        <v>0.127773681106974</v>
      </c>
      <c r="AI24" s="231" t="n">
        <f aca="false">MBI10!AI34/SUM(MBI10!AI$32:AI$41)</f>
        <v>0.129559647953999</v>
      </c>
      <c r="AJ24" s="213" t="n">
        <f aca="false">MBI10!AJ34/SUM(MBI10!AJ$32:AJ$41)</f>
        <v>0.126770270674137</v>
      </c>
      <c r="AK24" s="211" t="n">
        <f aca="false">MBI10!AK34/SUM(MBI10!AK$32:AK$41)</f>
        <v>0.130885284442235</v>
      </c>
      <c r="AL24" s="34" t="n">
        <f aca="false">MBI10!AK34/SUM(MBI10!AK$32:AK$41)</f>
        <v>0.130885284442235</v>
      </c>
      <c r="AM24" s="211" t="n">
        <f aca="false">MBI10!AM34/SUM(MBI10!AM$32:AM$41)</f>
        <v>0.135493042805979</v>
      </c>
      <c r="AN24" s="212" t="n">
        <f aca="false">MBI10!AN34/SUM(MBI10!AN$32:AN$41)</f>
        <v>0.131155110933645</v>
      </c>
      <c r="AO24" s="213" t="n">
        <f aca="false">MBI10!AO34/SUM(MBI10!AO$32:AO$41)</f>
        <v>0.125239875016337</v>
      </c>
      <c r="AP24" s="211" t="n">
        <f aca="false">MBI10!AP34/SUM(MBI10!AP$32:AP$41)</f>
        <v>0.12661555567084</v>
      </c>
      <c r="AQ24" s="34" t="n">
        <f aca="false">MBI10!AQ34/SUM(MBI10!AQ$32:AQ$41)</f>
        <v>0.1267961361923</v>
      </c>
    </row>
    <row r="25" customFormat="false" ht="12.8" hidden="false" customHeight="false" outlineLevel="0" collapsed="false">
      <c r="A25" s="139" t="s">
        <v>30</v>
      </c>
      <c r="B25" s="34" t="n">
        <f aca="false">MBI10!B35/SUM(MBI10!B$32:B$41)</f>
        <v>0.143121148908595</v>
      </c>
      <c r="C25" s="34" t="n">
        <f aca="false">MBI10!C35/SUM(MBI10!C$32:C$41)</f>
        <v>0.146178518021639</v>
      </c>
      <c r="D25" s="211" t="n">
        <f aca="false">MBI10!D35/SUM(MBI10!D$32:D$41)</f>
        <v>0.145521235707656</v>
      </c>
      <c r="E25" s="34" t="n">
        <f aca="false">MBI10!E35/SUM(MBI10!E$32:E$41)</f>
        <v>0.150526158646866</v>
      </c>
      <c r="F25" s="211" t="n">
        <f aca="false">MBI10!F35/SUM(MBI10!F$32:F$41)</f>
        <v>0.146912511276582</v>
      </c>
      <c r="G25" s="34" t="n">
        <f aca="false">MBI10!G35/SUM(MBI10!G$32:G$41)</f>
        <v>0.150964890386477</v>
      </c>
      <c r="H25" s="211" t="n">
        <f aca="false">MBI10!H35/SUM(MBI10!H$32:H$41)</f>
        <v>0.154003586277918</v>
      </c>
      <c r="I25" s="231" t="n">
        <f aca="false">MBI10!I35/SUM(MBI10!I$32:I$41)</f>
        <v>0.161943205968355</v>
      </c>
      <c r="J25" s="213" t="n">
        <f aca="false">MBI10!J35/SUM(MBI10!J$32:J$41)</f>
        <v>0.161546911867689</v>
      </c>
      <c r="K25" s="211" t="n">
        <f aca="false">MBI10!K35/SUM(MBI10!K$32:K$41)</f>
        <v>0.159001080666366</v>
      </c>
      <c r="L25" s="211" t="n">
        <f aca="false">MBI10!L35/SUM(MBI10!L$32:L$41)</f>
        <v>0.162072689067585</v>
      </c>
      <c r="M25" s="34" t="n">
        <f aca="false">MBI10!M35/SUM(MBI10!M$32:M$41)</f>
        <v>0.161516731794528</v>
      </c>
      <c r="N25" s="34" t="n">
        <f aca="false">MBI10!N35/SUM(MBI10!N$32:N$41)</f>
        <v>0.162331032524263</v>
      </c>
      <c r="O25" s="211" t="n">
        <f aca="false">MBI10!O35/SUM(MBI10!O$32:O$41)</f>
        <v>0.168617041204932</v>
      </c>
      <c r="P25" s="212" t="n">
        <f aca="false">MBI10!P35/SUM(MBI10!P$32:P$41)</f>
        <v>0.166941669712513</v>
      </c>
      <c r="Q25" s="213" t="n">
        <f aca="false">MBI10!Q35/SUM(MBI10!Q$32:Q$41)</f>
        <v>0.168719090970781</v>
      </c>
      <c r="R25" s="211" t="n">
        <f aca="false">MBI10!R35/SUM(MBI10!R$32:R$41)</f>
        <v>0.1630220271616</v>
      </c>
      <c r="S25" s="34" t="n">
        <f aca="false">MBI10!S35/SUM(MBI10!S$32:S$41)</f>
        <v>0.163450809974881</v>
      </c>
      <c r="T25" s="211" t="n">
        <f aca="false">MBI10!T35/SUM(MBI10!T$32:T$41)</f>
        <v>0.16222377700407</v>
      </c>
      <c r="U25" s="211" t="n">
        <f aca="false">MBI10!U35/SUM(MBI10!U$32:U$41)</f>
        <v>0.165090277776965</v>
      </c>
      <c r="V25" s="34" t="n">
        <f aca="false">MBI10!V35/SUM(MBI10!V$32:V$41)</f>
        <v>0.165817205957055</v>
      </c>
      <c r="W25" s="34" t="n">
        <f aca="false">MBI10!W35/SUM(MBI10!W$32:W$41)</f>
        <v>0.163068699290931</v>
      </c>
      <c r="X25" s="231" t="n">
        <f aca="false">MBI10!X35/SUM(MBI10!X$32:X$41)</f>
        <v>0.165899814280613</v>
      </c>
      <c r="Y25" s="213" t="n">
        <f aca="false">MBI10!Y35/SUM(MBI10!Y$32:Y$41)</f>
        <v>0.172657308102719</v>
      </c>
      <c r="Z25" s="211" t="n">
        <f aca="false">MBI10!Z35/SUM(MBI10!Z$32:Z$41)</f>
        <v>0.172343719385237</v>
      </c>
      <c r="AA25" s="34" t="n">
        <f aca="false">MBI10!AA35/SUM(MBI10!AA$32:AA$41)</f>
        <v>0.173676768580409</v>
      </c>
      <c r="AB25" s="211" t="n">
        <f aca="false">MBI10!AB35/SUM(MBI10!AB$32:AB$41)</f>
        <v>0.168246404959589</v>
      </c>
      <c r="AC25" s="212" t="n">
        <f aca="false">MBI10!AC35/SUM(MBI10!AC$32:AC$41)</f>
        <v>0.167431940904464</v>
      </c>
      <c r="AD25" s="213" t="n">
        <f aca="false">MBI10!AD35/SUM(MBI10!AD$32:AD$41)</f>
        <v>0.161156585260897</v>
      </c>
      <c r="AE25" s="211" t="n">
        <f aca="false">MBI10!AE35/SUM(MBI10!AE$32:AE$41)</f>
        <v>0.156706079529763</v>
      </c>
      <c r="AF25" s="34" t="n">
        <f aca="false">MBI10!AF35/SUM(MBI10!AF$32:AF$41)</f>
        <v>0.159222256821566</v>
      </c>
      <c r="AG25" s="211" t="n">
        <f aca="false">MBI10!AG35/SUM(MBI10!AG$32:AG$41)</f>
        <v>0.159980745254106</v>
      </c>
      <c r="AH25" s="211" t="n">
        <f aca="false">MBI10!AH35/SUM(MBI10!AH$32:AH$41)</f>
        <v>0.149742662214217</v>
      </c>
      <c r="AI25" s="231" t="n">
        <f aca="false">MBI10!AI35/SUM(MBI10!AI$32:AI$41)</f>
        <v>0.151933306639966</v>
      </c>
      <c r="AJ25" s="213" t="n">
        <f aca="false">MBI10!AJ35/SUM(MBI10!AJ$32:AJ$41)</f>
        <v>0.146958009190788</v>
      </c>
      <c r="AK25" s="211" t="n">
        <f aca="false">MBI10!AK35/SUM(MBI10!AK$32:AK$41)</f>
        <v>0.145820428466842</v>
      </c>
      <c r="AL25" s="34" t="n">
        <f aca="false">MBI10!AK35/SUM(MBI10!AK$32:AK$41)</f>
        <v>0.145820428466842</v>
      </c>
      <c r="AM25" s="211" t="n">
        <f aca="false">MBI10!AM35/SUM(MBI10!AM$32:AM$41)</f>
        <v>0.130971634445326</v>
      </c>
      <c r="AN25" s="212" t="n">
        <f aca="false">MBI10!AN35/SUM(MBI10!AN$32:AN$41)</f>
        <v>0.122115439256424</v>
      </c>
      <c r="AO25" s="213" t="n">
        <f aca="false">MBI10!AO35/SUM(MBI10!AO$32:AO$41)</f>
        <v>0.1220756715544</v>
      </c>
      <c r="AP25" s="211" t="n">
        <f aca="false">MBI10!AP35/SUM(MBI10!AP$32:AP$41)</f>
        <v>0.124146472651937</v>
      </c>
      <c r="AQ25" s="34" t="n">
        <f aca="false">MBI10!AQ35/SUM(MBI10!AQ$32:AQ$41)</f>
        <v>0.122153373641962</v>
      </c>
    </row>
    <row r="26" customFormat="false" ht="12.8" hidden="false" customHeight="false" outlineLevel="0" collapsed="false">
      <c r="A26" s="139" t="s">
        <v>182</v>
      </c>
      <c r="B26" s="34" t="n">
        <f aca="false">MBI10!B36/SUM(MBI10!B$32:B$41)</f>
        <v>0.155410526256176</v>
      </c>
      <c r="C26" s="34" t="n">
        <f aca="false">MBI10!C36/SUM(MBI10!C$32:C$41)</f>
        <v>0.145821050654433</v>
      </c>
      <c r="D26" s="211" t="n">
        <f aca="false">MBI10!D36/SUM(MBI10!D$32:D$41)</f>
        <v>0.143290180359333</v>
      </c>
      <c r="E26" s="34" t="n">
        <f aca="false">MBI10!E36/SUM(MBI10!E$32:E$41)</f>
        <v>0.130199357235472</v>
      </c>
      <c r="F26" s="211" t="n">
        <f aca="false">MBI10!F36/SUM(MBI10!F$32:F$41)</f>
        <v>0.135784466807703</v>
      </c>
      <c r="G26" s="34" t="n">
        <f aca="false">MBI10!G36/SUM(MBI10!G$32:G$41)</f>
        <v>0.146039641723629</v>
      </c>
      <c r="H26" s="211" t="n">
        <f aca="false">MBI10!H36/SUM(MBI10!H$32:H$41)</f>
        <v>0.139300942863764</v>
      </c>
      <c r="I26" s="231" t="n">
        <f aca="false">MBI10!I36/SUM(MBI10!I$32:I$41)</f>
        <v>0.137568379682181</v>
      </c>
      <c r="J26" s="213" t="n">
        <f aca="false">MBI10!J36/SUM(MBI10!J$32:J$41)</f>
        <v>0.143040180006257</v>
      </c>
      <c r="K26" s="211" t="n">
        <f aca="false">MBI10!K36/SUM(MBI10!K$32:K$41)</f>
        <v>0.146743633585053</v>
      </c>
      <c r="L26" s="211" t="n">
        <f aca="false">MBI10!L36/SUM(MBI10!L$32:L$41)</f>
        <v>0.145774208921503</v>
      </c>
      <c r="M26" s="34" t="n">
        <f aca="false">MBI10!M36/SUM(MBI10!M$32:M$41)</f>
        <v>0.146130228850785</v>
      </c>
      <c r="N26" s="34" t="n">
        <f aca="false">MBI10!N36/SUM(MBI10!N$32:N$41)</f>
        <v>0.145542991298627</v>
      </c>
      <c r="O26" s="211" t="n">
        <f aca="false">MBI10!O36/SUM(MBI10!O$32:O$41)</f>
        <v>0.142436292926197</v>
      </c>
      <c r="P26" s="212" t="n">
        <f aca="false">MBI10!P36/SUM(MBI10!P$32:P$41)</f>
        <v>0.14959070895754</v>
      </c>
      <c r="Q26" s="213" t="n">
        <f aca="false">MBI10!Q36/SUM(MBI10!Q$32:Q$41)</f>
        <v>0.161459205799035</v>
      </c>
      <c r="R26" s="211" t="n">
        <f aca="false">MBI10!R36/SUM(MBI10!R$32:R$41)</f>
        <v>0.167054653535991</v>
      </c>
      <c r="S26" s="34" t="n">
        <f aca="false">MBI10!S36/SUM(MBI10!S$32:S$41)</f>
        <v>0.166118870017625</v>
      </c>
      <c r="T26" s="211" t="n">
        <f aca="false">MBI10!T36/SUM(MBI10!T$32:T$41)</f>
        <v>0.161777109511223</v>
      </c>
      <c r="U26" s="211" t="n">
        <f aca="false">MBI10!U36/SUM(MBI10!U$32:U$41)</f>
        <v>0.167819420170741</v>
      </c>
      <c r="V26" s="34" t="n">
        <f aca="false">MBI10!V36/SUM(MBI10!V$32:V$41)</f>
        <v>0.161719045452807</v>
      </c>
      <c r="W26" s="34" t="n">
        <f aca="false">MBI10!W36/SUM(MBI10!W$32:W$41)</f>
        <v>0.163409568143818</v>
      </c>
      <c r="X26" s="231" t="n">
        <f aca="false">MBI10!X36/SUM(MBI10!X$32:X$41)</f>
        <v>0.16674423409589</v>
      </c>
      <c r="Y26" s="213" t="n">
        <f aca="false">MBI10!Y36/SUM(MBI10!Y$32:Y$41)</f>
        <v>0.156847623128606</v>
      </c>
      <c r="Z26" s="211" t="n">
        <f aca="false">MBI10!Z36/SUM(MBI10!Z$32:Z$41)</f>
        <v>0.160920869978626</v>
      </c>
      <c r="AA26" s="34" t="n">
        <f aca="false">MBI10!AA36/SUM(MBI10!AA$32:AA$41)</f>
        <v>0.158845075132858</v>
      </c>
      <c r="AB26" s="211" t="n">
        <f aca="false">MBI10!AB36/SUM(MBI10!AB$32:AB$41)</f>
        <v>0.158890270725209</v>
      </c>
      <c r="AC26" s="212" t="n">
        <f aca="false">MBI10!AC36/SUM(MBI10!AC$32:AC$41)</f>
        <v>0.170317434785486</v>
      </c>
      <c r="AD26" s="213" t="n">
        <f aca="false">MBI10!AD36/SUM(MBI10!AD$32:AD$41)</f>
        <v>0.170429355280133</v>
      </c>
      <c r="AE26" s="211" t="n">
        <f aca="false">MBI10!AE36/SUM(MBI10!AE$32:AE$41)</f>
        <v>0.174143898710051</v>
      </c>
      <c r="AF26" s="34" t="n">
        <f aca="false">MBI10!AF36/SUM(MBI10!AF$32:AF$41)</f>
        <v>0.178920231947474</v>
      </c>
      <c r="AG26" s="211" t="n">
        <f aca="false">MBI10!AG36/SUM(MBI10!AG$32:AG$41)</f>
        <v>0.172118580192008</v>
      </c>
      <c r="AH26" s="211" t="n">
        <f aca="false">MBI10!AH36/SUM(MBI10!AH$32:AH$41)</f>
        <v>0.166756803666149</v>
      </c>
      <c r="AI26" s="231" t="n">
        <f aca="false">MBI10!AI36/SUM(MBI10!AI$32:AI$41)</f>
        <v>0.177748622220228</v>
      </c>
      <c r="AJ26" s="213" t="n">
        <f aca="false">MBI10!AJ36/SUM(MBI10!AJ$32:AJ$41)</f>
        <v>0.181010362435052</v>
      </c>
      <c r="AK26" s="211" t="n">
        <f aca="false">MBI10!AK36/SUM(MBI10!AK$32:AK$41)</f>
        <v>0.190560106995127</v>
      </c>
      <c r="AL26" s="34" t="n">
        <f aca="false">MBI10!AK36/SUM(MBI10!AK$32:AK$41)</f>
        <v>0.190560106995127</v>
      </c>
      <c r="AM26" s="211" t="n">
        <f aca="false">MBI10!AM36/SUM(MBI10!AM$32:AM$41)</f>
        <v>0.182771882670374</v>
      </c>
      <c r="AN26" s="212" t="n">
        <f aca="false">MBI10!AN36/SUM(MBI10!AN$32:AN$41)</f>
        <v>0.206512501861257</v>
      </c>
      <c r="AO26" s="213" t="n">
        <f aca="false">MBI10!AO36/SUM(MBI10!AO$32:AO$41)</f>
        <v>0.217903690118377</v>
      </c>
      <c r="AP26" s="211" t="n">
        <f aca="false">MBI10!AP36/SUM(MBI10!AP$32:AP$41)</f>
        <v>0.209541254216558</v>
      </c>
      <c r="AQ26" s="34" t="n">
        <f aca="false">MBI10!AQ36/SUM(MBI10!AQ$32:AQ$41)</f>
        <v>0.210053936997609</v>
      </c>
    </row>
    <row r="27" customFormat="false" ht="12.8" hidden="false" customHeight="false" outlineLevel="0" collapsed="false">
      <c r="A27" s="139" t="s">
        <v>27</v>
      </c>
      <c r="B27" s="34" t="n">
        <f aca="false">MBI10!B37/SUM(MBI10!B$32:B$41)</f>
        <v>0.0439920262072281</v>
      </c>
      <c r="C27" s="34" t="n">
        <f aca="false">MBI10!C37/SUM(MBI10!C$32:C$41)</f>
        <v>0.044256444210524</v>
      </c>
      <c r="D27" s="211" t="n">
        <f aca="false">MBI10!D37/SUM(MBI10!D$32:D$41)</f>
        <v>0.0435522794399446</v>
      </c>
      <c r="E27" s="34" t="n">
        <f aca="false">MBI10!E37/SUM(MBI10!E$32:E$41)</f>
        <v>0.0435275833944538</v>
      </c>
      <c r="F27" s="211" t="n">
        <f aca="false">MBI10!F37/SUM(MBI10!F$32:F$41)</f>
        <v>0.0442308328731452</v>
      </c>
      <c r="G27" s="34" t="n">
        <f aca="false">MBI10!G37/SUM(MBI10!G$32:G$41)</f>
        <v>0.0419016761196834</v>
      </c>
      <c r="H27" s="211" t="n">
        <f aca="false">MBI10!H37/SUM(MBI10!H$32:H$41)</f>
        <v>0.0403145152445905</v>
      </c>
      <c r="I27" s="231" t="n">
        <f aca="false">MBI10!I37/SUM(MBI10!I$32:I$41)</f>
        <v>0.0411328670785114</v>
      </c>
      <c r="J27" s="213" t="n">
        <f aca="false">MBI10!J37/SUM(MBI10!J$32:J$41)</f>
        <v>0.0449763068602671</v>
      </c>
      <c r="K27" s="211" t="n">
        <f aca="false">MBI10!K37/SUM(MBI10!K$32:K$41)</f>
        <v>0.0490144585438467</v>
      </c>
      <c r="L27" s="211" t="n">
        <f aca="false">MBI10!L37/SUM(MBI10!L$32:L$41)</f>
        <v>0.0472102442773383</v>
      </c>
      <c r="M27" s="34" t="n">
        <f aca="false">MBI10!M37/SUM(MBI10!M$32:M$41)</f>
        <v>0.0472815967541667</v>
      </c>
      <c r="N27" s="34" t="n">
        <f aca="false">MBI10!N37/SUM(MBI10!N$32:N$41)</f>
        <v>0.0475733650080613</v>
      </c>
      <c r="O27" s="211" t="n">
        <f aca="false">MBI10!O37/SUM(MBI10!O$32:O$41)</f>
        <v>0.0489043104948239</v>
      </c>
      <c r="P27" s="212" t="n">
        <f aca="false">MBI10!P37/SUM(MBI10!P$32:P$41)</f>
        <v>0.0487079855018768</v>
      </c>
      <c r="Q27" s="213" t="n">
        <f aca="false">MBI10!Q37/SUM(MBI10!Q$32:Q$41)</f>
        <v>0.0520340239319261</v>
      </c>
      <c r="R27" s="211" t="n">
        <f aca="false">MBI10!R37/SUM(MBI10!R$32:R$41)</f>
        <v>0.052567474679201</v>
      </c>
      <c r="S27" s="34" t="n">
        <f aca="false">MBI10!S37/SUM(MBI10!S$32:S$41)</f>
        <v>0.0531239257469658</v>
      </c>
      <c r="T27" s="211" t="n">
        <f aca="false">MBI10!T37/SUM(MBI10!T$32:T$41)</f>
        <v>0.0539815770505221</v>
      </c>
      <c r="U27" s="211" t="n">
        <f aca="false">MBI10!U37/SUM(MBI10!U$32:U$41)</f>
        <v>0.0529305019044475</v>
      </c>
      <c r="V27" s="34" t="n">
        <f aca="false">MBI10!V37/SUM(MBI10!V$32:V$41)</f>
        <v>0.0512233586087144</v>
      </c>
      <c r="W27" s="34" t="n">
        <f aca="false">MBI10!W37/SUM(MBI10!W$32:W$41)</f>
        <v>0.0531591361488466</v>
      </c>
      <c r="X27" s="231" t="n">
        <f aca="false">MBI10!X37/SUM(MBI10!X$32:X$41)</f>
        <v>0.0543777455989757</v>
      </c>
      <c r="Y27" s="213" t="n">
        <f aca="false">MBI10!Y37/SUM(MBI10!Y$32:Y$41)</f>
        <v>0.0575467585667211</v>
      </c>
      <c r="Z27" s="211" t="n">
        <f aca="false">MBI10!Z37/SUM(MBI10!Z$32:Z$41)</f>
        <v>0.059722547872976</v>
      </c>
      <c r="AA27" s="34" t="n">
        <f aca="false">MBI10!AA37/SUM(MBI10!AA$32:AA$41)</f>
        <v>0.0586950691019701</v>
      </c>
      <c r="AB27" s="211" t="n">
        <f aca="false">MBI10!AB37/SUM(MBI10!AB$32:AB$41)</f>
        <v>0.0649383898248219</v>
      </c>
      <c r="AC27" s="212" t="n">
        <f aca="false">MBI10!AC37/SUM(MBI10!AC$32:AC$41)</f>
        <v>0.0662161048424011</v>
      </c>
      <c r="AD27" s="213" t="n">
        <f aca="false">MBI10!AD37/SUM(MBI10!AD$32:AD$41)</f>
        <v>0.0705387297333015</v>
      </c>
      <c r="AE27" s="211" t="n">
        <f aca="false">MBI10!AE37/SUM(MBI10!AE$32:AE$41)</f>
        <v>0.0688609041701156</v>
      </c>
      <c r="AF27" s="34" t="n">
        <f aca="false">MBI10!AF37/SUM(MBI10!AF$32:AF$41)</f>
        <v>0.0654903184908907</v>
      </c>
      <c r="AG27" s="211" t="n">
        <f aca="false">MBI10!AG37/SUM(MBI10!AG$32:AG$41)</f>
        <v>0.0685803745406208</v>
      </c>
      <c r="AH27" s="211" t="n">
        <f aca="false">MBI10!AH37/SUM(MBI10!AH$32:AH$41)</f>
        <v>0.0611762558085251</v>
      </c>
      <c r="AI27" s="231" t="n">
        <f aca="false">MBI10!AI37/SUM(MBI10!AI$32:AI$41)</f>
        <v>0.0705540273420609</v>
      </c>
      <c r="AJ27" s="213" t="n">
        <f aca="false">MBI10!AJ37/SUM(MBI10!AJ$32:AJ$41)</f>
        <v>0.0754833620036733</v>
      </c>
      <c r="AK27" s="211" t="n">
        <f aca="false">MBI10!AK37/SUM(MBI10!AK$32:AK$41)</f>
        <v>0.0746141857889779</v>
      </c>
      <c r="AL27" s="34" t="n">
        <f aca="false">MBI10!AK37/SUM(MBI10!AK$32:AK$41)</f>
        <v>0.0746141857889779</v>
      </c>
      <c r="AM27" s="211" t="n">
        <f aca="false">MBI10!AM37/SUM(MBI10!AM$32:AM$41)</f>
        <v>0.0704579603572182</v>
      </c>
      <c r="AN27" s="212" t="n">
        <f aca="false">MBI10!AN37/SUM(MBI10!AN$32:AN$41)</f>
        <v>0.0580910041196764</v>
      </c>
      <c r="AO27" s="213" t="n">
        <f aca="false">MBI10!AO37/SUM(MBI10!AO$32:AO$41)</f>
        <v>0.0555113787563186</v>
      </c>
      <c r="AP27" s="211" t="n">
        <f aca="false">MBI10!AP37/SUM(MBI10!AP$32:AP$41)</f>
        <v>0.0564171066610532</v>
      </c>
      <c r="AQ27" s="34" t="n">
        <f aca="false">MBI10!AQ37/SUM(MBI10!AQ$32:AQ$41)</f>
        <v>0.0554796258309833</v>
      </c>
    </row>
    <row r="28" customFormat="false" ht="12.8" hidden="false" customHeight="false" outlineLevel="0" collapsed="false">
      <c r="A28" s="139" t="s">
        <v>184</v>
      </c>
      <c r="B28" s="34" t="n">
        <f aca="false">MBI10!B38/SUM(MBI10!B$32:B$41)</f>
        <v>0.0224832495613387</v>
      </c>
      <c r="C28" s="34" t="n">
        <f aca="false">MBI10!C38/SUM(MBI10!C$32:C$41)</f>
        <v>0.0205259459616629</v>
      </c>
      <c r="D28" s="211" t="n">
        <f aca="false">MBI10!D38/SUM(MBI10!D$32:D$41)</f>
        <v>0.0201646564597391</v>
      </c>
      <c r="E28" s="34" t="n">
        <f aca="false">MBI10!E38/SUM(MBI10!E$32:E$41)</f>
        <v>0.0210187985999621</v>
      </c>
      <c r="F28" s="211" t="n">
        <f aca="false">MBI10!F38/SUM(MBI10!F$32:F$41)</f>
        <v>0.0205170398695627</v>
      </c>
      <c r="G28" s="34" t="n">
        <f aca="false">MBI10!G38/SUM(MBI10!G$32:G$41)</f>
        <v>0.022265155180431</v>
      </c>
      <c r="H28" s="211" t="n">
        <f aca="false">MBI10!H38/SUM(MBI10!H$32:H$41)</f>
        <v>0.0199293961282816</v>
      </c>
      <c r="I28" s="231" t="n">
        <f aca="false">MBI10!I38/SUM(MBI10!I$32:I$41)</f>
        <v>0.0201293659611025</v>
      </c>
      <c r="J28" s="213" t="n">
        <f aca="false">MBI10!J38/SUM(MBI10!J$32:J$41)</f>
        <v>0.0225167358004144</v>
      </c>
      <c r="K28" s="211" t="n">
        <f aca="false">MBI10!K38/SUM(MBI10!K$32:K$41)</f>
        <v>0.021587385515316</v>
      </c>
      <c r="L28" s="211" t="n">
        <f aca="false">MBI10!L38/SUM(MBI10!L$32:L$41)</f>
        <v>0.022059751109323</v>
      </c>
      <c r="M28" s="34" t="n">
        <f aca="false">MBI10!M38/SUM(MBI10!M$32:M$41)</f>
        <v>0.0219653588752958</v>
      </c>
      <c r="N28" s="34" t="n">
        <f aca="false">MBI10!N38/SUM(MBI10!N$32:N$41)</f>
        <v>0.0221008194820551</v>
      </c>
      <c r="O28" s="211" t="n">
        <f aca="false">MBI10!O38/SUM(MBI10!O$32:O$41)</f>
        <v>0.0232994924087917</v>
      </c>
      <c r="P28" s="212" t="n">
        <f aca="false">MBI10!P38/SUM(MBI10!P$32:P$41)</f>
        <v>0.0240151912803877</v>
      </c>
      <c r="Q28" s="213" t="n">
        <f aca="false">MBI10!Q38/SUM(MBI10!Q$32:Q$41)</f>
        <v>0.0269054089123616</v>
      </c>
      <c r="R28" s="211" t="n">
        <f aca="false">MBI10!R38/SUM(MBI10!R$32:R$41)</f>
        <v>0.0326425931713432</v>
      </c>
      <c r="S28" s="34" t="n">
        <f aca="false">MBI10!S38/SUM(MBI10!S$32:S$41)</f>
        <v>0.0288652059393857</v>
      </c>
      <c r="T28" s="211" t="n">
        <f aca="false">MBI10!T38/SUM(MBI10!T$32:T$41)</f>
        <v>0.027428213519388</v>
      </c>
      <c r="U28" s="211" t="n">
        <f aca="false">MBI10!U38/SUM(MBI10!U$32:U$41)</f>
        <v>0.0255836212307132</v>
      </c>
      <c r="V28" s="34" t="n">
        <f aca="false">MBI10!V38/SUM(MBI10!V$32:V$41)</f>
        <v>0.0240274650166834</v>
      </c>
      <c r="W28" s="34" t="n">
        <f aca="false">MBI10!W38/SUM(MBI10!W$32:W$41)</f>
        <v>0.025151771047873</v>
      </c>
      <c r="X28" s="231" t="n">
        <f aca="false">MBI10!X38/SUM(MBI10!X$32:X$41)</f>
        <v>0.0257210449376198</v>
      </c>
      <c r="Y28" s="213" t="n">
        <f aca="false">MBI10!Y38/SUM(MBI10!Y$32:Y$41)</f>
        <v>0.0279826565411859</v>
      </c>
      <c r="Z28" s="211" t="n">
        <f aca="false">MBI10!Z38/SUM(MBI10!Z$32:Z$41)</f>
        <v>0.0281991487836591</v>
      </c>
      <c r="AA28" s="34" t="n">
        <f aca="false">MBI10!AA38/SUM(MBI10!AA$32:AA$41)</f>
        <v>0.0270209229468382</v>
      </c>
      <c r="AB28" s="211" t="n">
        <f aca="false">MBI10!AB38/SUM(MBI10!AB$32:AB$41)</f>
        <v>0.027949993816168</v>
      </c>
      <c r="AC28" s="212" t="n">
        <f aca="false">MBI10!AC38/SUM(MBI10!AC$32:AC$41)</f>
        <v>0.0264699652667897</v>
      </c>
      <c r="AD28" s="213" t="n">
        <f aca="false">MBI10!AD38/SUM(MBI10!AD$32:AD$41)</f>
        <v>0.0292982440415905</v>
      </c>
      <c r="AE28" s="211" t="n">
        <f aca="false">MBI10!AE38/SUM(MBI10!AE$32:AE$41)</f>
        <v>0.0277075225422909</v>
      </c>
      <c r="AF28" s="34" t="n">
        <f aca="false">MBI10!AF38/SUM(MBI10!AF$32:AF$41)</f>
        <v>0.0274117278025584</v>
      </c>
      <c r="AG28" s="211" t="n">
        <f aca="false">MBI10!AG38/SUM(MBI10!AG$32:AG$41)</f>
        <v>0.0268484484742128</v>
      </c>
      <c r="AH28" s="211" t="n">
        <f aca="false">MBI10!AH38/SUM(MBI10!AH$32:AH$41)</f>
        <v>0.0261853492782671</v>
      </c>
      <c r="AI28" s="231" t="n">
        <f aca="false">MBI10!AI38/SUM(MBI10!AI$32:AI$41)</f>
        <v>0.0300016185979588</v>
      </c>
      <c r="AJ28" s="213" t="n">
        <f aca="false">MBI10!AJ38/SUM(MBI10!AJ$32:AJ$41)</f>
        <v>0.02984545179724</v>
      </c>
      <c r="AK28" s="211" t="n">
        <f aca="false">MBI10!AK38/SUM(MBI10!AK$32:AK$41)</f>
        <v>0.0285975657932199</v>
      </c>
      <c r="AL28" s="34" t="n">
        <f aca="false">MBI10!AK38/SUM(MBI10!AK$32:AK$41)</f>
        <v>0.0285975657932199</v>
      </c>
      <c r="AM28" s="211" t="n">
        <f aca="false">MBI10!AM38/SUM(MBI10!AM$32:AM$41)</f>
        <v>0.0270701502513902</v>
      </c>
      <c r="AN28" s="212" t="n">
        <f aca="false">MBI10!AN38/SUM(MBI10!AN$32:AN$41)</f>
        <v>0.0252785336433598</v>
      </c>
      <c r="AO28" s="213" t="n">
        <f aca="false">MBI10!AO38/SUM(MBI10!AO$32:AO$41)</f>
        <v>0.0255692644892144</v>
      </c>
      <c r="AP28" s="211" t="n">
        <f aca="false">MBI10!AP38/SUM(MBI10!AP$32:AP$41)</f>
        <v>0.0275754623507721</v>
      </c>
      <c r="AQ28" s="34" t="n">
        <f aca="false">MBI10!AQ38/SUM(MBI10!AQ$32:AQ$41)</f>
        <v>0.0265256062592466</v>
      </c>
    </row>
    <row r="29" customFormat="false" ht="12.8" hidden="false" customHeight="false" outlineLevel="0" collapsed="false">
      <c r="A29" s="139" t="s">
        <v>229</v>
      </c>
      <c r="B29" s="34" t="n">
        <f aca="false">MBI10!B39/SUM(MBI10!B$32:B$41)</f>
        <v>0.0171815081264009</v>
      </c>
      <c r="C29" s="34" t="n">
        <f aca="false">MBI10!C39/SUM(MBI10!C$32:C$41)</f>
        <v>0.0177328827934202</v>
      </c>
      <c r="D29" s="211" t="n">
        <f aca="false">MBI10!D39/SUM(MBI10!D$32:D$41)</f>
        <v>0.0178980781574828</v>
      </c>
      <c r="E29" s="34" t="n">
        <f aca="false">MBI10!E39/SUM(MBI10!E$32:E$41)</f>
        <v>0.018033473078566</v>
      </c>
      <c r="F29" s="211" t="n">
        <f aca="false">MBI10!F39/SUM(MBI10!F$32:F$41)</f>
        <v>0.018372271360143</v>
      </c>
      <c r="G29" s="34" t="n">
        <f aca="false">MBI10!G39/SUM(MBI10!G$32:G$41)</f>
        <v>0.0204625313013069</v>
      </c>
      <c r="H29" s="211" t="n">
        <f aca="false">MBI10!H39/SUM(MBI10!H$32:H$41)</f>
        <v>0.0199662615842991</v>
      </c>
      <c r="I29" s="231" t="n">
        <f aca="false">MBI10!I39/SUM(MBI10!I$32:I$41)</f>
        <v>0.0216006267593233</v>
      </c>
      <c r="J29" s="213" t="n">
        <f aca="false">MBI10!J39/SUM(MBI10!J$32:J$41)</f>
        <v>0.0192291521200794</v>
      </c>
      <c r="K29" s="211" t="n">
        <f aca="false">MBI10!K39/SUM(MBI10!K$32:K$41)</f>
        <v>0.0171387875763799</v>
      </c>
      <c r="L29" s="211" t="n">
        <f aca="false">MBI10!L39/SUM(MBI10!L$32:L$41)</f>
        <v>0.0175756453834497</v>
      </c>
      <c r="M29" s="34" t="n">
        <f aca="false">MBI10!M39/SUM(MBI10!M$32:M$41)</f>
        <v>0.0175887308547645</v>
      </c>
      <c r="N29" s="34" t="n">
        <f aca="false">MBI10!N39/SUM(MBI10!N$32:N$41)</f>
        <v>0.0177007401891346</v>
      </c>
      <c r="O29" s="211" t="n">
        <f aca="false">MBI10!O39/SUM(MBI10!O$32:O$41)</f>
        <v>0.0185585057604158</v>
      </c>
      <c r="P29" s="212" t="n">
        <f aca="false">MBI10!P39/SUM(MBI10!P$32:P$41)</f>
        <v>0.0174175993834153</v>
      </c>
      <c r="Q29" s="232" t="n">
        <f aca="false">MBI10!Q39/SUM(MBI10!Q$32:Q$41)</f>
        <v>0.00651717722644638</v>
      </c>
      <c r="R29" s="211" t="n">
        <f aca="false">MBI10!R39/SUM(MBI10!R$32:R$41)</f>
        <v>0.00746729312538799</v>
      </c>
      <c r="S29" s="34" t="n">
        <f aca="false">MBI10!S39/SUM(MBI10!S$32:S$41)</f>
        <v>0.00713219844762443</v>
      </c>
      <c r="T29" s="211" t="n">
        <f aca="false">MBI10!T39/SUM(MBI10!T$32:T$41)</f>
        <v>0.00792134514191728</v>
      </c>
      <c r="U29" s="211" t="n">
        <f aca="false">MBI10!U39/SUM(MBI10!U$32:U$41)</f>
        <v>0.00762932827547708</v>
      </c>
      <c r="V29" s="34" t="n">
        <f aca="false">MBI10!V39/SUM(MBI10!V$32:V$41)</f>
        <v>0.00775430880270051</v>
      </c>
      <c r="W29" s="34" t="n">
        <f aca="false">MBI10!W39/SUM(MBI10!W$32:W$41)</f>
        <v>0.00811715257954211</v>
      </c>
      <c r="X29" s="231" t="n">
        <f aca="false">MBI10!X39/SUM(MBI10!X$32:X$41)</f>
        <v>0.00820179691859035</v>
      </c>
      <c r="Y29" s="213" t="n">
        <f aca="false">MBI10!Y39/SUM(MBI10!Y$32:Y$41)</f>
        <v>0.00791624466843296</v>
      </c>
      <c r="Z29" s="211" t="n">
        <f aca="false">MBI10!Z39/SUM(MBI10!Z$32:Z$41)</f>
        <v>0.00823944267456936</v>
      </c>
      <c r="AA29" s="34" t="n">
        <f aca="false">MBI10!AA39/SUM(MBI10!AA$32:AA$41)</f>
        <v>0.00791945383837779</v>
      </c>
      <c r="AB29" s="211" t="n">
        <f aca="false">MBI10!AB39/SUM(MBI10!AB$32:AB$41)</f>
        <v>0.00932528510239292</v>
      </c>
      <c r="AC29" s="212" t="n">
        <f aca="false">MBI10!AC39/SUM(MBI10!AC$32:AC$41)</f>
        <v>0.00953911668067454</v>
      </c>
      <c r="AD29" s="213" t="n">
        <f aca="false">MBI10!AD39/SUM(MBI10!AD$32:AD$41)</f>
        <v>0.00961789095407173</v>
      </c>
      <c r="AE29" s="211" t="n">
        <f aca="false">MBI10!AE39/SUM(MBI10!AE$32:AE$41)</f>
        <v>0.00999060472620795</v>
      </c>
      <c r="AF29" s="34" t="n">
        <f aca="false">MBI10!AF39/SUM(MBI10!AF$32:AF$41)</f>
        <v>0.00931975027315034</v>
      </c>
      <c r="AG29" s="211" t="n">
        <f aca="false">MBI10!AG39/SUM(MBI10!AG$32:AG$41)</f>
        <v>0.00953127191623281</v>
      </c>
      <c r="AH29" s="211" t="n">
        <f aca="false">MBI10!AH39/SUM(MBI10!AH$32:AH$41)</f>
        <v>0.00967916049808172</v>
      </c>
      <c r="AI29" s="231" t="n">
        <f aca="false">MBI10!AI39/SUM(MBI10!AI$32:AI$41)</f>
        <v>0.0102275272771428</v>
      </c>
      <c r="AJ29" s="213" t="n">
        <f aca="false">MBI10!AJ39/SUM(MBI10!AJ$32:AJ$41)</f>
        <v>0.0104409668713343</v>
      </c>
      <c r="AK29" s="211" t="n">
        <f aca="false">MBI10!AK39/SUM(MBI10!AK$32:AK$41)</f>
        <v>0.00941794989546874</v>
      </c>
      <c r="AL29" s="34" t="n">
        <f aca="false">MBI10!AK39/SUM(MBI10!AK$32:AK$41)</f>
        <v>0.00941794989546874</v>
      </c>
      <c r="AM29" s="211" t="n">
        <f aca="false">MBI10!AM39/SUM(MBI10!AM$32:AM$41)</f>
        <v>0.00940046142391794</v>
      </c>
      <c r="AN29" s="212" t="n">
        <f aca="false">MBI10!AN39/SUM(MBI10!AN$32:AN$41)</f>
        <v>0.0103770210839982</v>
      </c>
      <c r="AO29" s="213" t="n">
        <f aca="false">MBI10!AO39/SUM(MBI10!AO$32:AO$41)</f>
        <v>0.00868825617833983</v>
      </c>
      <c r="AP29" s="211" t="n">
        <f aca="false">MBI10!AP39/SUM(MBI10!AP$32:AP$41)</f>
        <v>0.00989535703671505</v>
      </c>
      <c r="AQ29" s="34" t="n">
        <f aca="false">MBI10!AQ39/SUM(MBI10!AQ$32:AQ$41)</f>
        <v>0.00952140747843754</v>
      </c>
    </row>
    <row r="30" customFormat="false" ht="12.8" hidden="false" customHeight="false" outlineLevel="0" collapsed="false">
      <c r="A30" s="139" t="s">
        <v>186</v>
      </c>
      <c r="B30" s="34" t="n">
        <f aca="false">MBI10!B40/SUM(MBI10!B$32:B$41)</f>
        <v>0.0162915051739426</v>
      </c>
      <c r="C30" s="34" t="n">
        <f aca="false">MBI10!C40/SUM(MBI10!C$32:C$41)</f>
        <v>0.0158843912422291</v>
      </c>
      <c r="D30" s="211" t="n">
        <f aca="false">MBI10!D40/SUM(MBI10!D$32:D$41)</f>
        <v>0.0151550802819683</v>
      </c>
      <c r="E30" s="34" t="n">
        <f aca="false">MBI10!E40/SUM(MBI10!E$32:E$41)</f>
        <v>0.0171940407084818</v>
      </c>
      <c r="F30" s="211" t="n">
        <f aca="false">MBI10!F40/SUM(MBI10!F$32:F$41)</f>
        <v>0.0146588343127639</v>
      </c>
      <c r="G30" s="34" t="n">
        <f aca="false">MBI10!G40/SUM(MBI10!G$32:G$41)</f>
        <v>0.0135936805654008</v>
      </c>
      <c r="H30" s="211" t="n">
        <f aca="false">MBI10!H40/SUM(MBI10!H$32:H$41)</f>
        <v>0.0122868009899245</v>
      </c>
      <c r="I30" s="231" t="n">
        <f aca="false">MBI10!I40/SUM(MBI10!I$32:I$41)</f>
        <v>0.0126356181143834</v>
      </c>
      <c r="J30" s="213" t="n">
        <f aca="false">MBI10!J40/SUM(MBI10!J$32:J$41)</f>
        <v>0.0134225628155756</v>
      </c>
      <c r="K30" s="211" t="n">
        <f aca="false">MBI10!K40/SUM(MBI10!K$32:K$41)</f>
        <v>0.0124875508035968</v>
      </c>
      <c r="L30" s="211" t="n">
        <f aca="false">MBI10!L40/SUM(MBI10!L$32:L$41)</f>
        <v>0.01281112727959</v>
      </c>
      <c r="M30" s="34" t="n">
        <f aca="false">MBI10!M40/SUM(MBI10!M$32:M$41)</f>
        <v>0.0128206654578401</v>
      </c>
      <c r="N30" s="34" t="n">
        <f aca="false">MBI10!N40/SUM(MBI10!N$32:N$41)</f>
        <v>0.0127531427927766</v>
      </c>
      <c r="O30" s="211" t="n">
        <f aca="false">MBI10!O40/SUM(MBI10!O$32:O$41)</f>
        <v>0.0132230882260291</v>
      </c>
      <c r="P30" s="212" t="n">
        <f aca="false">MBI10!P40/SUM(MBI10!P$32:P$41)</f>
        <v>0.0133966745268619</v>
      </c>
      <c r="Q30" s="213" t="n">
        <f aca="false">MBI10!Q40/SUM(MBI10!Q$32:Q$41)</f>
        <v>0.0136709094431954</v>
      </c>
      <c r="R30" s="211" t="n">
        <f aca="false">MBI10!R40/SUM(MBI10!R$32:R$41)</f>
        <v>0.0141027713281748</v>
      </c>
      <c r="S30" s="34" t="n">
        <f aca="false">MBI10!S40/SUM(MBI10!S$32:S$41)</f>
        <v>0.0134456332052102</v>
      </c>
      <c r="T30" s="211" t="n">
        <f aca="false">MBI10!T40/SUM(MBI10!T$32:T$41)</f>
        <v>0.0139487647405265</v>
      </c>
      <c r="U30" s="211" t="n">
        <f aca="false">MBI10!U40/SUM(MBI10!U$32:U$41)</f>
        <v>0.0133301724206815</v>
      </c>
      <c r="V30" s="34" t="n">
        <f aca="false">MBI10!V40/SUM(MBI10!V$32:V$41)</f>
        <v>0.0140422917386497</v>
      </c>
      <c r="W30" s="34" t="n">
        <f aca="false">MBI10!W40/SUM(MBI10!W$32:W$41)</f>
        <v>0.0146993661858511</v>
      </c>
      <c r="X30" s="231" t="n">
        <f aca="false">MBI10!X40/SUM(MBI10!X$32:X$41)</f>
        <v>0.0135326983759492</v>
      </c>
      <c r="Y30" s="213" t="n">
        <f aca="false">MBI10!Y40/SUM(MBI10!Y$32:Y$41)</f>
        <v>0.0143479787796852</v>
      </c>
      <c r="Z30" s="211" t="n">
        <f aca="false">MBI10!Z40/SUM(MBI10!Z$32:Z$41)</f>
        <v>0.0149542939149045</v>
      </c>
      <c r="AA30" s="34" t="n">
        <f aca="false">MBI10!AA40/SUM(MBI10!AA$32:AA$41)</f>
        <v>0.01528792650095</v>
      </c>
      <c r="AB30" s="211" t="n">
        <f aca="false">MBI10!AB40/SUM(MBI10!AB$32:AB$41)</f>
        <v>0.0154331845944594</v>
      </c>
      <c r="AC30" s="212" t="n">
        <f aca="false">MBI10!AC40/SUM(MBI10!AC$32:AC$41)</f>
        <v>0.015399532823424</v>
      </c>
      <c r="AD30" s="213" t="n">
        <f aca="false">MBI10!AD40/SUM(MBI10!AD$32:AD$41)</f>
        <v>0.0160651769809716</v>
      </c>
      <c r="AE30" s="211" t="n">
        <f aca="false">MBI10!AE40/SUM(MBI10!AE$32:AE$41)</f>
        <v>0.015843934150877</v>
      </c>
      <c r="AF30" s="34" t="n">
        <f aca="false">MBI10!AF40/SUM(MBI10!AF$32:AF$41)</f>
        <v>0.0156787482112668</v>
      </c>
      <c r="AG30" s="211" t="n">
        <f aca="false">MBI10!AG40/SUM(MBI10!AG$32:AG$41)</f>
        <v>0.0190214424605401</v>
      </c>
      <c r="AH30" s="211" t="n">
        <f aca="false">MBI10!AH40/SUM(MBI10!AH$32:AH$41)</f>
        <v>0.0214513191431274</v>
      </c>
      <c r="AI30" s="231" t="n">
        <f aca="false">MBI10!AI40/SUM(MBI10!AI$32:AI$41)</f>
        <v>0.0209941387808565</v>
      </c>
      <c r="AJ30" s="213" t="n">
        <f aca="false">MBI10!AJ40/SUM(MBI10!AJ$32:AJ$41)</f>
        <v>0.0219682701969944</v>
      </c>
      <c r="AK30" s="211" t="n">
        <f aca="false">MBI10!AK40/SUM(MBI10!AK$32:AK$41)</f>
        <v>0.0218450992084744</v>
      </c>
      <c r="AL30" s="34" t="n">
        <f aca="false">MBI10!AK40/SUM(MBI10!AK$32:AK$41)</f>
        <v>0.0218450992084744</v>
      </c>
      <c r="AM30" s="211" t="n">
        <f aca="false">MBI10!AM40/SUM(MBI10!AM$32:AM$41)</f>
        <v>0.0244053471651104</v>
      </c>
      <c r="AN30" s="212" t="n">
        <f aca="false">MBI10!AN40/SUM(MBI10!AN$32:AN$41)</f>
        <v>0.0229287012535931</v>
      </c>
      <c r="AO30" s="213" t="n">
        <f aca="false">MBI10!AO40/SUM(MBI10!AO$32:AO$41)</f>
        <v>0.0235169134722946</v>
      </c>
      <c r="AP30" s="211" t="n">
        <f aca="false">MBI10!AP40/SUM(MBI10!AP$32:AP$41)</f>
        <v>0.022897573684844</v>
      </c>
      <c r="AQ30" s="34" t="n">
        <f aca="false">MBI10!AQ40/SUM(MBI10!AQ$32:AQ$41)</f>
        <v>0.0227771280731306</v>
      </c>
    </row>
    <row r="31" customFormat="false" ht="12.8" hidden="false" customHeight="false" outlineLevel="0" collapsed="false">
      <c r="A31" s="139" t="s">
        <v>189</v>
      </c>
      <c r="B31" s="34" t="n">
        <f aca="false">MBI10!B41/SUM(MBI10!B$32:B$41)</f>
        <v>0.00711390981685053</v>
      </c>
      <c r="C31" s="34" t="n">
        <f aca="false">MBI10!C41/SUM(MBI10!C$32:C$41)</f>
        <v>0.00758234921040632</v>
      </c>
      <c r="D31" s="211" t="n">
        <f aca="false">MBI10!D41/SUM(MBI10!D$32:D$41)</f>
        <v>0.00758734703265483</v>
      </c>
      <c r="E31" s="34" t="n">
        <f aca="false">MBI10!E41/SUM(MBI10!E$32:E$41)</f>
        <v>0.00668769168387249</v>
      </c>
      <c r="F31" s="211" t="n">
        <f aca="false">MBI10!F41/SUM(MBI10!F$32:F$41)</f>
        <v>0.00661919121114689</v>
      </c>
      <c r="G31" s="34" t="n">
        <f aca="false">MBI10!G41/SUM(MBI10!G$32:G$41)</f>
        <v>0.00691534402533082</v>
      </c>
      <c r="H31" s="211" t="n">
        <f aca="false">MBI10!H41/SUM(MBI10!H$32:H$41)</f>
        <v>0.00696869038582967</v>
      </c>
      <c r="I31" s="231" t="n">
        <f aca="false">MBI10!I41/SUM(MBI10!I$32:I$41)</f>
        <v>0.00735108516317709</v>
      </c>
      <c r="J31" s="213" t="n">
        <f aca="false">MBI10!J41/SUM(MBI10!J$32:J$41)</f>
        <v>0.00818402029163833</v>
      </c>
      <c r="K31" s="211" t="n">
        <f aca="false">MBI10!K41/SUM(MBI10!K$32:K$41)</f>
        <v>0.00712199408724937</v>
      </c>
      <c r="L31" s="211" t="n">
        <f aca="false">MBI10!L41/SUM(MBI10!L$32:L$41)</f>
        <v>0.00730724007256293</v>
      </c>
      <c r="M31" s="34" t="n">
        <f aca="false">MBI10!M41/SUM(MBI10!M$32:M$41)</f>
        <v>0.0073118030641162</v>
      </c>
      <c r="N31" s="34" t="n">
        <f aca="false">MBI10!N41/SUM(MBI10!N$32:N$41)</f>
        <v>0.00735660075722798</v>
      </c>
      <c r="O31" s="211" t="n">
        <f aca="false">MBI10!O41/SUM(MBI10!O$32:O$41)</f>
        <v>0.00748424832782575</v>
      </c>
      <c r="P31" s="212" t="n">
        <f aca="false">MBI10!P41/SUM(MBI10!P$32:P$41)</f>
        <v>0.00798541589430562</v>
      </c>
      <c r="Q31" s="213" t="n">
        <f aca="false">MBI10!Q41/SUM(MBI10!Q$32:Q$41)</f>
        <v>0.00845163253865689</v>
      </c>
      <c r="R31" s="211" t="n">
        <f aca="false">MBI10!R41/SUM(MBI10!R$32:R$41)</f>
        <v>0.00887947840084157</v>
      </c>
      <c r="S31" s="34" t="n">
        <f aca="false">MBI10!S41/SUM(MBI10!S$32:S$41)</f>
        <v>0.00835809871164016</v>
      </c>
      <c r="T31" s="211" t="n">
        <f aca="false">MBI10!T41/SUM(MBI10!T$32:T$41)</f>
        <v>0.00872638339040881</v>
      </c>
      <c r="U31" s="211" t="n">
        <f aca="false">MBI10!U41/SUM(MBI10!U$32:U$41)</f>
        <v>0.0080862900786652</v>
      </c>
      <c r="V31" s="34" t="n">
        <f aca="false">MBI10!V41/SUM(MBI10!V$32:V$41)</f>
        <v>0.00835832531788754</v>
      </c>
      <c r="W31" s="34" t="n">
        <f aca="false">MBI10!W41/SUM(MBI10!W$32:W$41)</f>
        <v>0.00822486215273313</v>
      </c>
      <c r="X31" s="231" t="n">
        <f aca="false">MBI10!X41/SUM(MBI10!X$32:X$41)</f>
        <v>0.0075720665292245</v>
      </c>
      <c r="Y31" s="213" t="n">
        <f aca="false">MBI10!Y41/SUM(MBI10!Y$32:Y$41)</f>
        <v>0.00849261831142549</v>
      </c>
      <c r="Z31" s="211" t="n">
        <f aca="false">MBI10!Z41/SUM(MBI10!Z$32:Z$41)</f>
        <v>0.00900624481344143</v>
      </c>
      <c r="AA31" s="34" t="n">
        <f aca="false">MBI10!AA41/SUM(MBI10!AA$32:AA$41)</f>
        <v>0.00889001695726288</v>
      </c>
      <c r="AB31" s="211" t="n">
        <f aca="false">MBI10!AB41/SUM(MBI10!AB$32:AB$41)</f>
        <v>0.0100532391504815</v>
      </c>
      <c r="AC31" s="212" t="n">
        <f aca="false">MBI10!AC41/SUM(MBI10!AC$32:AC$41)</f>
        <v>0.0104014634402863</v>
      </c>
      <c r="AD31" s="213" t="n">
        <f aca="false">MBI10!AD41/SUM(MBI10!AD$32:AD$41)</f>
        <v>0.0104777619994163</v>
      </c>
      <c r="AE31" s="211" t="n">
        <f aca="false">MBI10!AE41/SUM(MBI10!AE$32:AE$41)</f>
        <v>0.0103372012389706</v>
      </c>
      <c r="AF31" s="34" t="n">
        <f aca="false">MBI10!AF41/SUM(MBI10!AF$32:AF$41)</f>
        <v>0.0105045990818514</v>
      </c>
      <c r="AG31" s="211" t="n">
        <f aca="false">MBI10!AG41/SUM(MBI10!AG$32:AG$41)</f>
        <v>0.00997258798968546</v>
      </c>
      <c r="AH31" s="211" t="n">
        <f aca="false">MBI10!AH41/SUM(MBI10!AH$32:AH$41)</f>
        <v>0.0114118606360399</v>
      </c>
      <c r="AI31" s="231" t="n">
        <f aca="false">MBI10!AI41/SUM(MBI10!AI$32:AI$41)</f>
        <v>0.012370171771927</v>
      </c>
      <c r="AJ31" s="213" t="n">
        <f aca="false">MBI10!AJ41/SUM(MBI10!AJ$32:AJ$41)</f>
        <v>0.0122053511190797</v>
      </c>
      <c r="AK31" s="211" t="n">
        <f aca="false">MBI10!AK41/SUM(MBI10!AK$32:AK$41)</f>
        <v>0.0118078367090153</v>
      </c>
      <c r="AL31" s="34" t="n">
        <f aca="false">MBI10!AK41/SUM(MBI10!AK$32:AK$41)</f>
        <v>0.0118078367090153</v>
      </c>
      <c r="AM31" s="211" t="n">
        <f aca="false">MBI10!AM41/SUM(MBI10!AM$32:AM$41)</f>
        <v>0.0118466854576765</v>
      </c>
      <c r="AN31" s="212" t="n">
        <f aca="false">MBI10!AN41/SUM(MBI10!AN$32:AN$41)</f>
        <v>0.0125752393503439</v>
      </c>
      <c r="AO31" s="213" t="n">
        <f aca="false">MBI10!AO41/SUM(MBI10!AO$32:AO$41)</f>
        <v>0.0120302270076672</v>
      </c>
      <c r="AP31" s="211" t="n">
        <f aca="false">MBI10!AP41/SUM(MBI10!AP$32:AP$41)</f>
        <v>0.0113044395628802</v>
      </c>
      <c r="AQ31" s="34" t="n">
        <f aca="false">MBI10!AQ41/SUM(MBI10!AQ$32:AQ$41)</f>
        <v>0.0107059733129496</v>
      </c>
    </row>
    <row r="32" customFormat="false" ht="12.8" hidden="false" customHeight="false" outlineLevel="0" collapsed="false">
      <c r="A32" s="139"/>
      <c r="B32" s="230"/>
      <c r="C32" s="34"/>
      <c r="D32" s="211"/>
      <c r="E32" s="34"/>
      <c r="F32" s="211"/>
      <c r="G32" s="34"/>
      <c r="H32" s="211"/>
      <c r="I32" s="231"/>
      <c r="J32" s="213"/>
      <c r="K32" s="211"/>
      <c r="L32" s="211"/>
      <c r="M32" s="34"/>
      <c r="N32" s="34"/>
      <c r="O32" s="211"/>
      <c r="P32" s="212"/>
      <c r="Q32" s="213"/>
      <c r="R32" s="211"/>
      <c r="S32" s="34"/>
      <c r="T32" s="211"/>
      <c r="U32" s="211"/>
      <c r="V32" s="34"/>
      <c r="W32" s="34"/>
      <c r="X32" s="231"/>
      <c r="Y32" s="213"/>
      <c r="Z32" s="211"/>
      <c r="AA32" s="34"/>
      <c r="AB32" s="211"/>
      <c r="AC32" s="212"/>
      <c r="AD32" s="213"/>
      <c r="AE32" s="211"/>
      <c r="AF32" s="34"/>
      <c r="AG32" s="211"/>
      <c r="AH32" s="211"/>
      <c r="AI32" s="231"/>
      <c r="AJ32" s="213"/>
      <c r="AK32" s="211"/>
      <c r="AL32" s="34"/>
      <c r="AM32" s="211"/>
      <c r="AN32" s="212"/>
      <c r="AO32" s="213"/>
      <c r="AP32" s="211"/>
    </row>
    <row r="33" customFormat="false" ht="12.8" hidden="false" customHeight="false" outlineLevel="0" collapsed="false">
      <c r="A33" s="139"/>
      <c r="B33" s="230"/>
      <c r="C33" s="34"/>
      <c r="D33" s="211"/>
      <c r="E33" s="34"/>
      <c r="F33" s="211"/>
      <c r="G33" s="34"/>
      <c r="H33" s="211"/>
      <c r="I33" s="231"/>
      <c r="J33" s="213"/>
      <c r="K33" s="211"/>
      <c r="L33" s="211"/>
      <c r="M33" s="34"/>
      <c r="N33" s="34"/>
      <c r="O33" s="211"/>
      <c r="P33" s="212"/>
      <c r="Q33" s="213"/>
      <c r="R33" s="211"/>
      <c r="S33" s="34"/>
      <c r="T33" s="211"/>
      <c r="U33" s="211"/>
      <c r="V33" s="34"/>
      <c r="W33" s="34"/>
      <c r="X33" s="231"/>
      <c r="Y33" s="213"/>
      <c r="Z33" s="211"/>
      <c r="AA33" s="34"/>
      <c r="AB33" s="211"/>
      <c r="AC33" s="212"/>
      <c r="AD33" s="213"/>
      <c r="AE33" s="211"/>
      <c r="AF33" s="34"/>
      <c r="AG33" s="211"/>
      <c r="AH33" s="211"/>
      <c r="AI33" s="231"/>
      <c r="AJ33" s="213"/>
      <c r="AK33" s="211"/>
      <c r="AL33" s="34"/>
      <c r="AM33" s="211"/>
      <c r="AN33" s="212"/>
      <c r="AO33" s="213"/>
      <c r="AP33" s="211"/>
    </row>
    <row r="34" customFormat="false" ht="12.8" hidden="false" customHeight="false" outlineLevel="0" collapsed="false">
      <c r="A34" s="139" t="s">
        <v>258</v>
      </c>
      <c r="B34" s="230"/>
      <c r="C34" s="34"/>
      <c r="D34" s="211"/>
      <c r="E34" s="34"/>
      <c r="F34" s="211"/>
      <c r="G34" s="233"/>
      <c r="H34" s="211"/>
      <c r="I34" s="231"/>
      <c r="J34" s="213"/>
      <c r="K34" s="211"/>
      <c r="L34" s="211"/>
      <c r="M34" s="34"/>
      <c r="N34" s="34"/>
      <c r="O34" s="213"/>
      <c r="P34" s="212"/>
      <c r="Q34" s="213"/>
      <c r="R34" s="211"/>
      <c r="S34" s="34"/>
      <c r="T34" s="213"/>
      <c r="U34" s="211"/>
      <c r="V34" s="34"/>
      <c r="W34" s="34"/>
      <c r="X34" s="231"/>
      <c r="Y34" s="213"/>
      <c r="Z34" s="211"/>
      <c r="AA34" s="34"/>
      <c r="AB34" s="211"/>
      <c r="AC34" s="212"/>
      <c r="AD34" s="213"/>
      <c r="AE34" s="211"/>
      <c r="AF34" s="34"/>
      <c r="AG34" s="211"/>
      <c r="AH34" s="211"/>
      <c r="AI34" s="231"/>
      <c r="AJ34" s="213"/>
      <c r="AK34" s="211"/>
      <c r="AL34" s="34"/>
      <c r="AM34" s="211"/>
      <c r="AN34" s="212"/>
      <c r="AO34" s="213"/>
      <c r="AP34" s="211"/>
    </row>
    <row r="35" customFormat="false" ht="12.8" hidden="false" customHeight="false" outlineLevel="0" collapsed="false">
      <c r="A35" s="139" t="s">
        <v>24</v>
      </c>
      <c r="B35" s="34" t="n">
        <v>0.2</v>
      </c>
      <c r="C35" s="34" t="n">
        <v>0.2</v>
      </c>
      <c r="D35" s="211" t="n">
        <v>0.2</v>
      </c>
      <c r="E35" s="34" t="n">
        <v>0.2</v>
      </c>
      <c r="F35" s="211" t="n">
        <v>0.2</v>
      </c>
      <c r="G35" s="233" t="n">
        <v>0.2</v>
      </c>
      <c r="H35" s="211" t="n">
        <v>0.2</v>
      </c>
      <c r="I35" s="231" t="n">
        <v>0.2</v>
      </c>
      <c r="J35" s="213" t="n">
        <v>0.2</v>
      </c>
      <c r="K35" s="211" t="n">
        <v>0.2</v>
      </c>
      <c r="L35" s="211" t="n">
        <v>0.2</v>
      </c>
      <c r="M35" s="34" t="n">
        <v>0.2</v>
      </c>
      <c r="N35" s="34" t="n">
        <v>0.2</v>
      </c>
      <c r="O35" s="213" t="n">
        <v>0.2</v>
      </c>
      <c r="P35" s="212" t="n">
        <v>0.2</v>
      </c>
      <c r="Q35" s="213" t="n">
        <v>0.2</v>
      </c>
      <c r="R35" s="211" t="n">
        <v>0.2</v>
      </c>
      <c r="S35" s="34" t="n">
        <v>0.2</v>
      </c>
      <c r="T35" s="213" t="n">
        <v>0.2</v>
      </c>
      <c r="U35" s="211" t="n">
        <v>0.2</v>
      </c>
      <c r="V35" s="34" t="n">
        <v>0.2</v>
      </c>
      <c r="W35" s="34" t="n">
        <v>0.2</v>
      </c>
      <c r="X35" s="231" t="n">
        <v>0.2</v>
      </c>
      <c r="Y35" s="213" t="n">
        <v>0.2</v>
      </c>
      <c r="Z35" s="211" t="n">
        <v>0.2</v>
      </c>
      <c r="AA35" s="34" t="n">
        <v>0.2</v>
      </c>
      <c r="AB35" s="213"/>
      <c r="AC35" s="212"/>
      <c r="AD35" s="213"/>
      <c r="AE35" s="211"/>
      <c r="AF35" s="34"/>
      <c r="AG35" s="211"/>
      <c r="AH35" s="211"/>
      <c r="AI35" s="231"/>
      <c r="AJ35" s="213"/>
      <c r="AK35" s="211"/>
      <c r="AL35" s="34"/>
      <c r="AM35" s="211"/>
      <c r="AN35" s="212"/>
      <c r="AO35" s="213"/>
      <c r="AP35" s="211"/>
    </row>
    <row r="36" customFormat="false" ht="12.8" hidden="false" customHeight="false" outlineLevel="0" collapsed="false">
      <c r="A36" s="139" t="s">
        <v>180</v>
      </c>
      <c r="B36" s="34" t="n">
        <v>0.0507</v>
      </c>
      <c r="C36" s="34" t="n">
        <v>0.0507</v>
      </c>
      <c r="D36" s="211" t="n">
        <v>0.0507</v>
      </c>
      <c r="E36" s="34" t="n">
        <v>0.0507</v>
      </c>
      <c r="F36" s="211" t="n">
        <v>0.0507</v>
      </c>
      <c r="G36" s="233" t="n">
        <v>0.057</v>
      </c>
      <c r="H36" s="211" t="n">
        <v>0.057</v>
      </c>
      <c r="I36" s="231" t="n">
        <v>0.057</v>
      </c>
      <c r="J36" s="213" t="n">
        <v>0.0595</v>
      </c>
      <c r="K36" s="211" t="n">
        <v>0.0595</v>
      </c>
      <c r="L36" s="211" t="n">
        <v>0.0595</v>
      </c>
      <c r="M36" s="34" t="n">
        <v>0.0595</v>
      </c>
      <c r="N36" s="34" t="n">
        <v>0.0595</v>
      </c>
      <c r="O36" s="213" t="n">
        <v>0.0555</v>
      </c>
      <c r="P36" s="212" t="n">
        <v>0.0555</v>
      </c>
      <c r="Q36" s="213" t="n">
        <v>0.0523</v>
      </c>
      <c r="R36" s="211" t="n">
        <v>0.0523</v>
      </c>
      <c r="S36" s="34" t="n">
        <v>0.0523</v>
      </c>
      <c r="T36" s="213" t="n">
        <v>0.0473</v>
      </c>
      <c r="U36" s="211" t="n">
        <v>0.0473</v>
      </c>
      <c r="V36" s="34" t="n">
        <v>0.0473</v>
      </c>
      <c r="W36" s="34" t="n">
        <v>0.0473</v>
      </c>
      <c r="X36" s="231" t="n">
        <v>0.0473</v>
      </c>
      <c r="Y36" s="213" t="n">
        <v>0.0502</v>
      </c>
      <c r="Z36" s="211" t="n">
        <v>0.0502</v>
      </c>
      <c r="AA36" s="34" t="n">
        <v>0.0502</v>
      </c>
      <c r="AB36" s="213"/>
      <c r="AC36" s="212"/>
      <c r="AD36" s="213"/>
      <c r="AE36" s="211"/>
      <c r="AF36" s="34"/>
      <c r="AG36" s="211"/>
      <c r="AH36" s="211"/>
      <c r="AI36" s="231"/>
      <c r="AJ36" s="213"/>
      <c r="AK36" s="211"/>
      <c r="AL36" s="34"/>
      <c r="AM36" s="211"/>
      <c r="AN36" s="212"/>
      <c r="AO36" s="213"/>
      <c r="AP36" s="211"/>
    </row>
    <row r="37" customFormat="false" ht="12.8" hidden="false" customHeight="false" outlineLevel="0" collapsed="false">
      <c r="A37" s="139" t="s">
        <v>181</v>
      </c>
      <c r="B37" s="34" t="n">
        <v>0.1322</v>
      </c>
      <c r="C37" s="34" t="n">
        <v>0.1322</v>
      </c>
      <c r="D37" s="211" t="n">
        <v>0.1322</v>
      </c>
      <c r="E37" s="34" t="n">
        <v>0.1322</v>
      </c>
      <c r="F37" s="211" t="n">
        <v>0.1322</v>
      </c>
      <c r="G37" s="233" t="n">
        <v>0.1205</v>
      </c>
      <c r="H37" s="211" t="n">
        <v>0.1205</v>
      </c>
      <c r="I37" s="231" t="n">
        <v>0.1205</v>
      </c>
      <c r="J37" s="213" t="n">
        <v>0.1128</v>
      </c>
      <c r="K37" s="211" t="n">
        <v>0.1128</v>
      </c>
      <c r="L37" s="211" t="n">
        <v>0.1128</v>
      </c>
      <c r="M37" s="34" t="n">
        <v>0.1128</v>
      </c>
      <c r="N37" s="34" t="n">
        <v>0.1128</v>
      </c>
      <c r="O37" s="213" t="n">
        <v>0.1018</v>
      </c>
      <c r="P37" s="212" t="n">
        <v>0.1018</v>
      </c>
      <c r="Q37" s="213" t="n">
        <v>0.0975</v>
      </c>
      <c r="R37" s="211" t="n">
        <v>0.0975</v>
      </c>
      <c r="S37" s="34" t="n">
        <v>0.0975</v>
      </c>
      <c r="T37" s="213" t="n">
        <v>0.1076</v>
      </c>
      <c r="U37" s="211" t="n">
        <v>0.1076</v>
      </c>
      <c r="V37" s="34" t="n">
        <v>0.1076</v>
      </c>
      <c r="W37" s="34" t="n">
        <v>0.1076</v>
      </c>
      <c r="X37" s="231" t="n">
        <v>0.1076</v>
      </c>
      <c r="Y37" s="213" t="n">
        <v>0.0935</v>
      </c>
      <c r="Z37" s="211" t="n">
        <v>0.0935</v>
      </c>
      <c r="AA37" s="34" t="n">
        <v>0.0935</v>
      </c>
      <c r="AB37" s="213"/>
      <c r="AC37" s="212"/>
      <c r="AD37" s="213"/>
      <c r="AE37" s="211"/>
      <c r="AF37" s="34"/>
      <c r="AG37" s="211"/>
      <c r="AH37" s="211"/>
      <c r="AI37" s="231"/>
      <c r="AJ37" s="213"/>
      <c r="AK37" s="211"/>
      <c r="AL37" s="34"/>
      <c r="AM37" s="211"/>
      <c r="AN37" s="212"/>
      <c r="AO37" s="213"/>
      <c r="AP37" s="211"/>
    </row>
    <row r="38" customFormat="false" ht="12.8" hidden="false" customHeight="false" outlineLevel="0" collapsed="false">
      <c r="A38" s="139" t="s">
        <v>30</v>
      </c>
      <c r="B38" s="34" t="n">
        <v>0.2</v>
      </c>
      <c r="C38" s="34" t="n">
        <v>0.2</v>
      </c>
      <c r="D38" s="211" t="n">
        <v>0.2</v>
      </c>
      <c r="E38" s="34" t="n">
        <v>0.2</v>
      </c>
      <c r="F38" s="211" t="n">
        <v>0.2</v>
      </c>
      <c r="G38" s="233" t="n">
        <v>0.2</v>
      </c>
      <c r="H38" s="211" t="n">
        <v>0.2</v>
      </c>
      <c r="I38" s="231" t="n">
        <v>0.2</v>
      </c>
      <c r="J38" s="213" t="n">
        <v>0.2</v>
      </c>
      <c r="K38" s="211" t="n">
        <v>0.2</v>
      </c>
      <c r="L38" s="211" t="n">
        <v>0.2</v>
      </c>
      <c r="M38" s="34" t="n">
        <v>0.2</v>
      </c>
      <c r="N38" s="34" t="n">
        <v>0.2</v>
      </c>
      <c r="O38" s="213" t="n">
        <v>0.2</v>
      </c>
      <c r="P38" s="212" t="n">
        <v>0.2</v>
      </c>
      <c r="Q38" s="213" t="n">
        <v>0.2</v>
      </c>
      <c r="R38" s="211" t="n">
        <v>0.2</v>
      </c>
      <c r="S38" s="34" t="n">
        <v>0.2</v>
      </c>
      <c r="T38" s="213" t="n">
        <v>0.2</v>
      </c>
      <c r="U38" s="211" t="n">
        <v>0.2</v>
      </c>
      <c r="V38" s="34" t="n">
        <v>0.2</v>
      </c>
      <c r="W38" s="34" t="n">
        <v>0.2</v>
      </c>
      <c r="X38" s="231" t="n">
        <v>0.2</v>
      </c>
      <c r="Y38" s="213" t="n">
        <v>0.2</v>
      </c>
      <c r="Z38" s="211" t="n">
        <v>0.2</v>
      </c>
      <c r="AA38" s="34" t="n">
        <v>0.2</v>
      </c>
      <c r="AB38" s="213"/>
      <c r="AC38" s="212"/>
      <c r="AD38" s="213"/>
      <c r="AE38" s="211"/>
      <c r="AF38" s="34"/>
      <c r="AG38" s="211"/>
      <c r="AH38" s="211"/>
      <c r="AI38" s="231"/>
      <c r="AJ38" s="213"/>
      <c r="AK38" s="211"/>
      <c r="AL38" s="34"/>
      <c r="AM38" s="211"/>
      <c r="AN38" s="212"/>
      <c r="AO38" s="213"/>
      <c r="AP38" s="211"/>
    </row>
    <row r="39" customFormat="false" ht="12.8" hidden="false" customHeight="false" outlineLevel="0" collapsed="false">
      <c r="A39" s="139" t="s">
        <v>182</v>
      </c>
      <c r="B39" s="34" t="n">
        <v>0.0442</v>
      </c>
      <c r="C39" s="34" t="n">
        <v>0.0442</v>
      </c>
      <c r="D39" s="211" t="n">
        <v>0.0442</v>
      </c>
      <c r="E39" s="34" t="n">
        <v>0.0442</v>
      </c>
      <c r="F39" s="211" t="n">
        <v>0.0442</v>
      </c>
      <c r="G39" s="233" t="n">
        <v>0.0454</v>
      </c>
      <c r="H39" s="211" t="n">
        <v>0.0454</v>
      </c>
      <c r="I39" s="231" t="n">
        <v>0.0454</v>
      </c>
      <c r="J39" s="213" t="n">
        <v>0.0439</v>
      </c>
      <c r="K39" s="211" t="n">
        <v>0.0439</v>
      </c>
      <c r="L39" s="211" t="n">
        <v>0.0439</v>
      </c>
      <c r="M39" s="34" t="n">
        <v>0.0439</v>
      </c>
      <c r="N39" s="34" t="n">
        <v>0.0439</v>
      </c>
      <c r="O39" s="213" t="n">
        <v>0.0492</v>
      </c>
      <c r="P39" s="212" t="n">
        <v>0.0492</v>
      </c>
      <c r="Q39" s="213" t="n">
        <v>0.0447</v>
      </c>
      <c r="R39" s="211" t="n">
        <v>0.0447</v>
      </c>
      <c r="S39" s="34" t="n">
        <v>0.0447</v>
      </c>
      <c r="T39" s="213" t="n">
        <v>0.0423</v>
      </c>
      <c r="U39" s="211" t="n">
        <v>0.0423</v>
      </c>
      <c r="V39" s="34" t="n">
        <v>0.0423</v>
      </c>
      <c r="W39" s="34" t="n">
        <v>0.0423</v>
      </c>
      <c r="X39" s="231" t="n">
        <v>0.0423</v>
      </c>
      <c r="Y39" s="213" t="n">
        <v>0.0412</v>
      </c>
      <c r="Z39" s="211" t="n">
        <v>0.0412</v>
      </c>
      <c r="AA39" s="34" t="n">
        <v>0.0412</v>
      </c>
      <c r="AB39" s="213"/>
      <c r="AC39" s="212"/>
      <c r="AD39" s="213"/>
      <c r="AE39" s="211"/>
      <c r="AF39" s="34"/>
      <c r="AG39" s="211"/>
      <c r="AH39" s="211"/>
      <c r="AI39" s="231"/>
      <c r="AJ39" s="213"/>
      <c r="AK39" s="211"/>
      <c r="AL39" s="34"/>
      <c r="AM39" s="211"/>
      <c r="AN39" s="212"/>
      <c r="AO39" s="213"/>
      <c r="AP39" s="211"/>
    </row>
    <row r="40" customFormat="false" ht="12.8" hidden="false" customHeight="false" outlineLevel="0" collapsed="false">
      <c r="A40" s="139" t="s">
        <v>27</v>
      </c>
      <c r="B40" s="34" t="n">
        <v>0.1849</v>
      </c>
      <c r="C40" s="34" t="n">
        <v>0.1849</v>
      </c>
      <c r="D40" s="211" t="n">
        <v>0.1849</v>
      </c>
      <c r="E40" s="34" t="n">
        <v>0.1849</v>
      </c>
      <c r="F40" s="211" t="n">
        <v>0.1849</v>
      </c>
      <c r="G40" s="233" t="n">
        <v>0.183</v>
      </c>
      <c r="H40" s="211" t="n">
        <v>0.183</v>
      </c>
      <c r="I40" s="231" t="n">
        <v>0.183</v>
      </c>
      <c r="J40" s="213" t="n">
        <v>0.1897</v>
      </c>
      <c r="K40" s="211" t="n">
        <v>0.1897</v>
      </c>
      <c r="L40" s="211" t="n">
        <v>0.1897</v>
      </c>
      <c r="M40" s="34" t="n">
        <v>0.1897</v>
      </c>
      <c r="N40" s="34" t="n">
        <v>0.1897</v>
      </c>
      <c r="O40" s="213" t="n">
        <v>0.1986</v>
      </c>
      <c r="P40" s="212" t="n">
        <v>0.1986</v>
      </c>
      <c r="Q40" s="213" t="n">
        <v>0.1935</v>
      </c>
      <c r="R40" s="211" t="n">
        <v>0.1935</v>
      </c>
      <c r="S40" s="34" t="n">
        <v>0.1935</v>
      </c>
      <c r="T40" s="213" t="n">
        <v>0.1934</v>
      </c>
      <c r="U40" s="211" t="n">
        <v>0.1934</v>
      </c>
      <c r="V40" s="34" t="n">
        <v>0.1934</v>
      </c>
      <c r="W40" s="34" t="n">
        <v>0.1934</v>
      </c>
      <c r="X40" s="231" t="n">
        <v>0.1934</v>
      </c>
      <c r="Y40" s="213" t="n">
        <v>0.194</v>
      </c>
      <c r="Z40" s="211" t="n">
        <v>0.194</v>
      </c>
      <c r="AA40" s="34" t="n">
        <v>0.194</v>
      </c>
      <c r="AB40" s="213"/>
      <c r="AC40" s="212"/>
      <c r="AD40" s="213"/>
      <c r="AE40" s="211"/>
      <c r="AF40" s="34"/>
      <c r="AG40" s="211"/>
      <c r="AH40" s="211"/>
      <c r="AI40" s="231"/>
      <c r="AJ40" s="213"/>
      <c r="AK40" s="211"/>
      <c r="AL40" s="34"/>
      <c r="AM40" s="211"/>
      <c r="AN40" s="212"/>
      <c r="AO40" s="213"/>
      <c r="AP40" s="211"/>
    </row>
    <row r="41" customFormat="false" ht="12.8" hidden="false" customHeight="false" outlineLevel="0" collapsed="false">
      <c r="A41" s="139" t="s">
        <v>184</v>
      </c>
      <c r="B41" s="34" t="n">
        <v>0.083</v>
      </c>
      <c r="C41" s="34" t="n">
        <v>0.083</v>
      </c>
      <c r="D41" s="211" t="n">
        <v>0.083</v>
      </c>
      <c r="E41" s="34" t="n">
        <v>0.083</v>
      </c>
      <c r="F41" s="211" t="n">
        <v>0.083</v>
      </c>
      <c r="G41" s="233" t="n">
        <v>0.0879</v>
      </c>
      <c r="H41" s="211" t="n">
        <v>0.0879</v>
      </c>
      <c r="I41" s="231" t="n">
        <v>0.0879</v>
      </c>
      <c r="J41" s="213" t="n">
        <v>0.0933</v>
      </c>
      <c r="K41" s="211" t="n">
        <v>0.0933</v>
      </c>
      <c r="L41" s="211" t="n">
        <v>0.0933</v>
      </c>
      <c r="M41" s="34" t="n">
        <v>0.0933</v>
      </c>
      <c r="N41" s="34" t="n">
        <v>0.0933</v>
      </c>
      <c r="O41" s="213" t="n">
        <v>0.1048</v>
      </c>
      <c r="P41" s="212" t="n">
        <v>0.1048</v>
      </c>
      <c r="Q41" s="213" t="n">
        <v>0.1047</v>
      </c>
      <c r="R41" s="211" t="n">
        <v>0.1047</v>
      </c>
      <c r="S41" s="34" t="n">
        <v>0.1047</v>
      </c>
      <c r="T41" s="213" t="n">
        <v>0.1054</v>
      </c>
      <c r="U41" s="211" t="n">
        <v>0.1054</v>
      </c>
      <c r="V41" s="34" t="n">
        <v>0.1054</v>
      </c>
      <c r="W41" s="34" t="n">
        <v>0.1054</v>
      </c>
      <c r="X41" s="231" t="n">
        <v>0.1054</v>
      </c>
      <c r="Y41" s="213" t="n">
        <v>0.1128</v>
      </c>
      <c r="Z41" s="211" t="n">
        <v>0.1128</v>
      </c>
      <c r="AA41" s="34" t="n">
        <v>0.1128</v>
      </c>
      <c r="AB41" s="213"/>
      <c r="AC41" s="212"/>
      <c r="AD41" s="213"/>
      <c r="AE41" s="211"/>
      <c r="AF41" s="34"/>
      <c r="AG41" s="211"/>
      <c r="AH41" s="211"/>
      <c r="AI41" s="231"/>
      <c r="AJ41" s="213"/>
      <c r="AK41" s="211"/>
      <c r="AL41" s="34"/>
      <c r="AM41" s="211"/>
      <c r="AN41" s="212"/>
      <c r="AO41" s="213"/>
      <c r="AP41" s="211"/>
    </row>
    <row r="42" customFormat="false" ht="12.8" hidden="false" customHeight="false" outlineLevel="0" collapsed="false">
      <c r="A42" s="139" t="s">
        <v>229</v>
      </c>
      <c r="B42" s="34" t="n">
        <v>0.0303</v>
      </c>
      <c r="C42" s="34" t="n">
        <v>0.0303</v>
      </c>
      <c r="D42" s="211" t="n">
        <v>0.0303</v>
      </c>
      <c r="E42" s="34" t="n">
        <v>0.0303</v>
      </c>
      <c r="F42" s="211" t="n">
        <v>0.0303</v>
      </c>
      <c r="G42" s="233" t="n">
        <v>0.0293</v>
      </c>
      <c r="H42" s="211" t="n">
        <v>0.0293</v>
      </c>
      <c r="I42" s="231" t="n">
        <v>0.0293</v>
      </c>
      <c r="J42" s="213" t="n">
        <v>0.0281</v>
      </c>
      <c r="K42" s="211" t="n">
        <v>0.0281</v>
      </c>
      <c r="L42" s="211" t="n">
        <v>0.0281</v>
      </c>
      <c r="M42" s="34" t="n">
        <v>0.0281</v>
      </c>
      <c r="N42" s="34" t="n">
        <v>0.0281</v>
      </c>
      <c r="O42" s="213" t="n">
        <v>0.019</v>
      </c>
      <c r="P42" s="212" t="n">
        <v>0.019</v>
      </c>
      <c r="Q42" s="232" t="n">
        <v>0.0343</v>
      </c>
      <c r="R42" s="211" t="n">
        <v>0.0343</v>
      </c>
      <c r="S42" s="34" t="n">
        <v>0.0343</v>
      </c>
      <c r="T42" s="213" t="n">
        <v>0.0366</v>
      </c>
      <c r="U42" s="211" t="n">
        <v>0.0366</v>
      </c>
      <c r="V42" s="34" t="n">
        <v>0.0366</v>
      </c>
      <c r="W42" s="34" t="n">
        <v>0.0366</v>
      </c>
      <c r="X42" s="231" t="n">
        <v>0.0366</v>
      </c>
      <c r="Y42" s="213" t="n">
        <v>0.0366</v>
      </c>
      <c r="Z42" s="211" t="n">
        <v>0.0366</v>
      </c>
      <c r="AA42" s="34" t="n">
        <v>0.0366</v>
      </c>
      <c r="AB42" s="213"/>
      <c r="AC42" s="212"/>
      <c r="AD42" s="213"/>
      <c r="AE42" s="211"/>
      <c r="AF42" s="34"/>
      <c r="AG42" s="211"/>
      <c r="AH42" s="211"/>
      <c r="AI42" s="231"/>
      <c r="AJ42" s="213"/>
      <c r="AK42" s="211"/>
      <c r="AL42" s="34"/>
      <c r="AM42" s="211"/>
      <c r="AN42" s="212"/>
      <c r="AO42" s="213"/>
      <c r="AP42" s="211"/>
    </row>
    <row r="43" customFormat="false" ht="12.8" hidden="false" customHeight="false" outlineLevel="0" collapsed="false">
      <c r="A43" s="139" t="s">
        <v>186</v>
      </c>
      <c r="B43" s="34" t="n">
        <v>0.0484</v>
      </c>
      <c r="C43" s="34" t="n">
        <v>0.0484</v>
      </c>
      <c r="D43" s="211" t="n">
        <v>0.0484</v>
      </c>
      <c r="E43" s="34" t="n">
        <v>0.0484</v>
      </c>
      <c r="F43" s="211" t="n">
        <v>0.0484</v>
      </c>
      <c r="G43" s="233" t="n">
        <v>0.047</v>
      </c>
      <c r="H43" s="211" t="n">
        <v>0.047</v>
      </c>
      <c r="I43" s="231" t="n">
        <v>0.047</v>
      </c>
      <c r="J43" s="213" t="n">
        <v>0.0445</v>
      </c>
      <c r="K43" s="211" t="n">
        <v>0.0445</v>
      </c>
      <c r="L43" s="211" t="n">
        <v>0.0445</v>
      </c>
      <c r="M43" s="34" t="n">
        <v>0.0445</v>
      </c>
      <c r="N43" s="34" t="n">
        <v>0.0445</v>
      </c>
      <c r="O43" s="213" t="n">
        <v>0.0448</v>
      </c>
      <c r="P43" s="212" t="n">
        <v>0.0448</v>
      </c>
      <c r="Q43" s="213" t="n">
        <v>0.0442</v>
      </c>
      <c r="R43" s="211" t="n">
        <v>0.0442</v>
      </c>
      <c r="S43" s="34" t="n">
        <v>0.0442</v>
      </c>
      <c r="T43" s="213" t="n">
        <v>0.0437</v>
      </c>
      <c r="U43" s="211" t="n">
        <v>0.0437</v>
      </c>
      <c r="V43" s="34" t="n">
        <v>0.0437</v>
      </c>
      <c r="W43" s="34" t="n">
        <v>0.0437</v>
      </c>
      <c r="X43" s="231" t="n">
        <v>0.0437</v>
      </c>
      <c r="Y43" s="213" t="n">
        <v>0.0436</v>
      </c>
      <c r="Z43" s="211" t="n">
        <v>0.0436</v>
      </c>
      <c r="AA43" s="34" t="n">
        <v>0.0436</v>
      </c>
      <c r="AB43" s="213"/>
      <c r="AC43" s="212"/>
      <c r="AD43" s="213"/>
      <c r="AE43" s="211"/>
      <c r="AF43" s="34"/>
      <c r="AG43" s="211"/>
      <c r="AH43" s="211"/>
      <c r="AI43" s="231"/>
      <c r="AJ43" s="213"/>
      <c r="AK43" s="211"/>
      <c r="AL43" s="34"/>
      <c r="AM43" s="211"/>
      <c r="AN43" s="212"/>
      <c r="AO43" s="213"/>
      <c r="AP43" s="211"/>
    </row>
    <row r="44" customFormat="false" ht="12.8" hidden="false" customHeight="false" outlineLevel="0" collapsed="false">
      <c r="A44" s="139" t="s">
        <v>189</v>
      </c>
      <c r="B44" s="34" t="n">
        <v>0.0264</v>
      </c>
      <c r="C44" s="34" t="n">
        <v>0.0264</v>
      </c>
      <c r="D44" s="211" t="n">
        <v>0.0264</v>
      </c>
      <c r="E44" s="34" t="n">
        <v>0.0264</v>
      </c>
      <c r="F44" s="211" t="n">
        <v>0.0264</v>
      </c>
      <c r="G44" s="233" t="n">
        <v>0.03</v>
      </c>
      <c r="H44" s="211" t="n">
        <v>0.03</v>
      </c>
      <c r="I44" s="231" t="n">
        <v>0.03</v>
      </c>
      <c r="J44" s="213" t="n">
        <v>0.0283</v>
      </c>
      <c r="K44" s="211" t="n">
        <v>0.0283</v>
      </c>
      <c r="L44" s="211" t="n">
        <v>0.0283</v>
      </c>
      <c r="M44" s="34" t="n">
        <v>0.0283</v>
      </c>
      <c r="N44" s="34" t="n">
        <v>0.0283</v>
      </c>
      <c r="O44" s="213" t="n">
        <v>0.028</v>
      </c>
      <c r="P44" s="212" t="n">
        <v>0.028</v>
      </c>
      <c r="Q44" s="213" t="n">
        <v>0.0226</v>
      </c>
      <c r="R44" s="211" t="n">
        <v>0.0226</v>
      </c>
      <c r="S44" s="34" t="n">
        <v>0.0226</v>
      </c>
      <c r="T44" s="213" t="n">
        <v>0.0237</v>
      </c>
      <c r="U44" s="211" t="n">
        <v>0.0237</v>
      </c>
      <c r="V44" s="34" t="n">
        <v>0.0237</v>
      </c>
      <c r="W44" s="34" t="n">
        <v>0.0237</v>
      </c>
      <c r="X44" s="231" t="n">
        <v>0.0237</v>
      </c>
      <c r="Y44" s="213" t="n">
        <v>0.0281</v>
      </c>
      <c r="Z44" s="211" t="n">
        <v>0.0281</v>
      </c>
      <c r="AA44" s="34" t="n">
        <v>0.0281</v>
      </c>
      <c r="AB44" s="213"/>
      <c r="AC44" s="212"/>
      <c r="AD44" s="213"/>
      <c r="AE44" s="211"/>
      <c r="AF44" s="34"/>
      <c r="AG44" s="211"/>
      <c r="AH44" s="211"/>
      <c r="AI44" s="231"/>
      <c r="AJ44" s="213"/>
      <c r="AK44" s="211"/>
      <c r="AL44" s="34"/>
      <c r="AM44" s="211"/>
      <c r="AN44" s="212"/>
      <c r="AO44" s="213"/>
      <c r="AP44" s="211"/>
    </row>
    <row r="45" customFormat="false" ht="12.8" hidden="false" customHeight="false" outlineLevel="0" collapsed="false">
      <c r="A45" s="27"/>
      <c r="B45" s="230"/>
      <c r="C45" s="34"/>
      <c r="D45" s="211"/>
      <c r="E45" s="34"/>
      <c r="F45" s="211"/>
      <c r="G45" s="34"/>
      <c r="H45" s="211"/>
      <c r="I45" s="231"/>
      <c r="J45" s="213"/>
      <c r="K45" s="211"/>
      <c r="L45" s="211"/>
      <c r="M45" s="34"/>
      <c r="N45" s="34"/>
      <c r="O45" s="211"/>
      <c r="P45" s="212"/>
      <c r="Q45" s="213"/>
      <c r="R45" s="211"/>
      <c r="S45" s="34"/>
      <c r="T45" s="211"/>
      <c r="U45" s="211"/>
      <c r="V45" s="34"/>
      <c r="W45" s="34"/>
      <c r="X45" s="231"/>
      <c r="Y45" s="213"/>
      <c r="Z45" s="211"/>
      <c r="AA45" s="34"/>
      <c r="AB45" s="211"/>
      <c r="AC45" s="212"/>
      <c r="AD45" s="213"/>
      <c r="AE45" s="211"/>
      <c r="AF45" s="34"/>
      <c r="AG45" s="211"/>
      <c r="AH45" s="211"/>
      <c r="AI45" s="231"/>
      <c r="AJ45" s="213"/>
      <c r="AK45" s="211"/>
      <c r="AL45" s="34"/>
      <c r="AM45" s="211"/>
      <c r="AN45" s="212"/>
      <c r="AO45" s="213"/>
      <c r="AP45" s="211"/>
    </row>
    <row r="46" customFormat="false" ht="12.8" hidden="false" customHeight="false" outlineLevel="0" collapsed="false">
      <c r="A46" s="27" t="s">
        <v>99</v>
      </c>
      <c r="B46" s="234" t="s">
        <v>259</v>
      </c>
      <c r="C46" s="234"/>
      <c r="D46" s="234"/>
      <c r="E46" s="234"/>
      <c r="F46" s="234"/>
      <c r="G46" s="234"/>
      <c r="H46" s="234"/>
      <c r="I46" s="234"/>
      <c r="J46" s="213"/>
      <c r="K46" s="211"/>
      <c r="L46" s="211"/>
      <c r="M46" s="34"/>
      <c r="N46" s="34"/>
      <c r="O46" s="211"/>
      <c r="P46" s="212"/>
      <c r="Q46" s="213"/>
      <c r="R46" s="211"/>
      <c r="S46" s="34"/>
      <c r="T46" s="211"/>
      <c r="U46" s="211"/>
      <c r="V46" s="34"/>
      <c r="W46" s="34"/>
      <c r="X46" s="231"/>
      <c r="Y46" s="213"/>
      <c r="Z46" s="211"/>
      <c r="AA46" s="34"/>
      <c r="AB46" s="211"/>
      <c r="AC46" s="212"/>
      <c r="AD46" s="213"/>
      <c r="AE46" s="211"/>
      <c r="AF46" s="34"/>
      <c r="AG46" s="211"/>
      <c r="AH46" s="211"/>
      <c r="AI46" s="231"/>
      <c r="AJ46" s="213"/>
      <c r="AK46" s="211"/>
      <c r="AL46" s="34"/>
      <c r="AM46" s="211"/>
      <c r="AN46" s="212"/>
      <c r="AO46" s="213"/>
      <c r="AP46" s="211"/>
    </row>
    <row r="47" customFormat="false" ht="12.8" hidden="false" customHeight="false" outlineLevel="0" collapsed="false">
      <c r="A47" s="139" t="s">
        <v>257</v>
      </c>
      <c r="B47" s="230"/>
    </row>
    <row r="48" customFormat="false" ht="12.8" hidden="false" customHeight="false" outlineLevel="0" collapsed="false">
      <c r="A48" s="139" t="s">
        <v>24</v>
      </c>
      <c r="B48" s="65" t="n">
        <f aca="false">B22*Ratio!B3</f>
        <v>1.55405170944184</v>
      </c>
      <c r="C48" s="65" t="n">
        <f aca="false">C22*Ratio!C3</f>
        <v>1.53554369080889</v>
      </c>
      <c r="D48" s="53" t="n">
        <f aca="false">D22*Ratio!D3</f>
        <v>1.6158807071736</v>
      </c>
      <c r="E48" s="94" t="n">
        <f aca="false">E22*Ratio!E3</f>
        <v>1.57391880111781</v>
      </c>
      <c r="F48" s="53" t="n">
        <f aca="false">F22*Ratio!F3</f>
        <v>1.4115361892549</v>
      </c>
      <c r="G48" s="94" t="n">
        <f aca="false">G22*Ratio!G3</f>
        <v>1.02407513020067</v>
      </c>
      <c r="H48" s="53" t="n">
        <f aca="false">H22*Ratio!H3</f>
        <v>1.02186843646753</v>
      </c>
      <c r="I48" s="66" t="n">
        <f aca="false">I22*Ratio!I3</f>
        <v>1.21709600573016</v>
      </c>
      <c r="J48" s="67" t="n">
        <f aca="false">J22*Ratio!J3</f>
        <v>0.981643398876475</v>
      </c>
      <c r="K48" s="53" t="n">
        <f aca="false">K22*Ratio!K3</f>
        <v>0.825253647453133</v>
      </c>
      <c r="L48" s="53" t="n">
        <f aca="false">L22*Ratio!L3</f>
        <v>0.783624037573381</v>
      </c>
      <c r="M48" s="94" t="n">
        <f aca="false">M22*Ratio!M3</f>
        <v>0.777855437575855</v>
      </c>
      <c r="N48" s="94" t="n">
        <f aca="false">N22*Ratio!N3</f>
        <v>0.766651815164806</v>
      </c>
      <c r="O48" s="53" t="n">
        <f aca="false">O22*Ratio!O3</f>
        <v>0.704849255298219</v>
      </c>
      <c r="P48" s="68" t="n">
        <f aca="false">P22*Ratio!P3</f>
        <v>0.780258098140869</v>
      </c>
      <c r="Q48" s="67" t="n">
        <f aca="false">Q22*Ratio!Q3</f>
        <v>0.753956025902021</v>
      </c>
      <c r="R48" s="53" t="n">
        <f aca="false">R22*Ratio!R3</f>
        <v>0.700988329072519</v>
      </c>
      <c r="S48" s="94" t="n">
        <f aca="false">S22*Ratio!S3</f>
        <v>0.707624542973031</v>
      </c>
      <c r="T48" s="53" t="n">
        <f aca="false">T22*Ratio!T3</f>
        <v>0.739138005516833</v>
      </c>
      <c r="U48" s="53" t="n">
        <f aca="false">U22*Ratio!U3</f>
        <v>0.819659079158629</v>
      </c>
      <c r="V48" s="94" t="n">
        <f aca="false">V22*Ratio!V3</f>
        <v>0.80716984635388</v>
      </c>
      <c r="W48" s="94" t="n">
        <f aca="false">W22*Ratio!W3</f>
        <v>0.715861715900402</v>
      </c>
      <c r="X48" s="66" t="n">
        <f aca="false">X22*Ratio!X3</f>
        <v>0.813480424435473</v>
      </c>
      <c r="Y48" s="67" t="n">
        <f aca="false">Y22*Ratio!Y3</f>
        <v>0.744557148423406</v>
      </c>
      <c r="Z48" s="53" t="n">
        <f aca="false">Z22*Ratio!Z3</f>
        <v>0.610389347825076</v>
      </c>
      <c r="AA48" s="94" t="n">
        <f aca="false">AA22*Ratio!AA3</f>
        <v>0.63490943468028</v>
      </c>
      <c r="AB48" s="53" t="n">
        <f aca="false">AB22*Ratio!AB3</f>
        <v>0.486003558771268</v>
      </c>
      <c r="AC48" s="68" t="n">
        <f aca="false">AC22*Ratio!AC3</f>
        <v>0.430844173104947</v>
      </c>
      <c r="AD48" s="67" t="n">
        <f aca="false">AD22*Ratio!AD3</f>
        <v>0.440256018186755</v>
      </c>
      <c r="AE48" s="53" t="n">
        <f aca="false">AE22*Ratio!AE3</f>
        <v>0.405475016237014</v>
      </c>
      <c r="AF48" s="94" t="n">
        <f aca="false">AF22*Ratio!AF3</f>
        <v>0.420249625671836</v>
      </c>
      <c r="AG48" s="53" t="n">
        <f aca="false">AG22*Ratio!AG3</f>
        <v>0.306214579374763</v>
      </c>
      <c r="AH48" s="53" t="n">
        <f aca="false">AH22*Ratio!AH3</f>
        <v>0.344171286302318</v>
      </c>
      <c r="AI48" s="66" t="n">
        <f aca="false">AI22*Ratio!AI3</f>
        <v>0.447987209774829</v>
      </c>
      <c r="AJ48" s="67" t="n">
        <f aca="false">AJ22*Ratio!AJ3</f>
        <v>0.335123364338642</v>
      </c>
      <c r="AK48" s="53" t="n">
        <f aca="false">AK22*Ratio!AK3</f>
        <v>0.255156607688424</v>
      </c>
      <c r="AL48" s="94" t="n">
        <f aca="false">AL22*Ratio!AL3</f>
        <v>0.248732384220684</v>
      </c>
      <c r="AM48" s="53" t="n">
        <f aca="false">AM22*Ratio!AM3</f>
        <v>0.251311042485835</v>
      </c>
      <c r="AN48" s="68" t="n">
        <f aca="false">AN22*Ratio!AN3</f>
        <v>0.277566899356923</v>
      </c>
      <c r="AO48" s="67" t="n">
        <f aca="false">AO22*Ratio!AO3</f>
        <v>0.229834430098845</v>
      </c>
      <c r="AP48" s="53" t="n">
        <f aca="false">AP22*Ratio!AP3</f>
        <v>0.248606015075248</v>
      </c>
      <c r="AQ48" s="94" t="n">
        <f aca="false">AQ22*Ratio!AQ3</f>
        <v>0.244160466441372</v>
      </c>
    </row>
    <row r="49" customFormat="false" ht="12.8" hidden="false" customHeight="false" outlineLevel="0" collapsed="false">
      <c r="A49" s="139" t="s">
        <v>180</v>
      </c>
      <c r="B49" s="65" t="n">
        <f aca="false">B23*Ratio!B4</f>
        <v>0.579066536329465</v>
      </c>
      <c r="C49" s="65" t="n">
        <f aca="false">C23*Ratio!C4</f>
        <v>0.606246819483816</v>
      </c>
      <c r="D49" s="53" t="n">
        <f aca="false">D23*Ratio!D4</f>
        <v>0.612261594684904</v>
      </c>
      <c r="E49" s="94" t="n">
        <f aca="false">E23*Ratio!E4</f>
        <v>0.644670824872438</v>
      </c>
      <c r="F49" s="53" t="n">
        <f aca="false">F23*Ratio!F4</f>
        <v>0.679667585907907</v>
      </c>
      <c r="G49" s="94" t="n">
        <f aca="false">G23*Ratio!G4</f>
        <v>0.723283622363658</v>
      </c>
      <c r="H49" s="53" t="n">
        <f aca="false">H23*Ratio!H4</f>
        <v>0.726358493846147</v>
      </c>
      <c r="I49" s="66" t="n">
        <f aca="false">I23*Ratio!I4</f>
        <v>0.76938889190131</v>
      </c>
      <c r="J49" s="67" t="n">
        <f aca="false">J23*Ratio!J4</f>
        <v>0.714780833305141</v>
      </c>
      <c r="K49" s="53" t="n">
        <f aca="false">K23*Ratio!K4</f>
        <v>0.827425838992656</v>
      </c>
      <c r="L49" s="53" t="n">
        <f aca="false">L23*Ratio!L4</f>
        <v>0.804036002647119</v>
      </c>
      <c r="M49" s="94" t="n">
        <f aca="false">M23*Ratio!M4</f>
        <v>0.804634625902151</v>
      </c>
      <c r="N49" s="94" t="n">
        <f aca="false">N23*Ratio!N4</f>
        <v>0.805553892277784</v>
      </c>
      <c r="O49" s="53" t="n">
        <f aca="false">O23*Ratio!O4</f>
        <v>0.832285770035329</v>
      </c>
      <c r="P49" s="68" t="n">
        <f aca="false">P23*Ratio!P4</f>
        <v>0.79175059110907</v>
      </c>
      <c r="Q49" s="67" t="n">
        <f aca="false">Q23*Ratio!Q4</f>
        <v>0.750951322709834</v>
      </c>
      <c r="R49" s="53" t="n">
        <f aca="false">R23*Ratio!R4</f>
        <v>0.712310266523494</v>
      </c>
      <c r="S49" s="94" t="n">
        <f aca="false">S23*Ratio!S4</f>
        <v>0.753759115166037</v>
      </c>
      <c r="T49" s="53" t="n">
        <f aca="false">T23*Ratio!T4</f>
        <v>0.767095507595714</v>
      </c>
      <c r="U49" s="53" t="n">
        <f aca="false">U23*Ratio!U4</f>
        <v>0.688151704049979</v>
      </c>
      <c r="V49" s="94" t="n">
        <f aca="false">V23*Ratio!V4</f>
        <v>0.70555404117968</v>
      </c>
      <c r="W49" s="94" t="n">
        <f aca="false">W23*Ratio!W4</f>
        <v>0.702683695041188</v>
      </c>
      <c r="X49" s="66" t="n">
        <f aca="false">X23*Ratio!X4</f>
        <v>0.702867603013749</v>
      </c>
      <c r="Y49" s="67" t="n">
        <f aca="false">Y23*Ratio!Y4</f>
        <v>0.64519119240904</v>
      </c>
      <c r="Z49" s="53" t="n">
        <f aca="false">Z23*Ratio!Z4</f>
        <v>0.65630563534386</v>
      </c>
      <c r="AA49" s="94" t="n">
        <f aca="false">AA23*Ratio!AA4</f>
        <v>0.703688736220937</v>
      </c>
      <c r="AB49" s="53" t="n">
        <f aca="false">AB23*Ratio!AB4</f>
        <v>0.760942001703678</v>
      </c>
      <c r="AC49" s="68" t="n">
        <f aca="false">AC23*Ratio!AC4</f>
        <v>0.738543161673877</v>
      </c>
      <c r="AD49" s="67" t="n">
        <f aca="false">AD23*Ratio!AD4</f>
        <v>0.712728965442168</v>
      </c>
      <c r="AE49" s="53" t="n">
        <f aca="false">AE23*Ratio!AE4</f>
        <v>0.751015519714501</v>
      </c>
      <c r="AF49" s="94" t="n">
        <f aca="false">AF23*Ratio!AF4</f>
        <v>0.748570531143173</v>
      </c>
      <c r="AG49" s="53" t="n">
        <f aca="false">AG23*Ratio!AG4</f>
        <v>0.80413879421516</v>
      </c>
      <c r="AH49" s="53" t="n">
        <f aca="false">AH23*Ratio!AH4</f>
        <v>0.68161479052876</v>
      </c>
      <c r="AI49" s="66" t="n">
        <f aca="false">AI23*Ratio!AI4</f>
        <v>0.729634529777128</v>
      </c>
      <c r="AJ49" s="67" t="n">
        <f aca="false">AJ23*Ratio!AJ4</f>
        <v>0.772952252147698</v>
      </c>
      <c r="AK49" s="53" t="n">
        <f aca="false">AK23*Ratio!AK4</f>
        <v>0.759760818325884</v>
      </c>
      <c r="AL49" s="94" t="n">
        <f aca="false">AL23*Ratio!AL4</f>
        <v>0.737631862452315</v>
      </c>
      <c r="AM49" s="53" t="n">
        <f aca="false">AM23*Ratio!AM4</f>
        <v>0.764940122194941</v>
      </c>
      <c r="AN49" s="68" t="n">
        <f aca="false">AN23*Ratio!AN4</f>
        <v>0.766400068102852</v>
      </c>
      <c r="AO49" s="67" t="n">
        <f aca="false">AO23*Ratio!AO4</f>
        <v>0.782394465631464</v>
      </c>
      <c r="AP49" s="53" t="n">
        <f aca="false">AP23*Ratio!AP4</f>
        <v>0.769809259178855</v>
      </c>
      <c r="AQ49" s="94" t="n">
        <f aca="false">AQ23*Ratio!AQ4</f>
        <v>0.776026004384913</v>
      </c>
    </row>
    <row r="50" customFormat="false" ht="12.8" hidden="false" customHeight="false" outlineLevel="0" collapsed="false">
      <c r="A50" s="139" t="s">
        <v>181</v>
      </c>
      <c r="B50" s="65" t="n">
        <f aca="false">B24*Ratio!B5</f>
        <v>0.726072925149489</v>
      </c>
      <c r="C50" s="65" t="n">
        <f aca="false">C24*Ratio!C5</f>
        <v>0.709317408935723</v>
      </c>
      <c r="D50" s="53" t="n">
        <f aca="false">D24*Ratio!D5</f>
        <v>0.724150503099228</v>
      </c>
      <c r="E50" s="94" t="n">
        <f aca="false">E24*Ratio!E5</f>
        <v>0.699360160766714</v>
      </c>
      <c r="F50" s="53" t="n">
        <f aca="false">F24*Ratio!F5</f>
        <v>0.642488110357578</v>
      </c>
      <c r="G50" s="94" t="n">
        <f aca="false">G24*Ratio!G5</f>
        <v>0.748348487900681</v>
      </c>
      <c r="H50" s="53" t="n">
        <f aca="false">H24*Ratio!H5</f>
        <v>0.796883740149409</v>
      </c>
      <c r="I50" s="66" t="n">
        <f aca="false">I24*Ratio!I5</f>
        <v>0.706394501541661</v>
      </c>
      <c r="J50" s="67" t="n">
        <f aca="false">J24*Ratio!J5</f>
        <v>0.621192426331365</v>
      </c>
      <c r="K50" s="53" t="n">
        <f aca="false">K24*Ratio!K5</f>
        <v>0.594809052727124</v>
      </c>
      <c r="L50" s="53" t="n">
        <f aca="false">L24*Ratio!L5</f>
        <v>0.595133245503505</v>
      </c>
      <c r="M50" s="94" t="n">
        <f aca="false">M24*Ratio!M5</f>
        <v>0.595019161925547</v>
      </c>
      <c r="N50" s="94" t="n">
        <f aca="false">N24*Ratio!N5</f>
        <v>0.590981397107222</v>
      </c>
      <c r="O50" s="53" t="n">
        <f aca="false">O24*Ratio!O5</f>
        <v>0.573325997033735</v>
      </c>
      <c r="P50" s="68" t="n">
        <f aca="false">P24*Ratio!P5</f>
        <v>0.596458464894948</v>
      </c>
      <c r="Q50" s="67" t="n">
        <f aca="false">Q24*Ratio!Q5</f>
        <v>0.537404736968948</v>
      </c>
      <c r="R50" s="53" t="n">
        <f aca="false">R24*Ratio!R5</f>
        <v>0.497545974591653</v>
      </c>
      <c r="S50" s="94" t="n">
        <f aca="false">S24*Ratio!S5</f>
        <v>0.549689954211472</v>
      </c>
      <c r="T50" s="53" t="n">
        <f aca="false">T24*Ratio!T5</f>
        <v>0.54069842798375</v>
      </c>
      <c r="U50" s="53" t="n">
        <f aca="false">U24*Ratio!U5</f>
        <v>0.718191393213787</v>
      </c>
      <c r="V50" s="94" t="n">
        <f aca="false">V24*Ratio!V5</f>
        <v>0.711051943968981</v>
      </c>
      <c r="W50" s="94" t="n">
        <f aca="false">W24*Ratio!W5</f>
        <v>0.663748747507525</v>
      </c>
      <c r="X50" s="66" t="n">
        <f aca="false">X24*Ratio!X5</f>
        <v>0.729390914839375</v>
      </c>
      <c r="Y50" s="67" t="n">
        <f aca="false">Y24*Ratio!Y5</f>
        <v>0.777608948565452</v>
      </c>
      <c r="Z50" s="53" t="n">
        <f aca="false">Z24*Ratio!Z5</f>
        <v>0.691281767029171</v>
      </c>
      <c r="AA50" s="94" t="n">
        <f aca="false">AA24*Ratio!AA5</f>
        <v>0.723101997582183</v>
      </c>
      <c r="AB50" s="53" t="n">
        <f aca="false">AB24*Ratio!AB5</f>
        <v>0.573362109212543</v>
      </c>
      <c r="AC50" s="68" t="n">
        <f aca="false">AC24*Ratio!AC5</f>
        <v>0.477108625294955</v>
      </c>
      <c r="AD50" s="67" t="n">
        <f aca="false">AD24*Ratio!AD5</f>
        <v>0.455855571831919</v>
      </c>
      <c r="AE50" s="53" t="n">
        <f aca="false">AE24*Ratio!AE5</f>
        <v>0.423342523299109</v>
      </c>
      <c r="AF50" s="94" t="n">
        <f aca="false">AF24*Ratio!AF5</f>
        <v>0.425131458436257</v>
      </c>
      <c r="AG50" s="53" t="n">
        <f aca="false">AG24*Ratio!AG5</f>
        <v>0.393290196214303</v>
      </c>
      <c r="AH50" s="53" t="n">
        <f aca="false">AH24*Ratio!AH5</f>
        <v>0.299629788597103</v>
      </c>
      <c r="AI50" s="66" t="n">
        <f aca="false">AI24*Ratio!AI5</f>
        <v>0.408036392921313</v>
      </c>
      <c r="AJ50" s="67" t="n">
        <f aca="false">AJ24*Ratio!AJ5</f>
        <v>0.364535258192651</v>
      </c>
      <c r="AK50" s="53" t="n">
        <f aca="false">AK24*Ratio!AK5</f>
        <v>0.354267106256257</v>
      </c>
      <c r="AL50" s="94" t="n">
        <f aca="false">AL24*Ratio!AL5</f>
        <v>0.31617937488407</v>
      </c>
      <c r="AM50" s="53" t="n">
        <f aca="false">AM24*Ratio!AM5</f>
        <v>0.296171343806614</v>
      </c>
      <c r="AN50" s="68" t="n">
        <f aca="false">AN24*Ratio!AN5</f>
        <v>0.288491087898725</v>
      </c>
      <c r="AO50" s="67" t="n">
        <f aca="false">AO24*Ratio!AO5</f>
        <v>0.265777755423858</v>
      </c>
      <c r="AP50" s="53" t="n">
        <f aca="false">AP24*Ratio!AP5</f>
        <v>0.273667665063654</v>
      </c>
      <c r="AQ50" s="94" t="n">
        <f aca="false">AQ24*Ratio!AQ5</f>
        <v>0.2640607765698</v>
      </c>
    </row>
    <row r="51" customFormat="false" ht="12.8" hidden="false" customHeight="false" outlineLevel="0" collapsed="false">
      <c r="A51" s="139" t="s">
        <v>30</v>
      </c>
      <c r="B51" s="65" t="n">
        <f aca="false">B25*Ratio!B6</f>
        <v>0.29998744713989</v>
      </c>
      <c r="C51" s="65" t="n">
        <f aca="false">C25*Ratio!C6</f>
        <v>0.278214252550272</v>
      </c>
      <c r="D51" s="53" t="n">
        <f aca="false">D25*Ratio!D6</f>
        <v>0.276963280039576</v>
      </c>
      <c r="E51" s="94" t="n">
        <f aca="false">E25*Ratio!E6</f>
        <v>0.249737148262504</v>
      </c>
      <c r="F51" s="53" t="n">
        <f aca="false">F25*Ratio!F6</f>
        <v>0.242329728466036</v>
      </c>
      <c r="G51" s="94" t="n">
        <f aca="false">G25*Ratio!G6</f>
        <v>0.254160350555843</v>
      </c>
      <c r="H51" s="53" t="n">
        <f aca="false">H25*Ratio!H6</f>
        <v>0.284593911652999</v>
      </c>
      <c r="I51" s="66" t="n">
        <f aca="false">I25*Ratio!I6</f>
        <v>0.279014759157683</v>
      </c>
      <c r="J51" s="67" t="n">
        <f aca="false">J25*Ratio!J6</f>
        <v>0.260127881477517</v>
      </c>
      <c r="K51" s="53" t="n">
        <f aca="false">K25*Ratio!K6</f>
        <v>0.260199862473382</v>
      </c>
      <c r="L51" s="53" t="n">
        <f aca="false">L25*Ratio!L6</f>
        <v>0.256819603598185</v>
      </c>
      <c r="M51" s="94" t="n">
        <f aca="false">M25*Ratio!M6</f>
        <v>0.256372832089756</v>
      </c>
      <c r="N51" s="94" t="n">
        <f aca="false">N25*Ratio!N6</f>
        <v>0.255056967491274</v>
      </c>
      <c r="O51" s="53" t="n">
        <f aca="false">O25*Ratio!O6</f>
        <v>0.254662657398358</v>
      </c>
      <c r="P51" s="68" t="n">
        <f aca="false">P25*Ratio!P6</f>
        <v>0.299810612874631</v>
      </c>
      <c r="Q51" s="67" t="n">
        <f aca="false">Q25*Ratio!Q6</f>
        <v>0.309917105446731</v>
      </c>
      <c r="R51" s="53" t="n">
        <f aca="false">R25*Ratio!R6</f>
        <v>0.30034217272478</v>
      </c>
      <c r="S51" s="94" t="n">
        <f aca="false">S25*Ratio!S6</f>
        <v>0.313514244251083</v>
      </c>
      <c r="T51" s="53" t="n">
        <f aca="false">T25*Ratio!T6</f>
        <v>0.30319962612692</v>
      </c>
      <c r="U51" s="53" t="n">
        <f aca="false">U25*Ratio!U6</f>
        <v>0.356383288492537</v>
      </c>
      <c r="V51" s="94" t="n">
        <f aca="false">V25*Ratio!V6</f>
        <v>0.334566289768207</v>
      </c>
      <c r="W51" s="94" t="n">
        <f aca="false">W25*Ratio!W6</f>
        <v>0.3175988270711</v>
      </c>
      <c r="X51" s="66" t="n">
        <f aca="false">X25*Ratio!X6</f>
        <v>0.358130849192112</v>
      </c>
      <c r="Y51" s="67" t="n">
        <f aca="false">Y25*Ratio!Y6</f>
        <v>0.341228637357846</v>
      </c>
      <c r="Z51" s="53" t="n">
        <f aca="false">Z25*Ratio!Z6</f>
        <v>0.324916173959748</v>
      </c>
      <c r="AA51" s="94" t="n">
        <f aca="false">AA25*Ratio!AA6</f>
        <v>0.336264938391718</v>
      </c>
      <c r="AB51" s="53" t="n">
        <f aca="false">AB25*Ratio!AB6</f>
        <v>0.290557180635681</v>
      </c>
      <c r="AC51" s="68" t="n">
        <f aca="false">AC25*Ratio!AC6</f>
        <v>0.313856014129522</v>
      </c>
      <c r="AD51" s="67" t="n">
        <f aca="false">AD25*Ratio!AD6</f>
        <v>0.290176237477244</v>
      </c>
      <c r="AE51" s="53" t="n">
        <f aca="false">AE25*Ratio!AE6</f>
        <v>0.280629897261553</v>
      </c>
      <c r="AF51" s="94" t="n">
        <f aca="false">AF25*Ratio!AF6</f>
        <v>0.296042933777882</v>
      </c>
      <c r="AG51" s="53" t="n">
        <f aca="false">AG25*Ratio!AG6</f>
        <v>0.264163556267978</v>
      </c>
      <c r="AH51" s="53" t="n">
        <f aca="false">AH25*Ratio!AH6</f>
        <v>0.236765668913598</v>
      </c>
      <c r="AI51" s="66" t="n">
        <f aca="false">AI25*Ratio!AI6</f>
        <v>0.338943234951147</v>
      </c>
      <c r="AJ51" s="67" t="n">
        <f aca="false">AJ25*Ratio!AJ6</f>
        <v>0.315149880668194</v>
      </c>
      <c r="AK51" s="53" t="n">
        <f aca="false">AK25*Ratio!AK6</f>
        <v>0.312293959013804</v>
      </c>
      <c r="AL51" s="94" t="n">
        <f aca="false">AL25*Ratio!AL6</f>
        <v>0.312293959013804</v>
      </c>
      <c r="AM51" s="53" t="n">
        <f aca="false">AM25*Ratio!AM6</f>
        <v>0.241895067037388</v>
      </c>
      <c r="AN51" s="68" t="n">
        <f aca="false">AN25*Ratio!AN6</f>
        <v>0.276263104172469</v>
      </c>
      <c r="AO51" s="67" t="n">
        <f aca="false">AO25*Ratio!AO6</f>
        <v>0.281235373993752</v>
      </c>
      <c r="AP51" s="53" t="n">
        <f aca="false">AP25*Ratio!AP6</f>
        <v>0.275445269060932</v>
      </c>
      <c r="AQ51" s="94" t="n">
        <f aca="false">AQ25*Ratio!AQ6</f>
        <v>0.266046812034014</v>
      </c>
    </row>
    <row r="52" customFormat="false" ht="12.8" hidden="false" customHeight="false" outlineLevel="0" collapsed="false">
      <c r="A52" s="139" t="s">
        <v>182</v>
      </c>
      <c r="B52" s="65" t="n">
        <f aca="false">B26*Ratio!B7</f>
        <v>0.372314357862844</v>
      </c>
      <c r="C52" s="65" t="n">
        <f aca="false">C26*Ratio!C7</f>
        <v>0.357521175542036</v>
      </c>
      <c r="D52" s="53" t="n">
        <f aca="false">D26*Ratio!D7</f>
        <v>0.351316037676223</v>
      </c>
      <c r="E52" s="94" t="n">
        <f aca="false">E26*Ratio!E7</f>
        <v>0.319649852668248</v>
      </c>
      <c r="F52" s="53" t="n">
        <f aca="false">F26*Ratio!F7</f>
        <v>0.333361744107705</v>
      </c>
      <c r="G52" s="94" t="n">
        <f aca="false">G26*Ratio!G7</f>
        <v>0.384070292627968</v>
      </c>
      <c r="H52" s="53" t="n">
        <f aca="false">H26*Ratio!H7</f>
        <v>0.366348159017575</v>
      </c>
      <c r="I52" s="66" t="n">
        <f aca="false">I26*Ratio!I7</f>
        <v>0.35310868312248</v>
      </c>
      <c r="J52" s="67" t="n">
        <f aca="false">J26*Ratio!J7</f>
        <v>0.365769277510763</v>
      </c>
      <c r="K52" s="53" t="n">
        <f aca="false">K26*Ratio!K7</f>
        <v>0.356888060771237</v>
      </c>
      <c r="L52" s="53" t="n">
        <f aca="false">L26*Ratio!L7</f>
        <v>0.354530370152669</v>
      </c>
      <c r="M52" s="94" t="n">
        <f aca="false">M26*Ratio!M7</f>
        <v>0.355396228923188</v>
      </c>
      <c r="N52" s="94" t="n">
        <f aca="false">N26*Ratio!N7</f>
        <v>0.353968037007248</v>
      </c>
      <c r="O52" s="53" t="n">
        <f aca="false">O26*Ratio!O7</f>
        <v>0.350020474623558</v>
      </c>
      <c r="P52" s="68" t="n">
        <f aca="false">P26*Ratio!P7</f>
        <v>0.41096507829211</v>
      </c>
      <c r="Q52" s="67" t="n">
        <f aca="false">Q26*Ratio!Q7</f>
        <v>0.430939966158055</v>
      </c>
      <c r="R52" s="53" t="n">
        <f aca="false">R26*Ratio!R7</f>
        <v>0.438202286731585</v>
      </c>
      <c r="S52" s="94" t="n">
        <f aca="false">S26*Ratio!S7</f>
        <v>0.431451458165367</v>
      </c>
      <c r="T52" s="53" t="n">
        <f aca="false">T26*Ratio!T7</f>
        <v>0.521124005489872</v>
      </c>
      <c r="U52" s="53" t="n">
        <f aca="false">U26*Ratio!U7</f>
        <v>0.667539257659884</v>
      </c>
      <c r="V52" s="94" t="n">
        <f aca="false">V26*Ratio!V7</f>
        <v>0.626015092120003</v>
      </c>
      <c r="W52" s="94" t="n">
        <f aca="false">W26*Ratio!W7</f>
        <v>0.632559112431157</v>
      </c>
      <c r="X52" s="66" t="n">
        <f aca="false">X26*Ratio!X7</f>
        <v>0.645467618088799</v>
      </c>
      <c r="Y52" s="67" t="n">
        <f aca="false">Y26*Ratio!Y7</f>
        <v>0.534222775724376</v>
      </c>
      <c r="Z52" s="53" t="n">
        <f aca="false">Z26*Ratio!Z7</f>
        <v>0.548002575572386</v>
      </c>
      <c r="AA52" s="94" t="n">
        <f aca="false">AA26*Ratio!AA7</f>
        <v>0.516815766079473</v>
      </c>
      <c r="AB52" s="53" t="n">
        <f aca="false">AB26*Ratio!AB7</f>
        <v>0.447055062049993</v>
      </c>
      <c r="AC52" s="68" t="n">
        <f aca="false">AC26*Ratio!AC7</f>
        <v>0.457530143125435</v>
      </c>
      <c r="AD52" s="67" t="n">
        <f aca="false">AD26*Ratio!AD7</f>
        <v>0.410484779805501</v>
      </c>
      <c r="AE52" s="53" t="n">
        <f aca="false">AE26*Ratio!AE7</f>
        <v>0.403300025630248</v>
      </c>
      <c r="AF52" s="94" t="n">
        <f aca="false">AF26*Ratio!AF7</f>
        <v>0.414344966655472</v>
      </c>
      <c r="AG52" s="53" t="n">
        <f aca="false">AG26*Ratio!AG7</f>
        <v>0.390621771849445</v>
      </c>
      <c r="AH52" s="53" t="n">
        <f aca="false">AH26*Ratio!AH7</f>
        <v>0.346159468030622</v>
      </c>
      <c r="AI52" s="66" t="n">
        <f aca="false">AI26*Ratio!AI7</f>
        <v>0.385712102850357</v>
      </c>
      <c r="AJ52" s="67" t="n">
        <f aca="false">AJ26*Ratio!AJ7</f>
        <v>0.407397928802041</v>
      </c>
      <c r="AK52" s="53" t="n">
        <f aca="false">AK26*Ratio!AK7</f>
        <v>0.393879534514772</v>
      </c>
      <c r="AL52" s="94" t="n">
        <f aca="false">AL26*Ratio!AL7</f>
        <v>0.393862447206867</v>
      </c>
      <c r="AM52" s="53" t="n">
        <f aca="false">AM26*Ratio!AM7</f>
        <v>0.376962162907767</v>
      </c>
      <c r="AN52" s="68" t="n">
        <f aca="false">AN26*Ratio!AN7</f>
        <v>0.456007231262724</v>
      </c>
      <c r="AO52" s="67" t="n">
        <f aca="false">AO26*Ratio!AO7</f>
        <v>0.470923041420491</v>
      </c>
      <c r="AP52" s="53" t="n">
        <f aca="false">AP26*Ratio!AP7</f>
        <v>0.468601867882216</v>
      </c>
      <c r="AQ52" s="94" t="n">
        <f aca="false">AQ26*Ratio!AQ7</f>
        <v>0.469748392034369</v>
      </c>
    </row>
    <row r="53" customFormat="false" ht="12.8" hidden="false" customHeight="false" outlineLevel="0" collapsed="false">
      <c r="A53" s="139" t="s">
        <v>27</v>
      </c>
      <c r="B53" s="65" t="n">
        <f aca="false">B27*Ratio!B9</f>
        <v>0.00729253739371507</v>
      </c>
      <c r="C53" s="65" t="n">
        <f aca="false">C27*Ratio!C9</f>
        <v>0.00733636984115732</v>
      </c>
      <c r="D53" s="53" t="n">
        <f aca="false">D27*Ratio!D9</f>
        <v>0.00721964077992706</v>
      </c>
      <c r="E53" s="94" t="n">
        <f aca="false">E27*Ratio!E9</f>
        <v>0.0065202627263359</v>
      </c>
      <c r="F53" s="53" t="n">
        <f aca="false">F27*Ratio!F9</f>
        <v>0.00606984437964749</v>
      </c>
      <c r="G53" s="94" t="n">
        <f aca="false">G27*Ratio!G9</f>
        <v>0.00488442089106702</v>
      </c>
      <c r="H53" s="53" t="n">
        <f aca="false">H27*Ratio!H9</f>
        <v>0.00469940772563552</v>
      </c>
      <c r="I53" s="66" t="n">
        <f aca="false">I27*Ratio!I9</f>
        <v>0.00456559059319522</v>
      </c>
      <c r="J53" s="67" t="n">
        <f aca="false">J27*Ratio!J9</f>
        <v>0.00508389110471575</v>
      </c>
      <c r="K53" s="53" t="n">
        <f aca="false">K27*Ratio!K9</f>
        <v>0.00673978847820543</v>
      </c>
      <c r="L53" s="53" t="n">
        <f aca="false">L27*Ratio!L9</f>
        <v>0.0064916979578389</v>
      </c>
      <c r="M53" s="94" t="n">
        <f aca="false">M27*Ratio!M9</f>
        <v>0.00653100569005696</v>
      </c>
      <c r="N53" s="94" t="n">
        <f aca="false">N27*Ratio!N9</f>
        <v>0.00599409934206869</v>
      </c>
      <c r="O53" s="53" t="n">
        <f aca="false">O27*Ratio!O9</f>
        <v>0.00365572048710491</v>
      </c>
      <c r="P53" s="68" t="n">
        <f aca="false">P27*Ratio!P9</f>
        <v>0.00642433095742441</v>
      </c>
      <c r="Q53" s="67" t="n">
        <f aca="false">Q27*Ratio!Q9</f>
        <v>0.00717031751810923</v>
      </c>
      <c r="R53" s="53" t="n">
        <f aca="false">R27*Ratio!R9</f>
        <v>0.00683610333324603</v>
      </c>
      <c r="S53" s="94" t="n">
        <f aca="false">S27*Ratio!S9</f>
        <v>0.00759241112679062</v>
      </c>
      <c r="T53" s="53" t="n">
        <f aca="false">T27*Ratio!T9</f>
        <v>0.00693498574760876</v>
      </c>
      <c r="U53" s="53" t="n">
        <f aca="false">U27*Ratio!U9</f>
        <v>0.00974727749116447</v>
      </c>
      <c r="V53" s="94" t="n">
        <f aca="false">V27*Ratio!V9</f>
        <v>0.00946661046333018</v>
      </c>
      <c r="W53" s="94" t="n">
        <f aca="false">W27*Ratio!W9</f>
        <v>0.0098243623252508</v>
      </c>
      <c r="X53" s="66" t="n">
        <f aca="false">X27*Ratio!X9</f>
        <v>0.0100495740506167</v>
      </c>
      <c r="Y53" s="67" t="n">
        <f aca="false">Y27*Ratio!Y9</f>
        <v>0.0104662886142842</v>
      </c>
      <c r="Z53" s="53" t="n">
        <f aca="false">Z27*Ratio!Z9</f>
        <v>0.0108821128671561</v>
      </c>
      <c r="AA53" s="94" t="n">
        <f aca="false">AA27*Ratio!AA9</f>
        <v>0.0111277830457593</v>
      </c>
      <c r="AB53" s="53" t="n">
        <f aca="false">AB27*Ratio!AB9</f>
        <v>0.0111762229323906</v>
      </c>
      <c r="AC53" s="68" t="n">
        <f aca="false">AC27*Ratio!AC9</f>
        <v>0.00842379227966616</v>
      </c>
      <c r="AD53" s="67" t="n">
        <f aca="false">AD27*Ratio!AD9</f>
        <v>0.00897180190539341</v>
      </c>
      <c r="AE53" s="53" t="n">
        <f aca="false">AE27*Ratio!AE9</f>
        <v>0.00925613679465472</v>
      </c>
      <c r="AF53" s="94" t="n">
        <f aca="false">AF27*Ratio!AF9</f>
        <v>0.00772088664966797</v>
      </c>
      <c r="AG53" s="53" t="n">
        <f aca="false">AG27*Ratio!AG9</f>
        <v>0.00846796188911292</v>
      </c>
      <c r="AH53" s="53" t="n">
        <f aca="false">AH27*Ratio!AH9</f>
        <v>0.00710362072755155</v>
      </c>
      <c r="AI53" s="66" t="n">
        <f aca="false">AI27*Ratio!AI9</f>
        <v>0.0123325067031322</v>
      </c>
      <c r="AJ53" s="67" t="n">
        <f aca="false">AJ27*Ratio!AJ9</f>
        <v>0.01402387688695</v>
      </c>
      <c r="AK53" s="53" t="n">
        <f aca="false">AK27*Ratio!AK9</f>
        <v>0.0138211251712997</v>
      </c>
      <c r="AL53" s="94" t="n">
        <f aca="false">AL27*Ratio!AL9</f>
        <v>0.013021986998249</v>
      </c>
      <c r="AM53" s="53" t="n">
        <f aca="false">AM27*Ratio!AM9</f>
        <v>0.0119993676871231</v>
      </c>
      <c r="AN53" s="68" t="n">
        <f aca="false">AN27*Ratio!AN9</f>
        <v>0.0110522973136934</v>
      </c>
      <c r="AO53" s="67" t="n">
        <f aca="false">AO27*Ratio!AO9</f>
        <v>0.0100310499739572</v>
      </c>
      <c r="AP53" s="53" t="n">
        <f aca="false">AP27*Ratio!AP9</f>
        <v>0.0125791724842099</v>
      </c>
      <c r="AQ53" s="94" t="n">
        <f aca="false">AQ27*Ratio!AQ9</f>
        <v>0.0110030864074665</v>
      </c>
    </row>
    <row r="54" customFormat="false" ht="12.8" hidden="false" customHeight="false" outlineLevel="0" collapsed="false">
      <c r="A54" s="139" t="s">
        <v>184</v>
      </c>
      <c r="B54" s="65" t="n">
        <f aca="false">B28*Ratio!B11</f>
        <v>0.0170129673611046</v>
      </c>
      <c r="C54" s="65" t="n">
        <f aca="false">C28*Ratio!C11</f>
        <v>0.015513114224682</v>
      </c>
      <c r="D54" s="53" t="n">
        <f aca="false">D28*Ratio!D11</f>
        <v>0.0156537173176769</v>
      </c>
      <c r="E54" s="94" t="n">
        <f aca="false">E28*Ratio!E11</f>
        <v>0.0157721341556322</v>
      </c>
      <c r="F54" s="53" t="n">
        <f aca="false">F28*Ratio!F11</f>
        <v>0.0149525837729797</v>
      </c>
      <c r="G54" s="94" t="n">
        <f aca="false">G28*Ratio!G11</f>
        <v>0.0187119328188137</v>
      </c>
      <c r="H54" s="53" t="n">
        <f aca="false">H28*Ratio!H11</f>
        <v>0.0162735414518771</v>
      </c>
      <c r="I54" s="66" t="n">
        <f aca="false">I28*Ratio!I11</f>
        <v>0.0167877593178587</v>
      </c>
      <c r="J54" s="67" t="n">
        <f aca="false">J28*Ratio!J11</f>
        <v>0.0150260983273174</v>
      </c>
      <c r="K54" s="53" t="n">
        <f aca="false">K28*Ratio!K11</f>
        <v>0.0127197426643879</v>
      </c>
      <c r="L54" s="53" t="n">
        <f aca="false">L28*Ratio!L11</f>
        <v>0.0129927174315019</v>
      </c>
      <c r="M54" s="94" t="n">
        <f aca="false">M28*Ratio!M11</f>
        <v>0.0129371224423125</v>
      </c>
      <c r="N54" s="94" t="n">
        <f aca="false">N28*Ratio!N11</f>
        <v>0.0130195091980934</v>
      </c>
      <c r="O54" s="53" t="n">
        <f aca="false">O28*Ratio!O11</f>
        <v>0.0141345852568582</v>
      </c>
      <c r="P54" s="68" t="n">
        <f aca="false">P28*Ratio!P11</f>
        <v>0.0139489627123703</v>
      </c>
      <c r="Q54" s="67" t="n">
        <f aca="false">Q28*Ratio!Q11</f>
        <v>0.0127751779553882</v>
      </c>
      <c r="R54" s="53" t="n">
        <f aca="false">R28*Ratio!R11</f>
        <v>0.0122660208277328</v>
      </c>
      <c r="S54" s="94" t="n">
        <f aca="false">S28*Ratio!S11</f>
        <v>0.00975167690098367</v>
      </c>
      <c r="T54" s="53" t="n">
        <f aca="false">T28*Ratio!T11</f>
        <v>0.010079036052247</v>
      </c>
      <c r="U54" s="53" t="n">
        <f aca="false">U28*Ratio!U11</f>
        <v>0.00958976157042517</v>
      </c>
      <c r="V54" s="94" t="n">
        <f aca="false">V28*Ratio!V11</f>
        <v>0.00953770183275052</v>
      </c>
      <c r="W54" s="94" t="n">
        <f aca="false">W28*Ratio!W11</f>
        <v>0.00995029468259135</v>
      </c>
      <c r="X54" s="66" t="n">
        <f aca="false">X28*Ratio!X11</f>
        <v>0.0101755051835658</v>
      </c>
      <c r="Y54" s="67" t="n">
        <f aca="false">Y28*Ratio!Y11</f>
        <v>0.0103021204952416</v>
      </c>
      <c r="Z54" s="53" t="n">
        <f aca="false">Z28*Ratio!Z11</f>
        <v>0.0111044394358745</v>
      </c>
      <c r="AA54" s="94" t="n">
        <f aca="false">AA28*Ratio!AA11</f>
        <v>0.0106662518885602</v>
      </c>
      <c r="AB54" s="53" t="n">
        <f aca="false">AB28*Ratio!AB11</f>
        <v>0.0111206176769566</v>
      </c>
      <c r="AC54" s="68" t="n">
        <f aca="false">AC28*Ratio!AC11</f>
        <v>0.00772345070817021</v>
      </c>
      <c r="AD54" s="67" t="n">
        <f aca="false">AD28*Ratio!AD11</f>
        <v>0.00795865577390634</v>
      </c>
      <c r="AE54" s="53" t="n">
        <f aca="false">AE28*Ratio!AE11</f>
        <v>0.00752654780091293</v>
      </c>
      <c r="AF54" s="94" t="n">
        <f aca="false">AF28*Ratio!AF11</f>
        <v>0.00744619730243525</v>
      </c>
      <c r="AG54" s="53" t="n">
        <f aca="false">AG28*Ratio!AG11</f>
        <v>0.00625998512463139</v>
      </c>
      <c r="AH54" s="53" t="n">
        <f aca="false">AH28*Ratio!AH11</f>
        <v>0.00643097558430173</v>
      </c>
      <c r="AI54" s="66" t="n">
        <f aca="false">AI28*Ratio!AI11</f>
        <v>0.00879692396014986</v>
      </c>
      <c r="AJ54" s="67" t="n">
        <f aca="false">AJ28*Ratio!AJ11</f>
        <v>0.00952288977747732</v>
      </c>
      <c r="AK54" s="53" t="n">
        <f aca="false">AK28*Ratio!AK11</f>
        <v>0.00817844481216349</v>
      </c>
      <c r="AL54" s="94" t="n">
        <f aca="false">AL28*Ratio!AL11</f>
        <v>0.00819707452699757</v>
      </c>
      <c r="AM54" s="53" t="n">
        <f aca="false">AM28*Ratio!AM11</f>
        <v>0.00775926317198214</v>
      </c>
      <c r="AN54" s="68" t="n">
        <f aca="false">AN28*Ratio!AN11</f>
        <v>0.00599573502793854</v>
      </c>
      <c r="AO54" s="67" t="n">
        <f aca="false">AO28*Ratio!AO11</f>
        <v>0.00541951249413358</v>
      </c>
      <c r="AP54" s="53" t="n">
        <f aca="false">AP28*Ratio!AP11</f>
        <v>0.00658028044024277</v>
      </c>
      <c r="AQ54" s="94" t="n">
        <f aca="false">AQ28*Ratio!AQ11</f>
        <v>0.00642270918997164</v>
      </c>
    </row>
    <row r="55" customFormat="false" ht="12.8" hidden="false" customHeight="false" outlineLevel="0" collapsed="false">
      <c r="A55" s="139" t="s">
        <v>229</v>
      </c>
      <c r="B55" s="65" t="n">
        <f aca="false">B29*Ratio!B12</f>
        <v>0.0308924096122765</v>
      </c>
      <c r="C55" s="65" t="n">
        <f aca="false">C29*Ratio!C12</f>
        <v>0.0304221811444321</v>
      </c>
      <c r="D55" s="53" t="n">
        <f aca="false">D29*Ratio!D12</f>
        <v>0.0307055870265031</v>
      </c>
      <c r="E55" s="94" t="n">
        <f aca="false">E29*Ratio!E12</f>
        <v>0.0321851058126444</v>
      </c>
      <c r="F55" s="53" t="n">
        <f aca="false">F29*Ratio!F12</f>
        <v>0.0255921044411687</v>
      </c>
      <c r="G55" s="94" t="n">
        <f aca="false">G29*Ratio!G12</f>
        <v>0.0302740479569306</v>
      </c>
      <c r="H55" s="53" t="n">
        <f aca="false">H29*Ratio!H12</f>
        <v>0.0280712659742228</v>
      </c>
      <c r="I55" s="66" t="n">
        <f aca="false">I29*Ratio!I12</f>
        <v>0.0289059913104577</v>
      </c>
      <c r="J55" s="67" t="n">
        <f aca="false">J29*Ratio!J12</f>
        <v>0.0242732385219297</v>
      </c>
      <c r="K55" s="53" t="n">
        <f aca="false">K29*Ratio!K12</f>
        <v>0.0202387641068546</v>
      </c>
      <c r="L55" s="53" t="n">
        <f aca="false">L29*Ratio!L12</f>
        <v>0.0202775204000887</v>
      </c>
      <c r="M55" s="94" t="n">
        <f aca="false">M29*Ratio!M12</f>
        <v>0.0202926174793562</v>
      </c>
      <c r="N55" s="94" t="n">
        <f aca="false">N29*Ratio!N12</f>
        <v>0.0192205607757296</v>
      </c>
      <c r="O55" s="53" t="n">
        <f aca="false">O29*Ratio!O12</f>
        <v>0.0201444540717162</v>
      </c>
      <c r="P55" s="68" t="n">
        <f aca="false">P29*Ratio!P12</f>
        <v>0.0215863827274161</v>
      </c>
      <c r="Q55" s="235" t="n">
        <f aca="false">Q29*Ratio!Q19</f>
        <v>0.0091989470633892</v>
      </c>
      <c r="R55" s="53" t="n">
        <f aca="false">R29*Ratio!R19</f>
        <v>0.0117068053960492</v>
      </c>
      <c r="S55" s="94" t="n">
        <f aca="false">S29*Ratio!S19</f>
        <v>0.0111814626626172</v>
      </c>
      <c r="T55" s="53" t="n">
        <f aca="false">T29*Ratio!T19</f>
        <v>0.0138005216476874</v>
      </c>
      <c r="U55" s="53" t="n">
        <f aca="false">U29*Ratio!U19</f>
        <v>0.0140004543449319</v>
      </c>
      <c r="V55" s="94" t="n">
        <f aca="false">V29*Ratio!V19</f>
        <v>0.0140279274497116</v>
      </c>
      <c r="W55" s="94" t="n">
        <f aca="false">W29*Ratio!W19</f>
        <v>0.0146843297554001</v>
      </c>
      <c r="X55" s="66" t="n">
        <f aca="false">X29*Ratio!X19</f>
        <v>0.0162846691567954</v>
      </c>
      <c r="Y55" s="67" t="n">
        <f aca="false">Y29*Ratio!Y19</f>
        <v>0.0147651169273755</v>
      </c>
      <c r="Z55" s="53" t="n">
        <f aca="false">Z29*Ratio!Z19</f>
        <v>0.014872195283275</v>
      </c>
      <c r="AA55" s="94" t="n">
        <f aca="false">AA29*Ratio!AA19</f>
        <v>0.0142946153851835</v>
      </c>
      <c r="AB55" s="53" t="n">
        <f aca="false">AB29*Ratio!AB19</f>
        <v>0.017673748082526</v>
      </c>
      <c r="AC55" s="68" t="n">
        <f aca="false">AC29*Ratio!AC19</f>
        <v>0.0165621384691479</v>
      </c>
      <c r="AD55" s="67" t="n">
        <f aca="false">AD29*Ratio!AD19</f>
        <v>0.0161620385541063</v>
      </c>
      <c r="AE55" s="53" t="n">
        <f aca="false">AE29*Ratio!AE19</f>
        <v>0.0169742437794123</v>
      </c>
      <c r="AF55" s="94" t="n">
        <f aca="false">AF29*Ratio!AF19</f>
        <v>0.0149268124340533</v>
      </c>
      <c r="AG55" s="53" t="n">
        <f aca="false">AG29*Ratio!AG19</f>
        <v>0.014412728466175</v>
      </c>
      <c r="AH55" s="53" t="n">
        <f aca="false">AH29*Ratio!AH19</f>
        <v>0.0120510799079162</v>
      </c>
      <c r="AI55" s="66" t="n">
        <f aca="false">AI29*Ratio!AI19</f>
        <v>0.0178102491961086</v>
      </c>
      <c r="AJ55" s="67" t="n">
        <f aca="false">AJ29*Ratio!AJ19</f>
        <v>0.0175211597944662</v>
      </c>
      <c r="AK55" s="53" t="n">
        <f aca="false">AK29*Ratio!AK19</f>
        <v>0.0135234326509151</v>
      </c>
      <c r="AL55" s="94" t="n">
        <f aca="false">AL29*Ratio!AL19</f>
        <v>0.0129236804777359</v>
      </c>
      <c r="AM55" s="53" t="n">
        <f aca="false">AM29*Ratio!AM19</f>
        <v>0.0121143380446802</v>
      </c>
      <c r="AN55" s="68" t="n">
        <f aca="false">AN29*Ratio!AN19</f>
        <v>0.015922956452545</v>
      </c>
      <c r="AO55" s="67" t="n">
        <f aca="false">AO29*Ratio!AO19</f>
        <v>0.0107724334610841</v>
      </c>
      <c r="AP55" s="53" t="n">
        <f aca="false">AP29*Ratio!AP19</f>
        <v>0.0139947993815397</v>
      </c>
      <c r="AQ55" s="94" t="n">
        <f aca="false">AQ29*Ratio!AQ19</f>
        <v>0.0126880948532305</v>
      </c>
    </row>
    <row r="56" customFormat="false" ht="12.8" hidden="false" customHeight="false" outlineLevel="0" collapsed="false">
      <c r="A56" s="139" t="s">
        <v>186</v>
      </c>
      <c r="B56" s="65" t="n">
        <f aca="false">B30*Ratio!B14</f>
        <v>0.172646711133301</v>
      </c>
      <c r="C56" s="65" t="n">
        <f aca="false">C30*Ratio!C14</f>
        <v>0.158830461861221</v>
      </c>
      <c r="D56" s="53" t="n">
        <f aca="false">D30*Ratio!D14</f>
        <v>0.14713396013242</v>
      </c>
      <c r="E56" s="94" t="n">
        <f aca="false">E30*Ratio!E14</f>
        <v>0.181691780756387</v>
      </c>
      <c r="F56" s="53" t="n">
        <f aca="false">F30*Ratio!F14</f>
        <v>0.125896525638389</v>
      </c>
      <c r="G56" s="94" t="n">
        <f aca="false">G30*Ratio!G14</f>
        <v>0.102743003559543</v>
      </c>
      <c r="H56" s="53" t="n">
        <f aca="false">H30*Ratio!H14</f>
        <v>0.110738607725877</v>
      </c>
      <c r="I56" s="66" t="n">
        <f aca="false">I30*Ratio!I14</f>
        <v>0.1105654663421</v>
      </c>
      <c r="J56" s="67" t="n">
        <f aca="false">J30*Ratio!J14</f>
        <v>0.112145482037426</v>
      </c>
      <c r="K56" s="53" t="n">
        <f aca="false">K30*Ratio!K14</f>
        <v>0.0961574528213095</v>
      </c>
      <c r="L56" s="53" t="n">
        <f aca="false">L30*Ratio!L14</f>
        <v>0.0986490774972577</v>
      </c>
      <c r="M56" s="94" t="n">
        <f aca="false">M30*Ratio!M14</f>
        <v>0.0987225239992588</v>
      </c>
      <c r="N56" s="94" t="n">
        <f aca="false">N30*Ratio!N14</f>
        <v>0.0970866431446598</v>
      </c>
      <c r="O56" s="53" t="n">
        <f aca="false">O30*Ratio!O14</f>
        <v>0.102515522075888</v>
      </c>
      <c r="P56" s="68" t="n">
        <f aca="false">P30*Ratio!P14</f>
        <v>0.223179351787114</v>
      </c>
      <c r="Q56" s="67" t="n">
        <f aca="false">Q30*Ratio!Q14</f>
        <v>0.220239743165188</v>
      </c>
      <c r="R56" s="53" t="n">
        <f aca="false">R30*Ratio!R14</f>
        <v>0.227197082106385</v>
      </c>
      <c r="S56" s="94" t="n">
        <f aca="false">S30*Ratio!S14</f>
        <v>0.216220128799882</v>
      </c>
      <c r="T56" s="53" t="n">
        <f aca="false">T30*Ratio!T14</f>
        <v>0.232836440122101</v>
      </c>
      <c r="U56" s="53" t="n">
        <f aca="false">U30*Ratio!U14</f>
        <v>0.420775975415542</v>
      </c>
      <c r="V56" s="94" t="n">
        <f aca="false">V30*Ratio!V14</f>
        <v>0.452890474455008</v>
      </c>
      <c r="W56" s="94" t="n">
        <f aca="false">W30*Ratio!W14</f>
        <v>0.474082368462325</v>
      </c>
      <c r="X56" s="66" t="n">
        <f aca="false">X30*Ratio!X14</f>
        <v>0.436455124434658</v>
      </c>
      <c r="Y56" s="67" t="n">
        <f aca="false">Y30*Ratio!Y14</f>
        <v>0.477518059624052</v>
      </c>
      <c r="Z56" s="53" t="n">
        <f aca="false">Z30*Ratio!Z14</f>
        <v>0.482304270008849</v>
      </c>
      <c r="AA56" s="94" t="n">
        <f aca="false">AA30*Ratio!AA14</f>
        <v>0.524431850192115</v>
      </c>
      <c r="AB56" s="53" t="n">
        <f aca="false">AB30*Ratio!AB14</f>
        <v>0.476568574863451</v>
      </c>
      <c r="AC56" s="68" t="n">
        <f aca="false">AC30*Ratio!AC14</f>
        <v>0.0920992376145659</v>
      </c>
      <c r="AD56" s="67" t="n">
        <f aca="false">AD30*Ratio!AD14</f>
        <v>0.0962162272495659</v>
      </c>
      <c r="AE56" s="53" t="n">
        <f aca="false">AE30*Ratio!AE14</f>
        <v>0.0910906484382779</v>
      </c>
      <c r="AF56" s="94" t="n">
        <f aca="false">AF30*Ratio!AF14</f>
        <v>0.0901409541130748</v>
      </c>
      <c r="AG56" s="53" t="n">
        <f aca="false">AG30*Ratio!AG14</f>
        <v>0.12248199044743</v>
      </c>
      <c r="AH56" s="53" t="n">
        <f aca="false">AH30*Ratio!AH14</f>
        <v>0.130819753950422</v>
      </c>
      <c r="AI56" s="66" t="n">
        <f aca="false">AI30*Ratio!AI14</f>
        <v>0.165859200174364</v>
      </c>
      <c r="AJ56" s="67" t="n">
        <f aca="false">AJ30*Ratio!AJ14</f>
        <v>0.171430414012804</v>
      </c>
      <c r="AK56" s="53" t="n">
        <f aca="false">AK30*Ratio!AK14</f>
        <v>0.160804045352098</v>
      </c>
      <c r="AL56" s="94" t="n">
        <f aca="false">AL30*Ratio!AL14</f>
        <v>0.160773767806372</v>
      </c>
      <c r="AM56" s="53" t="n">
        <f aca="false">AM30*Ratio!AM14</f>
        <v>0.180462122469875</v>
      </c>
      <c r="AN56" s="68" t="n">
        <f aca="false">AN30*Ratio!AN14</f>
        <v>0.168725998536877</v>
      </c>
      <c r="AO56" s="67" t="n">
        <f aca="false">AO30*Ratio!AO14</f>
        <v>0.171298678817554</v>
      </c>
      <c r="AP56" s="53" t="n">
        <f aca="false">AP30*Ratio!AP14</f>
        <v>0.162640034087422</v>
      </c>
      <c r="AQ56" s="94" t="n">
        <f aca="false">AQ30*Ratio!AQ14</f>
        <v>0.157592965305136</v>
      </c>
    </row>
    <row r="57" customFormat="false" ht="12.8" hidden="false" customHeight="false" outlineLevel="0" collapsed="false">
      <c r="A57" s="139" t="s">
        <v>189</v>
      </c>
      <c r="B57" s="65" t="n">
        <f aca="false">B31*Ratio!B17</f>
        <v>0.0154148823570409</v>
      </c>
      <c r="C57" s="65" t="n">
        <f aca="false">C31*Ratio!C17</f>
        <v>0.0169468048418868</v>
      </c>
      <c r="D57" s="53" t="n">
        <f aca="false">D31*Ratio!D17</f>
        <v>0.0172688713532101</v>
      </c>
      <c r="E57" s="94" t="n">
        <f aca="false">E31*Ratio!E17</f>
        <v>0.0128712131388364</v>
      </c>
      <c r="F57" s="53" t="n">
        <f aca="false">F31*Ratio!F17</f>
        <v>0.0120202179528865</v>
      </c>
      <c r="G57" s="94" t="n">
        <f aca="false">G31*Ratio!G17</f>
        <v>0.0124506875128032</v>
      </c>
      <c r="H57" s="53" t="n">
        <f aca="false">H31*Ratio!H17</f>
        <v>0.0125899992331097</v>
      </c>
      <c r="I57" s="66" t="n">
        <f aca="false">I31*Ratio!I17</f>
        <v>0.0157236376610578</v>
      </c>
      <c r="J57" s="67" t="n">
        <f aca="false">J31*Ratio!J17</f>
        <v>0.0175173290289265</v>
      </c>
      <c r="K57" s="53" t="n">
        <f aca="false">K31*Ratio!K17</f>
        <v>0.013141811464763</v>
      </c>
      <c r="L57" s="53" t="n">
        <f aca="false">L31*Ratio!L17</f>
        <v>0.0134849297653485</v>
      </c>
      <c r="M57" s="94" t="n">
        <f aca="false">M31*Ratio!M17</f>
        <v>0.0134917313951959</v>
      </c>
      <c r="N57" s="94" t="n">
        <f aca="false">N31*Ratio!N17</f>
        <v>0.0135738490761657</v>
      </c>
      <c r="O57" s="53" t="n">
        <f aca="false">O31*Ratio!O17</f>
        <v>0.0137988792743364</v>
      </c>
      <c r="P57" s="68" t="n">
        <f aca="false">P31*Ratio!P17</f>
        <v>0.0159252433194502</v>
      </c>
      <c r="Q57" s="67" t="n">
        <f aca="false">Q31*Ratio!Q17</f>
        <v>0.0178945339097774</v>
      </c>
      <c r="R57" s="53" t="n">
        <f aca="false">R31*Ratio!R17</f>
        <v>0.0191472774722038</v>
      </c>
      <c r="S57" s="94" t="n">
        <f aca="false">S31*Ratio!S17</f>
        <v>0.0177617966523374</v>
      </c>
      <c r="T57" s="53" t="n">
        <f aca="false">T31*Ratio!T17</f>
        <v>0.0193725294622069</v>
      </c>
      <c r="U57" s="53" t="n">
        <f aca="false">U31*Ratio!U17</f>
        <v>0.0175632387991685</v>
      </c>
      <c r="V57" s="94" t="n">
        <f aca="false">V31*Ratio!V17</f>
        <v>0.0194105839344649</v>
      </c>
      <c r="W57" s="94" t="n">
        <f aca="false">W31*Ratio!W17</f>
        <v>0.0179554667114781</v>
      </c>
      <c r="X57" s="66" t="n">
        <f aca="false">X31*Ratio!X17</f>
        <v>0.016530366828994</v>
      </c>
      <c r="Y57" s="67" t="n">
        <f aca="false">Y31*Ratio!Y17</f>
        <v>0.0202383180986197</v>
      </c>
      <c r="Z57" s="53" t="n">
        <f aca="false">Z31*Ratio!Z17</f>
        <v>0.0211621425339675</v>
      </c>
      <c r="AA57" s="94" t="n">
        <f aca="false">AA31*Ratio!AA17</f>
        <v>0.0214525993838943</v>
      </c>
      <c r="AB57" s="53" t="n">
        <f aca="false">AB31*Ratio!AB17</f>
        <v>0.0244629700695116</v>
      </c>
      <c r="AC57" s="68" t="n">
        <f aca="false">AC31*Ratio!AC17</f>
        <v>0.0242671769589706</v>
      </c>
      <c r="AD57" s="67" t="n">
        <f aca="false">AD31*Ratio!AD17</f>
        <v>0.0213995750244012</v>
      </c>
      <c r="AE57" s="53" t="n">
        <f aca="false">AE31*Ratio!AE17</f>
        <v>0.0202742348583383</v>
      </c>
      <c r="AF57" s="94" t="n">
        <f aca="false">AF31*Ratio!AF17</f>
        <v>0.0211567589419146</v>
      </c>
      <c r="AG57" s="53" t="n">
        <f aca="false">AG31*Ratio!AG17</f>
        <v>0.0176032107469754</v>
      </c>
      <c r="AH57" s="53" t="n">
        <f aca="false">AH31*Ratio!AH17</f>
        <v>0.0200748893213895</v>
      </c>
      <c r="AI57" s="66" t="n">
        <f aca="false">AI31*Ratio!AI17</f>
        <v>0.03122265433753</v>
      </c>
      <c r="AJ57" s="67" t="n">
        <f aca="false">AJ31*Ratio!AJ17</f>
        <v>0.0275815246982997</v>
      </c>
      <c r="AK57" s="53" t="n">
        <f aca="false">AK31*Ratio!AK17</f>
        <v>0.0244878788907062</v>
      </c>
      <c r="AL57" s="94" t="n">
        <f aca="false">AL31*Ratio!AL17</f>
        <v>0.0253440984323393</v>
      </c>
      <c r="AM57" s="53" t="n">
        <f aca="false">AM31*Ratio!AM17</f>
        <v>0.0221631436082806</v>
      </c>
      <c r="AN57" s="68" t="n">
        <f aca="false">AN31*Ratio!AN17</f>
        <v>0.0251675035727327</v>
      </c>
      <c r="AO57" s="67" t="n">
        <f aca="false">AO31*Ratio!AO17</f>
        <v>0.0233423784543853</v>
      </c>
      <c r="AP57" s="53" t="n">
        <f aca="false">AP31*Ratio!AP17</f>
        <v>0.0206419484446226</v>
      </c>
      <c r="AQ57" s="94" t="n">
        <f aca="false">AQ31*Ratio!AQ17</f>
        <v>0.0181298955901776</v>
      </c>
    </row>
    <row r="58" customFormat="false" ht="12.8" hidden="false" customHeight="false" outlineLevel="0" collapsed="false">
      <c r="A58" s="139" t="s">
        <v>99</v>
      </c>
      <c r="B58" s="234" t="s">
        <v>260</v>
      </c>
      <c r="C58" s="234"/>
      <c r="D58" s="234"/>
      <c r="E58" s="234"/>
      <c r="F58" s="234"/>
      <c r="G58" s="234"/>
      <c r="H58" s="234"/>
      <c r="I58" s="234"/>
    </row>
    <row r="59" customFormat="false" ht="12.8" hidden="false" customHeight="false" outlineLevel="0" collapsed="false">
      <c r="A59" s="139" t="s">
        <v>258</v>
      </c>
      <c r="B59" s="230"/>
    </row>
    <row r="60" customFormat="false" ht="12.8" hidden="false" customHeight="false" outlineLevel="0" collapsed="false">
      <c r="A60" s="139" t="s">
        <v>24</v>
      </c>
      <c r="B60" s="65" t="n">
        <f aca="false">B35*Ratio!B3</f>
        <v>1.26599632905255</v>
      </c>
      <c r="C60" s="65" t="n">
        <f aca="false">C35*Ratio!C3</f>
        <v>1.23796732620818</v>
      </c>
      <c r="D60" s="53" t="n">
        <f aca="false">D35*Ratio!D3</f>
        <v>1.28110474046224</v>
      </c>
      <c r="E60" s="94" t="n">
        <f aca="false">E35*Ratio!E3</f>
        <v>1.23840478466435</v>
      </c>
      <c r="F60" s="53" t="n">
        <f aca="false">F35*Ratio!F3</f>
        <v>1.14507837913595</v>
      </c>
      <c r="G60" s="94" t="n">
        <f aca="false">G35*Ratio!G3</f>
        <v>0.950138131343116</v>
      </c>
      <c r="H60" s="53" t="n">
        <f aca="false">H35*Ratio!H3</f>
        <v>0.947102834551926</v>
      </c>
      <c r="I60" s="66" t="n">
        <f aca="false">I35*Ratio!I3</f>
        <v>1.14391946114909</v>
      </c>
      <c r="J60" s="67" t="n">
        <f aca="false">J35*Ratio!J3</f>
        <v>0.973984603990393</v>
      </c>
      <c r="K60" s="53" t="n">
        <f aca="false">K35*Ratio!K3</f>
        <v>0.888848418769629</v>
      </c>
      <c r="L60" s="53" t="n">
        <f aca="false">L35*Ratio!L3</f>
        <v>0.855131321041936</v>
      </c>
      <c r="M60" s="94" t="n">
        <f aca="false">M35*Ratio!M3</f>
        <v>0.851661027267689</v>
      </c>
      <c r="N60" s="94" t="n">
        <f aca="false">N35*Ratio!N3</f>
        <v>0.84291032791428</v>
      </c>
      <c r="O60" s="53" t="n">
        <f aca="false">O35*Ratio!O3</f>
        <v>0.800995012008129</v>
      </c>
      <c r="P60" s="68" t="n">
        <f aca="false">P35*Ratio!P3</f>
        <v>0.848540569776464</v>
      </c>
      <c r="Q60" s="67" t="n">
        <f aca="false">Q35*Ratio!Q3</f>
        <v>0.824653951123357</v>
      </c>
      <c r="R60" s="53" t="n">
        <f aca="false">R35*Ratio!R3</f>
        <v>0.782889738573509</v>
      </c>
      <c r="S60" s="94" t="n">
        <f aca="false">S35*Ratio!S3</f>
        <v>0.804852952135965</v>
      </c>
      <c r="T60" s="53" t="n">
        <f aca="false">T35*Ratio!T3</f>
        <v>0.822812326168501</v>
      </c>
      <c r="U60" s="53" t="n">
        <f aca="false">U35*Ratio!U3</f>
        <v>0.890325393148515</v>
      </c>
      <c r="V60" s="94" t="n">
        <f aca="false">V35*Ratio!V3</f>
        <v>0.882547773134148</v>
      </c>
      <c r="W60" s="94" t="n">
        <f aca="false">W35*Ratio!W3</f>
        <v>0.812344077479263</v>
      </c>
      <c r="X60" s="66" t="n">
        <f aca="false">X35*Ratio!X3</f>
        <v>0.902518487095742</v>
      </c>
      <c r="Y60" s="67" t="n">
        <f aca="false">Y35*Ratio!Y3</f>
        <v>0.851824938938821</v>
      </c>
      <c r="Z60" s="53" t="n">
        <f aca="false">Z35*Ratio!Z3</f>
        <v>0.743695701696038</v>
      </c>
      <c r="AA60" s="94" t="n">
        <f aca="false">AA35*Ratio!AA3</f>
        <v>0.773657947425402</v>
      </c>
      <c r="AB60" s="53" t="n">
        <f aca="false">AB35*Ratio!AB3</f>
        <v>0</v>
      </c>
      <c r="AC60" s="68" t="n">
        <f aca="false">AC35*Ratio!AC3</f>
        <v>0</v>
      </c>
      <c r="AD60" s="67" t="n">
        <f aca="false">AD35*Ratio!AD3</f>
        <v>0</v>
      </c>
      <c r="AE60" s="53" t="n">
        <f aca="false">AE35*Ratio!AE3</f>
        <v>0</v>
      </c>
      <c r="AF60" s="94" t="n">
        <f aca="false">AF35*Ratio!AF3</f>
        <v>0</v>
      </c>
      <c r="AG60" s="53" t="n">
        <f aca="false">AG35*Ratio!AG3</f>
        <v>0</v>
      </c>
      <c r="AH60" s="53" t="n">
        <f aca="false">AH35*Ratio!AH3</f>
        <v>0</v>
      </c>
      <c r="AI60" s="66" t="n">
        <f aca="false">AI35*Ratio!AI3</f>
        <v>0</v>
      </c>
      <c r="AJ60" s="67" t="n">
        <f aca="false">AJ35*Ratio!AJ3</f>
        <v>0</v>
      </c>
      <c r="AK60" s="53" t="n">
        <f aca="false">AK35*Ratio!AK3</f>
        <v>0</v>
      </c>
      <c r="AL60" s="94" t="n">
        <f aca="false">AL35*Ratio!AL3</f>
        <v>0</v>
      </c>
      <c r="AM60" s="53" t="n">
        <f aca="false">AM35*Ratio!AM3</f>
        <v>0</v>
      </c>
      <c r="AN60" s="68" t="n">
        <f aca="false">AN35*Ratio!AN3</f>
        <v>0</v>
      </c>
      <c r="AO60" s="67" t="n">
        <f aca="false">AO35*Ratio!AO3</f>
        <v>0</v>
      </c>
      <c r="AP60" s="53" t="n">
        <f aca="false">AP35*Ratio!AP3</f>
        <v>0</v>
      </c>
      <c r="AQ60" s="94" t="n">
        <f aca="false">AQ35*Ratio!AQ3</f>
        <v>0</v>
      </c>
    </row>
    <row r="61" customFormat="false" ht="12.8" hidden="false" customHeight="false" outlineLevel="0" collapsed="false">
      <c r="A61" s="139" t="s">
        <v>180</v>
      </c>
      <c r="B61" s="65" t="n">
        <f aca="false">B36*Ratio!B4</f>
        <v>0.166950562523507</v>
      </c>
      <c r="C61" s="65" t="n">
        <f aca="false">C36*Ratio!C4</f>
        <v>0.168045454258642</v>
      </c>
      <c r="D61" s="53" t="n">
        <f aca="false">D36*Ratio!D4</f>
        <v>0.170361885653499</v>
      </c>
      <c r="E61" s="94" t="n">
        <f aca="false">E36*Ratio!E4</f>
        <v>0.171223908624072</v>
      </c>
      <c r="F61" s="53" t="n">
        <f aca="false">F36*Ratio!F4</f>
        <v>0.171656962817819</v>
      </c>
      <c r="G61" s="94" t="n">
        <f aca="false">G36*Ratio!G4</f>
        <v>0.19497521490242</v>
      </c>
      <c r="H61" s="53" t="n">
        <f aca="false">H36*Ratio!H4</f>
        <v>0.19497521490242</v>
      </c>
      <c r="I61" s="66" t="n">
        <f aca="false">I36*Ratio!I4</f>
        <v>0.19497521490242</v>
      </c>
      <c r="J61" s="67" t="n">
        <f aca="false">J36*Ratio!J4</f>
        <v>0.185984691104141</v>
      </c>
      <c r="K61" s="53" t="n">
        <f aca="false">K36*Ratio!K4</f>
        <v>0.199165471713919</v>
      </c>
      <c r="L61" s="53" t="n">
        <f aca="false">L36*Ratio!L4</f>
        <v>0.193835008967318</v>
      </c>
      <c r="M61" s="94" t="n">
        <f aca="false">M36*Ratio!M4</f>
        <v>0.193835008967318</v>
      </c>
      <c r="N61" s="94" t="n">
        <f aca="false">N36*Ratio!N4</f>
        <v>0.193350421444899</v>
      </c>
      <c r="O61" s="53" t="n">
        <f aca="false">O36*Ratio!O4</f>
        <v>0.181680983802099</v>
      </c>
      <c r="P61" s="68" t="n">
        <f aca="false">P36*Ratio!P4</f>
        <v>0.18292348139189</v>
      </c>
      <c r="Q61" s="67" t="n">
        <f aca="false">Q36*Ratio!Q4</f>
        <v>0.163421916369743</v>
      </c>
      <c r="R61" s="53" t="n">
        <f aca="false">R36*Ratio!R4</f>
        <v>0.156705947203863</v>
      </c>
      <c r="S61" s="94" t="n">
        <f aca="false">S36*Ratio!S4</f>
        <v>0.164944202714009</v>
      </c>
      <c r="T61" s="53" t="n">
        <f aca="false">T36*Ratio!T4</f>
        <v>0.150531664397411</v>
      </c>
      <c r="U61" s="53" t="n">
        <f aca="false">U36*Ratio!U4</f>
        <v>0.147231017140566</v>
      </c>
      <c r="V61" s="94" t="n">
        <f aca="false">V36*Ratio!V4</f>
        <v>0.146822042092953</v>
      </c>
      <c r="W61" s="94" t="n">
        <f aca="false">W36*Ratio!W4</f>
        <v>0.143210792422533</v>
      </c>
      <c r="X61" s="66" t="n">
        <f aca="false">X36*Ratio!X4</f>
        <v>0.149275892378629</v>
      </c>
      <c r="Y61" s="67" t="n">
        <f aca="false">Y36*Ratio!Y4</f>
        <v>0.149747121556111</v>
      </c>
      <c r="Z61" s="53" t="n">
        <f aca="false">Z36*Ratio!Z4</f>
        <v>0.145632331085526</v>
      </c>
      <c r="AA61" s="94" t="n">
        <f aca="false">AA36*Ratio!AA4</f>
        <v>0.15381416656765</v>
      </c>
      <c r="AB61" s="53" t="n">
        <f aca="false">AB36*Ratio!AB4</f>
        <v>0</v>
      </c>
      <c r="AC61" s="68" t="n">
        <f aca="false">AC36*Ratio!AC4</f>
        <v>0</v>
      </c>
      <c r="AD61" s="67" t="n">
        <f aca="false">AD36*Ratio!AD4</f>
        <v>0</v>
      </c>
      <c r="AE61" s="53" t="n">
        <f aca="false">AE36*Ratio!AE4</f>
        <v>0</v>
      </c>
      <c r="AF61" s="94" t="n">
        <f aca="false">AF36*Ratio!AF4</f>
        <v>0</v>
      </c>
      <c r="AG61" s="53" t="n">
        <f aca="false">AG36*Ratio!AG4</f>
        <v>0</v>
      </c>
      <c r="AH61" s="53" t="n">
        <f aca="false">AH36*Ratio!AH4</f>
        <v>0</v>
      </c>
      <c r="AI61" s="66" t="n">
        <f aca="false">AI36*Ratio!AI4</f>
        <v>0</v>
      </c>
      <c r="AJ61" s="67" t="n">
        <f aca="false">AJ36*Ratio!AJ4</f>
        <v>0</v>
      </c>
      <c r="AK61" s="53" t="n">
        <f aca="false">AK36*Ratio!AK4</f>
        <v>0</v>
      </c>
      <c r="AL61" s="94" t="n">
        <f aca="false">AL36*Ratio!AL4</f>
        <v>0</v>
      </c>
      <c r="AM61" s="53" t="n">
        <f aca="false">AM36*Ratio!AM4</f>
        <v>0</v>
      </c>
      <c r="AN61" s="68" t="n">
        <f aca="false">AN36*Ratio!AN4</f>
        <v>0</v>
      </c>
      <c r="AO61" s="67" t="n">
        <f aca="false">AO36*Ratio!AO4</f>
        <v>0</v>
      </c>
      <c r="AP61" s="53" t="n">
        <f aca="false">AP36*Ratio!AP4</f>
        <v>0</v>
      </c>
      <c r="AQ61" s="94" t="n">
        <f aca="false">AQ36*Ratio!AQ4</f>
        <v>0</v>
      </c>
    </row>
    <row r="62" customFormat="false" ht="12.8" hidden="false" customHeight="false" outlineLevel="0" collapsed="false">
      <c r="A62" s="139" t="s">
        <v>181</v>
      </c>
      <c r="B62" s="65" t="n">
        <f aca="false">B37*Ratio!B5</f>
        <v>0.554686158616254</v>
      </c>
      <c r="C62" s="65" t="n">
        <f aca="false">C37*Ratio!C5</f>
        <v>0.548256550405946</v>
      </c>
      <c r="D62" s="53" t="n">
        <f aca="false">D37*Ratio!D5</f>
        <v>0.555431418282517</v>
      </c>
      <c r="E62" s="94" t="n">
        <f aca="false">E37*Ratio!E5</f>
        <v>0.551187024996047</v>
      </c>
      <c r="F62" s="53" t="n">
        <f aca="false">F37*Ratio!F5</f>
        <v>0.512839280370544</v>
      </c>
      <c r="G62" s="94" t="n">
        <f aca="false">G37*Ratio!G5</f>
        <v>0.52782213393086</v>
      </c>
      <c r="H62" s="53" t="n">
        <f aca="false">H37*Ratio!H5</f>
        <v>0.536167009707648</v>
      </c>
      <c r="I62" s="66" t="n">
        <f aca="false">I37*Ratio!I5</f>
        <v>0.532276257053631</v>
      </c>
      <c r="J62" s="67" t="n">
        <f aca="false">J37*Ratio!J5</f>
        <v>0.446765314203993</v>
      </c>
      <c r="K62" s="53" t="n">
        <f aca="false">K37*Ratio!K5</f>
        <v>0.435610546852426</v>
      </c>
      <c r="L62" s="53" t="n">
        <f aca="false">L37*Ratio!L5</f>
        <v>0.432810780964702</v>
      </c>
      <c r="M62" s="94" t="n">
        <f aca="false">M37*Ratio!M5</f>
        <v>0.431005218661965</v>
      </c>
      <c r="N62" s="94" t="n">
        <f aca="false">N37*Ratio!N5</f>
        <v>0.430523128359245</v>
      </c>
      <c r="O62" s="53" t="n">
        <f aca="false">O37*Ratio!O5</f>
        <v>0.396400209189808</v>
      </c>
      <c r="P62" s="68" t="n">
        <f aca="false">P37*Ratio!P5</f>
        <v>0.410773712082358</v>
      </c>
      <c r="Q62" s="67" t="n">
        <f aca="false">Q37*Ratio!Q5</f>
        <v>0.376790404102805</v>
      </c>
      <c r="R62" s="53" t="n">
        <f aca="false">R37*Ratio!R5</f>
        <v>0.352918836508189</v>
      </c>
      <c r="S62" s="94" t="n">
        <f aca="false">S37*Ratio!S5</f>
        <v>0.370472015222725</v>
      </c>
      <c r="T62" s="53" t="n">
        <f aca="false">T37*Ratio!T5</f>
        <v>0.406009638904521</v>
      </c>
      <c r="U62" s="53" t="n">
        <f aca="false">U37*Ratio!U5</f>
        <v>0.500739934363656</v>
      </c>
      <c r="V62" s="94" t="n">
        <f aca="false">V37*Ratio!V5</f>
        <v>0.487818340357402</v>
      </c>
      <c r="W62" s="94" t="n">
        <f aca="false">W37*Ratio!W5</f>
        <v>0.458288037294862</v>
      </c>
      <c r="X62" s="66" t="n">
        <f aca="false">X37*Ratio!X5</f>
        <v>0.506440023949829</v>
      </c>
      <c r="Y62" s="67" t="n">
        <f aca="false">Y37*Ratio!Y5</f>
        <v>0.445762964526544</v>
      </c>
      <c r="Z62" s="53" t="n">
        <f aca="false">Z37*Ratio!Z5</f>
        <v>0.413709421869241</v>
      </c>
      <c r="AA62" s="94" t="n">
        <f aca="false">AA37*Ratio!AA5</f>
        <v>0.433754791465853</v>
      </c>
      <c r="AB62" s="53" t="n">
        <f aca="false">AB37*Ratio!AB5</f>
        <v>0</v>
      </c>
      <c r="AC62" s="68" t="n">
        <f aca="false">AC37*Ratio!AC5</f>
        <v>0</v>
      </c>
      <c r="AD62" s="67" t="n">
        <f aca="false">AD37*Ratio!AD5</f>
        <v>0</v>
      </c>
      <c r="AE62" s="53" t="n">
        <f aca="false">AE37*Ratio!AE5</f>
        <v>0</v>
      </c>
      <c r="AF62" s="94" t="n">
        <f aca="false">AF37*Ratio!AF5</f>
        <v>0</v>
      </c>
      <c r="AG62" s="53" t="n">
        <f aca="false">AG37*Ratio!AG5</f>
        <v>0</v>
      </c>
      <c r="AH62" s="53" t="n">
        <f aca="false">AH37*Ratio!AH5</f>
        <v>0</v>
      </c>
      <c r="AI62" s="66" t="n">
        <f aca="false">AI37*Ratio!AI5</f>
        <v>0</v>
      </c>
      <c r="AJ62" s="67" t="n">
        <f aca="false">AJ37*Ratio!AJ5</f>
        <v>0</v>
      </c>
      <c r="AK62" s="53" t="n">
        <f aca="false">AK37*Ratio!AK5</f>
        <v>0</v>
      </c>
      <c r="AL62" s="94" t="n">
        <f aca="false">AL37*Ratio!AL5</f>
        <v>0</v>
      </c>
      <c r="AM62" s="53" t="n">
        <f aca="false">AM37*Ratio!AM5</f>
        <v>0</v>
      </c>
      <c r="AN62" s="68" t="n">
        <f aca="false">AN37*Ratio!AN5</f>
        <v>0</v>
      </c>
      <c r="AO62" s="67" t="n">
        <f aca="false">AO37*Ratio!AO5</f>
        <v>0</v>
      </c>
      <c r="AP62" s="53" t="n">
        <f aca="false">AP37*Ratio!AP5</f>
        <v>0</v>
      </c>
      <c r="AQ62" s="94" t="n">
        <f aca="false">AQ37*Ratio!AQ5</f>
        <v>0</v>
      </c>
    </row>
    <row r="63" customFormat="false" ht="12.8" hidden="false" customHeight="false" outlineLevel="0" collapsed="false">
      <c r="A63" s="139" t="s">
        <v>30</v>
      </c>
      <c r="B63" s="65" t="n">
        <f aca="false">B38*Ratio!B6</f>
        <v>0.419207712385649</v>
      </c>
      <c r="C63" s="65" t="n">
        <f aca="false">C38*Ratio!C6</f>
        <v>0.380649983753547</v>
      </c>
      <c r="D63" s="53" t="n">
        <f aca="false">D38*Ratio!D6</f>
        <v>0.380649983753547</v>
      </c>
      <c r="E63" s="94" t="n">
        <f aca="false">E38*Ratio!E6</f>
        <v>0.331818935004363</v>
      </c>
      <c r="F63" s="53" t="n">
        <f aca="false">F38*Ratio!F6</f>
        <v>0.329896652586407</v>
      </c>
      <c r="G63" s="94" t="n">
        <f aca="false">G38*Ratio!G6</f>
        <v>0.33671451673986</v>
      </c>
      <c r="H63" s="53" t="n">
        <f aca="false">H38*Ratio!H6</f>
        <v>0.369593875741849</v>
      </c>
      <c r="I63" s="66" t="n">
        <f aca="false">I38*Ratio!I6</f>
        <v>0.344583469852022</v>
      </c>
      <c r="J63" s="67" t="n">
        <f aca="false">J38*Ratio!J6</f>
        <v>0.322046244611062</v>
      </c>
      <c r="K63" s="53" t="n">
        <f aca="false">K38*Ratio!K6</f>
        <v>0.327293199999518</v>
      </c>
      <c r="L63" s="53" t="n">
        <f aca="false">L38*Ratio!L6</f>
        <v>0.316919038088016</v>
      </c>
      <c r="M63" s="94" t="n">
        <f aca="false">M38*Ratio!M6</f>
        <v>0.317456686055161</v>
      </c>
      <c r="N63" s="94" t="n">
        <f aca="false">N38*Ratio!N6</f>
        <v>0.314243017524271</v>
      </c>
      <c r="O63" s="53" t="n">
        <f aca="false">O38*Ratio!O6</f>
        <v>0.302060403359645</v>
      </c>
      <c r="P63" s="68" t="n">
        <f aca="false">P38*Ratio!P6</f>
        <v>0.359180081750625</v>
      </c>
      <c r="Q63" s="67" t="n">
        <f aca="false">Q38*Ratio!Q6</f>
        <v>0.367376452378353</v>
      </c>
      <c r="R63" s="53" t="n">
        <f aca="false">R38*Ratio!R6</f>
        <v>0.368468210037724</v>
      </c>
      <c r="S63" s="94" t="n">
        <f aca="false">S38*Ratio!S6</f>
        <v>0.383619076955646</v>
      </c>
      <c r="T63" s="53" t="n">
        <f aca="false">T38*Ratio!T6</f>
        <v>0.3738041755979</v>
      </c>
      <c r="U63" s="53" t="n">
        <f aca="false">U38*Ratio!U6</f>
        <v>0.431743520322872</v>
      </c>
      <c r="V63" s="94" t="n">
        <f aca="false">V38*Ratio!V6</f>
        <v>0.403536276995111</v>
      </c>
      <c r="W63" s="94" t="n">
        <f aca="false">W38*Ratio!W6</f>
        <v>0.389527638905701</v>
      </c>
      <c r="X63" s="66" t="n">
        <f aca="false">X38*Ratio!X6</f>
        <v>0.431743520322872</v>
      </c>
      <c r="Y63" s="67" t="n">
        <f aca="false">Y38*Ratio!Y6</f>
        <v>0.39526694943586</v>
      </c>
      <c r="Z63" s="53" t="n">
        <f aca="false">Z38*Ratio!Z6</f>
        <v>0.377056007748641</v>
      </c>
      <c r="AA63" s="94" t="n">
        <f aca="false">AA38*Ratio!AA6</f>
        <v>0.387230763377584</v>
      </c>
      <c r="AB63" s="53" t="n">
        <f aca="false">AB38*Ratio!AB6</f>
        <v>0</v>
      </c>
      <c r="AC63" s="68" t="n">
        <f aca="false">AC38*Ratio!AC6</f>
        <v>0</v>
      </c>
      <c r="AD63" s="67" t="n">
        <f aca="false">AD38*Ratio!AD6</f>
        <v>0</v>
      </c>
      <c r="AE63" s="53" t="n">
        <f aca="false">AE38*Ratio!AE6</f>
        <v>0</v>
      </c>
      <c r="AF63" s="94" t="n">
        <f aca="false">AF38*Ratio!AF6</f>
        <v>0</v>
      </c>
      <c r="AG63" s="53" t="n">
        <f aca="false">AG38*Ratio!AG6</f>
        <v>0</v>
      </c>
      <c r="AH63" s="53" t="n">
        <f aca="false">AH38*Ratio!AH6</f>
        <v>0</v>
      </c>
      <c r="AI63" s="66" t="n">
        <f aca="false">AI38*Ratio!AI6</f>
        <v>0</v>
      </c>
      <c r="AJ63" s="67" t="n">
        <f aca="false">AJ38*Ratio!AJ6</f>
        <v>0</v>
      </c>
      <c r="AK63" s="53" t="n">
        <f aca="false">AK38*Ratio!AK6</f>
        <v>0</v>
      </c>
      <c r="AL63" s="94" t="n">
        <f aca="false">AL38*Ratio!AL6</f>
        <v>0</v>
      </c>
      <c r="AM63" s="53" t="n">
        <f aca="false">AM38*Ratio!AM6</f>
        <v>0</v>
      </c>
      <c r="AN63" s="68" t="n">
        <f aca="false">AN38*Ratio!AN6</f>
        <v>0</v>
      </c>
      <c r="AO63" s="67" t="n">
        <f aca="false">AO38*Ratio!AO6</f>
        <v>0</v>
      </c>
      <c r="AP63" s="53" t="n">
        <f aca="false">AP38*Ratio!AP6</f>
        <v>0</v>
      </c>
      <c r="AQ63" s="94" t="n">
        <f aca="false">AQ38*Ratio!AQ6</f>
        <v>0</v>
      </c>
    </row>
    <row r="64" customFormat="false" ht="12.8" hidden="false" customHeight="false" outlineLevel="0" collapsed="false">
      <c r="A64" s="139" t="s">
        <v>182</v>
      </c>
      <c r="B64" s="65" t="n">
        <f aca="false">B39*Ratio!B7</f>
        <v>0.105889189194375</v>
      </c>
      <c r="C64" s="65" t="n">
        <f aca="false">C39*Ratio!C7</f>
        <v>0.108368688114905</v>
      </c>
      <c r="D64" s="53" t="n">
        <f aca="false">D39*Ratio!D7</f>
        <v>0.108368688114905</v>
      </c>
      <c r="E64" s="94" t="n">
        <f aca="false">E39*Ratio!E7</f>
        <v>0.108514540992583</v>
      </c>
      <c r="F64" s="53" t="n">
        <f aca="false">F39*Ratio!F7</f>
        <v>0.108514540992583</v>
      </c>
      <c r="G64" s="94" t="n">
        <f aca="false">G39*Ratio!G7</f>
        <v>0.119397658604969</v>
      </c>
      <c r="H64" s="53" t="n">
        <f aca="false">H39*Ratio!H7</f>
        <v>0.119397658604969</v>
      </c>
      <c r="I64" s="66" t="n">
        <f aca="false">I39*Ratio!I7</f>
        <v>0.116532114798449</v>
      </c>
      <c r="J64" s="67" t="n">
        <f aca="false">J39*Ratio!J7</f>
        <v>0.112257068482576</v>
      </c>
      <c r="K64" s="53" t="n">
        <f aca="false">K39*Ratio!K7</f>
        <v>0.106767056839822</v>
      </c>
      <c r="L64" s="53" t="n">
        <f aca="false">L39*Ratio!L7</f>
        <v>0.106767056839822</v>
      </c>
      <c r="M64" s="94" t="n">
        <f aca="false">M39*Ratio!M7</f>
        <v>0.106767056839822</v>
      </c>
      <c r="N64" s="94" t="n">
        <f aca="false">N39*Ratio!N7</f>
        <v>0.106767056839822</v>
      </c>
      <c r="O64" s="53" t="n">
        <f aca="false">O39*Ratio!O7</f>
        <v>0.120903226261316</v>
      </c>
      <c r="P64" s="68" t="n">
        <f aca="false">P39*Ratio!P7</f>
        <v>0.135165358817244</v>
      </c>
      <c r="Q64" s="67" t="n">
        <f aca="false">Q39*Ratio!Q7</f>
        <v>0.119305780007622</v>
      </c>
      <c r="R64" s="53" t="n">
        <f aca="false">R39*Ratio!R7</f>
        <v>0.117252897793008</v>
      </c>
      <c r="S64" s="94" t="n">
        <f aca="false">S39*Ratio!S7</f>
        <v>0.116096865924658</v>
      </c>
      <c r="T64" s="53" t="n">
        <f aca="false">T39*Ratio!T7</f>
        <v>0.136258742036013</v>
      </c>
      <c r="U64" s="53" t="n">
        <f aca="false">U39*Ratio!U7</f>
        <v>0.168257705635526</v>
      </c>
      <c r="V64" s="94" t="n">
        <f aca="false">V39*Ratio!V7</f>
        <v>0.163743474508719</v>
      </c>
      <c r="W64" s="94" t="n">
        <f aca="false">W39*Ratio!W7</f>
        <v>0.163743474508719</v>
      </c>
      <c r="X64" s="66" t="n">
        <f aca="false">X39*Ratio!X7</f>
        <v>0.163743474508719</v>
      </c>
      <c r="Y64" s="67" t="n">
        <f aca="false">Y39*Ratio!Y7</f>
        <v>0.140327139938852</v>
      </c>
      <c r="Z64" s="53" t="n">
        <f aca="false">Z39*Ratio!Z7</f>
        <v>0.140303157176451</v>
      </c>
      <c r="AA64" s="94" t="n">
        <f aca="false">AA39*Ratio!AA7</f>
        <v>0.134047653316699</v>
      </c>
      <c r="AB64" s="53" t="n">
        <f aca="false">AB39*Ratio!AB7</f>
        <v>0</v>
      </c>
      <c r="AC64" s="68" t="n">
        <f aca="false">AC39*Ratio!AC7</f>
        <v>0</v>
      </c>
      <c r="AD64" s="67" t="n">
        <f aca="false">AD39*Ratio!AD7</f>
        <v>0</v>
      </c>
      <c r="AE64" s="53" t="n">
        <f aca="false">AE39*Ratio!AE7</f>
        <v>0</v>
      </c>
      <c r="AF64" s="94" t="n">
        <f aca="false">AF39*Ratio!AF7</f>
        <v>0</v>
      </c>
      <c r="AG64" s="53" t="n">
        <f aca="false">AG39*Ratio!AG7</f>
        <v>0</v>
      </c>
      <c r="AH64" s="53" t="n">
        <f aca="false">AH39*Ratio!AH7</f>
        <v>0</v>
      </c>
      <c r="AI64" s="66" t="n">
        <f aca="false">AI39*Ratio!AI7</f>
        <v>0</v>
      </c>
      <c r="AJ64" s="67" t="n">
        <f aca="false">AJ39*Ratio!AJ7</f>
        <v>0</v>
      </c>
      <c r="AK64" s="53" t="n">
        <f aca="false">AK39*Ratio!AK7</f>
        <v>0</v>
      </c>
      <c r="AL64" s="94" t="n">
        <f aca="false">AL39*Ratio!AL7</f>
        <v>0</v>
      </c>
      <c r="AM64" s="53" t="n">
        <f aca="false">AM39*Ratio!AM7</f>
        <v>0</v>
      </c>
      <c r="AN64" s="68" t="n">
        <f aca="false">AN39*Ratio!AN7</f>
        <v>0</v>
      </c>
      <c r="AO64" s="67" t="n">
        <f aca="false">AO39*Ratio!AO7</f>
        <v>0</v>
      </c>
      <c r="AP64" s="53" t="n">
        <f aca="false">AP39*Ratio!AP7</f>
        <v>0</v>
      </c>
      <c r="AQ64" s="94" t="n">
        <f aca="false">AQ39*Ratio!AQ7</f>
        <v>0</v>
      </c>
    </row>
    <row r="65" customFormat="false" ht="12.8" hidden="false" customHeight="false" outlineLevel="0" collapsed="false">
      <c r="A65" s="139" t="s">
        <v>27</v>
      </c>
      <c r="B65" s="65" t="n">
        <f aca="false">B40*Ratio!B7</f>
        <v>0.442961789186425</v>
      </c>
      <c r="C65" s="65" t="n">
        <f aca="false">C40*Ratio!C7</f>
        <v>0.453334172679771</v>
      </c>
      <c r="D65" s="53" t="n">
        <f aca="false">D40*Ratio!D7</f>
        <v>0.453334172679771</v>
      </c>
      <c r="E65" s="94" t="n">
        <f aca="false">E40*Ratio!E7</f>
        <v>0.453944312885262</v>
      </c>
      <c r="F65" s="53" t="n">
        <f aca="false">F40*Ratio!F7</f>
        <v>0.453944312885262</v>
      </c>
      <c r="G65" s="94" t="n">
        <f aca="false">G40*Ratio!G7</f>
        <v>0.481272500544256</v>
      </c>
      <c r="H65" s="53" t="n">
        <f aca="false">H40*Ratio!H7</f>
        <v>0.481272500544256</v>
      </c>
      <c r="I65" s="66" t="n">
        <f aca="false">I40*Ratio!I7</f>
        <v>0.469721960531194</v>
      </c>
      <c r="J65" s="67" t="n">
        <f aca="false">J40*Ratio!J7</f>
        <v>0.485083505493047</v>
      </c>
      <c r="K65" s="53" t="n">
        <f aca="false">K40*Ratio!K7</f>
        <v>0.461360152221279</v>
      </c>
      <c r="L65" s="53" t="n">
        <f aca="false">L40*Ratio!L7</f>
        <v>0.461360152221279</v>
      </c>
      <c r="M65" s="94" t="n">
        <f aca="false">M40*Ratio!M7</f>
        <v>0.461360152221279</v>
      </c>
      <c r="N65" s="94" t="n">
        <f aca="false">N40*Ratio!N7</f>
        <v>0.461360152221279</v>
      </c>
      <c r="O65" s="53" t="n">
        <f aca="false">O40*Ratio!O7</f>
        <v>0.488036193810921</v>
      </c>
      <c r="P65" s="68" t="n">
        <f aca="false">P40*Ratio!P7</f>
        <v>0.545606509372046</v>
      </c>
      <c r="Q65" s="67" t="n">
        <f aca="false">Q40*Ratio!Q7</f>
        <v>0.516457906744403</v>
      </c>
      <c r="R65" s="53" t="n">
        <f aca="false">R40*Ratio!R7</f>
        <v>0.507571268969732</v>
      </c>
      <c r="S65" s="94" t="n">
        <f aca="false">S40*Ratio!S7</f>
        <v>0.502566969942312</v>
      </c>
      <c r="T65" s="53" t="n">
        <f aca="false">T40*Ratio!T7</f>
        <v>0.622989142074821</v>
      </c>
      <c r="U65" s="53" t="n">
        <f aca="false">U40*Ratio!U7</f>
        <v>0.769291732149188</v>
      </c>
      <c r="V65" s="94" t="n">
        <f aca="false">V40*Ratio!V7</f>
        <v>0.748652197872015</v>
      </c>
      <c r="W65" s="94" t="n">
        <f aca="false">W40*Ratio!W7</f>
        <v>0.748652197872015</v>
      </c>
      <c r="X65" s="66" t="n">
        <f aca="false">X40*Ratio!X7</f>
        <v>0.748652197872015</v>
      </c>
      <c r="Y65" s="67" t="n">
        <f aca="false">Y40*Ratio!Y7</f>
        <v>0.6607637171878</v>
      </c>
      <c r="Z65" s="53" t="n">
        <f aca="false">Z40*Ratio!Z7</f>
        <v>0.660650788646395</v>
      </c>
      <c r="AA65" s="94" t="n">
        <f aca="false">AA40*Ratio!AA7</f>
        <v>0.631195260763097</v>
      </c>
      <c r="AB65" s="53" t="n">
        <f aca="false">AB40*Ratio!AB7</f>
        <v>0</v>
      </c>
      <c r="AC65" s="68" t="n">
        <f aca="false">AC40*Ratio!AC7</f>
        <v>0</v>
      </c>
      <c r="AD65" s="67" t="n">
        <f aca="false">AD40*Ratio!AD7</f>
        <v>0</v>
      </c>
      <c r="AE65" s="53" t="n">
        <f aca="false">AE40*Ratio!AE7</f>
        <v>0</v>
      </c>
      <c r="AF65" s="94" t="n">
        <f aca="false">AF40*Ratio!AF7</f>
        <v>0</v>
      </c>
      <c r="AG65" s="53" t="n">
        <f aca="false">AG40*Ratio!AG7</f>
        <v>0</v>
      </c>
      <c r="AH65" s="53" t="n">
        <f aca="false">AH40*Ratio!AH7</f>
        <v>0</v>
      </c>
      <c r="AI65" s="66" t="n">
        <f aca="false">AI40*Ratio!AI7</f>
        <v>0</v>
      </c>
      <c r="AJ65" s="67" t="n">
        <f aca="false">AJ40*Ratio!AJ7</f>
        <v>0</v>
      </c>
      <c r="AK65" s="53" t="n">
        <f aca="false">AK40*Ratio!AK7</f>
        <v>0</v>
      </c>
      <c r="AL65" s="94" t="n">
        <f aca="false">AL40*Ratio!AL7</f>
        <v>0</v>
      </c>
      <c r="AM65" s="53" t="n">
        <f aca="false">AM40*Ratio!AM7</f>
        <v>0</v>
      </c>
      <c r="AN65" s="68" t="n">
        <f aca="false">AN40*Ratio!AN7</f>
        <v>0</v>
      </c>
      <c r="AO65" s="67" t="n">
        <f aca="false">AO40*Ratio!AO7</f>
        <v>0</v>
      </c>
      <c r="AP65" s="53" t="n">
        <f aca="false">AP40*Ratio!AP7</f>
        <v>0</v>
      </c>
      <c r="AQ65" s="94" t="n">
        <f aca="false">AQ40*Ratio!AQ7</f>
        <v>0</v>
      </c>
    </row>
    <row r="66" customFormat="false" ht="12.8" hidden="false" customHeight="false" outlineLevel="0" collapsed="false">
      <c r="A66" s="139" t="s">
        <v>184</v>
      </c>
      <c r="B66" s="65" t="n">
        <f aca="false">B41*Ratio!B11</f>
        <v>0.0628057028464352</v>
      </c>
      <c r="C66" s="65" t="n">
        <f aca="false">C41*Ratio!C11</f>
        <v>0.0627297997886909</v>
      </c>
      <c r="D66" s="53" t="n">
        <f aca="false">D41*Ratio!D11</f>
        <v>0.0644324657829553</v>
      </c>
      <c r="E66" s="94" t="n">
        <f aca="false">E41*Ratio!E11</f>
        <v>0.0622817297902002</v>
      </c>
      <c r="F66" s="53" t="n">
        <f aca="false">F41*Ratio!F11</f>
        <v>0.0604894497962376</v>
      </c>
      <c r="G66" s="94" t="n">
        <f aca="false">G41*Ratio!G11</f>
        <v>0.0738723301699388</v>
      </c>
      <c r="H66" s="53" t="n">
        <f aca="false">H41*Ratio!H11</f>
        <v>0.0717755964311467</v>
      </c>
      <c r="I66" s="66" t="n">
        <f aca="false">I41*Ratio!I11</f>
        <v>0.0733080240525849</v>
      </c>
      <c r="J66" s="67" t="n">
        <f aca="false">J41*Ratio!J11</f>
        <v>0.0622619098241101</v>
      </c>
      <c r="K66" s="53" t="n">
        <f aca="false">K41*Ratio!K11</f>
        <v>0.0549743270089562</v>
      </c>
      <c r="L66" s="53" t="n">
        <f aca="false">L41*Ratio!L11</f>
        <v>0.0549516869139476</v>
      </c>
      <c r="M66" s="94" t="n">
        <f aca="false">M41*Ratio!M11</f>
        <v>0.0549516869139476</v>
      </c>
      <c r="N66" s="94" t="n">
        <f aca="false">N41*Ratio!N11</f>
        <v>0.0549626772513304</v>
      </c>
      <c r="O66" s="53" t="n">
        <f aca="false">O41*Ratio!O11</f>
        <v>0.063576686947901</v>
      </c>
      <c r="P66" s="68" t="n">
        <f aca="false">P41*Ratio!P11</f>
        <v>0.060871940397587</v>
      </c>
      <c r="Q66" s="67" t="n">
        <f aca="false">Q41*Ratio!Q11</f>
        <v>0.0497134660278146</v>
      </c>
      <c r="R66" s="53" t="n">
        <f aca="false">R41*Ratio!R11</f>
        <v>0.0393428418484552</v>
      </c>
      <c r="S66" s="94" t="n">
        <f aca="false">S41*Ratio!S11</f>
        <v>0.0353713246902516</v>
      </c>
      <c r="T66" s="53" t="n">
        <f aca="false">T41*Ratio!T11</f>
        <v>0.0387313012258677</v>
      </c>
      <c r="U66" s="53" t="n">
        <f aca="false">U41*Ratio!U11</f>
        <v>0.0395081235923472</v>
      </c>
      <c r="V66" s="94" t="n">
        <f aca="false">V41*Ratio!V11</f>
        <v>0.0418385282206797</v>
      </c>
      <c r="W66" s="94" t="n">
        <f aca="false">W41*Ratio!W11</f>
        <v>0.0416973046370751</v>
      </c>
      <c r="X66" s="66" t="n">
        <f aca="false">X41*Ratio!X11</f>
        <v>0.0416973046370751</v>
      </c>
      <c r="Y66" s="67" t="n">
        <f aca="false">Y41*Ratio!Y11</f>
        <v>0.0415285514494617</v>
      </c>
      <c r="Z66" s="53" t="n">
        <f aca="false">Z41*Ratio!Z11</f>
        <v>0.0444190985329488</v>
      </c>
      <c r="AA66" s="94" t="n">
        <f aca="false">AA41*Ratio!AA11</f>
        <v>0.0445267252860574</v>
      </c>
      <c r="AB66" s="53" t="n">
        <f aca="false">AB41*Ratio!AB11</f>
        <v>0</v>
      </c>
      <c r="AC66" s="68" t="n">
        <f aca="false">AC41*Ratio!AC11</f>
        <v>0</v>
      </c>
      <c r="AD66" s="67" t="n">
        <f aca="false">AD41*Ratio!AD11</f>
        <v>0</v>
      </c>
      <c r="AE66" s="53" t="n">
        <f aca="false">AE41*Ratio!AE11</f>
        <v>0</v>
      </c>
      <c r="AF66" s="94" t="n">
        <f aca="false">AF41*Ratio!AF11</f>
        <v>0</v>
      </c>
      <c r="AG66" s="53" t="n">
        <f aca="false">AG41*Ratio!AG11</f>
        <v>0</v>
      </c>
      <c r="AH66" s="53" t="n">
        <f aca="false">AH41*Ratio!AH11</f>
        <v>0</v>
      </c>
      <c r="AI66" s="66" t="n">
        <f aca="false">AI41*Ratio!AI11</f>
        <v>0</v>
      </c>
      <c r="AJ66" s="67" t="n">
        <f aca="false">AJ41*Ratio!AJ11</f>
        <v>0</v>
      </c>
      <c r="AK66" s="53" t="n">
        <f aca="false">AK41*Ratio!AK11</f>
        <v>0</v>
      </c>
      <c r="AL66" s="94" t="n">
        <f aca="false">AL41*Ratio!AL11</f>
        <v>0</v>
      </c>
      <c r="AM66" s="53" t="n">
        <f aca="false">AM41*Ratio!AM11</f>
        <v>0</v>
      </c>
      <c r="AN66" s="68" t="n">
        <f aca="false">AN41*Ratio!AN11</f>
        <v>0</v>
      </c>
      <c r="AO66" s="67" t="n">
        <f aca="false">AO41*Ratio!AO11</f>
        <v>0</v>
      </c>
      <c r="AP66" s="53" t="n">
        <f aca="false">AP41*Ratio!AP11</f>
        <v>0</v>
      </c>
      <c r="AQ66" s="94" t="n">
        <f aca="false">AQ41*Ratio!AQ11</f>
        <v>0</v>
      </c>
    </row>
    <row r="67" customFormat="false" ht="12.8" hidden="false" customHeight="false" outlineLevel="0" collapsed="false">
      <c r="A67" s="139" t="s">
        <v>229</v>
      </c>
      <c r="B67" s="65" t="n">
        <f aca="false">B42*Ratio!B12</f>
        <v>0.0544795022861625</v>
      </c>
      <c r="C67" s="65" t="n">
        <f aca="false">C42*Ratio!C12</f>
        <v>0.0519820775569737</v>
      </c>
      <c r="D67" s="53" t="n">
        <f aca="false">D42*Ratio!D12</f>
        <v>0.0519820775569737</v>
      </c>
      <c r="E67" s="94" t="n">
        <f aca="false">E42*Ratio!E12</f>
        <v>0.05407769772769</v>
      </c>
      <c r="F67" s="53" t="n">
        <f aca="false">F42*Ratio!F12</f>
        <v>0.0422071255843555</v>
      </c>
      <c r="G67" s="94" t="n">
        <f aca="false">G42*Ratio!G12</f>
        <v>0.0433489675386062</v>
      </c>
      <c r="H67" s="53" t="n">
        <f aca="false">H42*Ratio!H12</f>
        <v>0.0411938954907567</v>
      </c>
      <c r="I67" s="66" t="n">
        <f aca="false">I42*Ratio!I12</f>
        <v>0.0392093041944188</v>
      </c>
      <c r="J67" s="67" t="n">
        <f aca="false">J42*Ratio!J12</f>
        <v>0.0354710388792434</v>
      </c>
      <c r="K67" s="53" t="n">
        <f aca="false">K42*Ratio!K12</f>
        <v>0.0331825847580019</v>
      </c>
      <c r="L67" s="53" t="n">
        <f aca="false">L42*Ratio!L12</f>
        <v>0.0324197667175881</v>
      </c>
      <c r="M67" s="94" t="n">
        <f aca="false">M42*Ratio!M12</f>
        <v>0.0324197667175881</v>
      </c>
      <c r="N67" s="94" t="n">
        <f aca="false">N42*Ratio!N12</f>
        <v>0.0305127216165535</v>
      </c>
      <c r="O67" s="53" t="n">
        <f aca="false">O42*Ratio!O12</f>
        <v>0.0206236769438075</v>
      </c>
      <c r="P67" s="68" t="n">
        <f aca="false">P42*Ratio!P12</f>
        <v>0.0235475201141343</v>
      </c>
      <c r="Q67" s="235" t="n">
        <f aca="false">Q42*Ratio!Q19</f>
        <v>0.0484141942609554</v>
      </c>
      <c r="R67" s="53" t="n">
        <f aca="false">R42*Ratio!R19</f>
        <v>0.0537736256421064</v>
      </c>
      <c r="S67" s="94" t="n">
        <f aca="false">S42*Ratio!S19</f>
        <v>0.0537736256421064</v>
      </c>
      <c r="T67" s="53" t="n">
        <f aca="false">T42*Ratio!T19</f>
        <v>0.0637643081138494</v>
      </c>
      <c r="U67" s="53" t="n">
        <f aca="false">U42*Ratio!U19</f>
        <v>0.0671640556707421</v>
      </c>
      <c r="V67" s="94" t="n">
        <f aca="false">V42*Ratio!V19</f>
        <v>0.0662112069202919</v>
      </c>
      <c r="W67" s="94" t="n">
        <f aca="false">W42*Ratio!W19</f>
        <v>0.0662112069202919</v>
      </c>
      <c r="X67" s="66" t="n">
        <f aca="false">X42*Ratio!X19</f>
        <v>0.072669306135557</v>
      </c>
      <c r="Y67" s="67" t="n">
        <f aca="false">Y42*Ratio!Y19</f>
        <v>0.0682651057637051</v>
      </c>
      <c r="Z67" s="53" t="n">
        <f aca="false">Z42*Ratio!Z19</f>
        <v>0.0660630055777791</v>
      </c>
      <c r="AA67" s="94" t="n">
        <f aca="false">AA42*Ratio!AA19</f>
        <v>0.0660630055777791</v>
      </c>
      <c r="AB67" s="53" t="n">
        <f aca="false">AB42*Ratio!AB19</f>
        <v>0</v>
      </c>
      <c r="AC67" s="68" t="n">
        <f aca="false">AC42*Ratio!AC19</f>
        <v>0</v>
      </c>
      <c r="AD67" s="67" t="n">
        <f aca="false">AD42*Ratio!AD19</f>
        <v>0</v>
      </c>
      <c r="AE67" s="53" t="n">
        <f aca="false">AE42*Ratio!AE19</f>
        <v>0</v>
      </c>
      <c r="AF67" s="94" t="n">
        <f aca="false">AF42*Ratio!AF19</f>
        <v>0</v>
      </c>
      <c r="AG67" s="53" t="n">
        <f aca="false">AG42*Ratio!AG19</f>
        <v>0</v>
      </c>
      <c r="AH67" s="53" t="n">
        <f aca="false">AH42*Ratio!AH19</f>
        <v>0</v>
      </c>
      <c r="AI67" s="66" t="n">
        <f aca="false">AI42*Ratio!AI19</f>
        <v>0</v>
      </c>
      <c r="AJ67" s="67" t="n">
        <f aca="false">AJ42*Ratio!AJ19</f>
        <v>0</v>
      </c>
      <c r="AK67" s="53" t="n">
        <f aca="false">AK42*Ratio!AK19</f>
        <v>0</v>
      </c>
      <c r="AL67" s="94" t="n">
        <f aca="false">AL42*Ratio!AL19</f>
        <v>0</v>
      </c>
      <c r="AM67" s="53" t="n">
        <f aca="false">AM42*Ratio!AM19</f>
        <v>0</v>
      </c>
      <c r="AN67" s="68" t="n">
        <f aca="false">AN42*Ratio!AN19</f>
        <v>0</v>
      </c>
      <c r="AO67" s="67" t="n">
        <f aca="false">AO42*Ratio!AO19</f>
        <v>0</v>
      </c>
      <c r="AP67" s="53" t="n">
        <f aca="false">AP42*Ratio!AP19</f>
        <v>0</v>
      </c>
      <c r="AQ67" s="94" t="n">
        <f aca="false">AQ42*Ratio!AQ19</f>
        <v>0</v>
      </c>
    </row>
    <row r="68" customFormat="false" ht="12.8" hidden="false" customHeight="false" outlineLevel="0" collapsed="false">
      <c r="A68" s="139" t="s">
        <v>186</v>
      </c>
      <c r="B68" s="65" t="n">
        <f aca="false">B43*Ratio!B14</f>
        <v>0.512911528409108</v>
      </c>
      <c r="C68" s="65" t="n">
        <f aca="false">C43*Ratio!C14</f>
        <v>0.483959015920356</v>
      </c>
      <c r="D68" s="53" t="n">
        <f aca="false">D43*Ratio!D14</f>
        <v>0.469894156805101</v>
      </c>
      <c r="E68" s="94" t="n">
        <f aca="false">E43*Ratio!E14</f>
        <v>0.511449422372899</v>
      </c>
      <c r="F68" s="53" t="n">
        <f aca="false">F43*Ratio!F14</f>
        <v>0.415680518033574</v>
      </c>
      <c r="G68" s="94" t="n">
        <f aca="false">G43*Ratio!G14</f>
        <v>0.355232796891615</v>
      </c>
      <c r="H68" s="53" t="n">
        <f aca="false">H43*Ratio!H14</f>
        <v>0.423602088727913</v>
      </c>
      <c r="I68" s="66" t="n">
        <f aca="false">I43*Ratio!I14</f>
        <v>0.411264163813508</v>
      </c>
      <c r="J68" s="67" t="n">
        <f aca="false">J43*Ratio!J14</f>
        <v>0.371797399590076</v>
      </c>
      <c r="K68" s="53" t="n">
        <f aca="false">K43*Ratio!K14</f>
        <v>0.342661801168872</v>
      </c>
      <c r="L68" s="53" t="n">
        <f aca="false">L43*Ratio!L14</f>
        <v>0.342661801168872</v>
      </c>
      <c r="M68" s="94" t="n">
        <f aca="false">M43*Ratio!M14</f>
        <v>0.342661801168872</v>
      </c>
      <c r="N68" s="94" t="n">
        <f aca="false">N43*Ratio!N14</f>
        <v>0.33876791706468</v>
      </c>
      <c r="O68" s="53" t="n">
        <f aca="false">O43*Ratio!O14</f>
        <v>0.347323961732272</v>
      </c>
      <c r="P68" s="68" t="n">
        <f aca="false">P43*Ratio!P14</f>
        <v>0.74633708089382</v>
      </c>
      <c r="Q68" s="67" t="n">
        <f aca="false">Q43*Ratio!Q14</f>
        <v>0.712066500648695</v>
      </c>
      <c r="R68" s="53" t="n">
        <f aca="false">R43*Ratio!R14</f>
        <v>0.712066500648695</v>
      </c>
      <c r="S68" s="94" t="n">
        <f aca="false">S43*Ratio!S14</f>
        <v>0.710783162614572</v>
      </c>
      <c r="T68" s="53" t="n">
        <f aca="false">T43*Ratio!T14</f>
        <v>0.729451863488217</v>
      </c>
      <c r="U68" s="53" t="n">
        <f aca="false">U43*Ratio!U14</f>
        <v>1.37942027644974</v>
      </c>
      <c r="V68" s="94" t="n">
        <f aca="false">V43*Ratio!V14</f>
        <v>1.40940767376387</v>
      </c>
      <c r="W68" s="94" t="n">
        <f aca="false">W43*Ratio!W14</f>
        <v>1.40940767376387</v>
      </c>
      <c r="X68" s="66" t="n">
        <f aca="false">X43*Ratio!X14</f>
        <v>1.40940767376387</v>
      </c>
      <c r="Y68" s="67" t="n">
        <f aca="false">Y43*Ratio!Y14</f>
        <v>1.45106064898051</v>
      </c>
      <c r="Z68" s="53" t="n">
        <f aca="false">Z43*Ratio!Z14</f>
        <v>1.40618248457905</v>
      </c>
      <c r="AA68" s="94" t="n">
        <f aca="false">AA43*Ratio!AA14</f>
        <v>1.4956396256193</v>
      </c>
      <c r="AB68" s="53" t="n">
        <f aca="false">AB43*Ratio!AB14</f>
        <v>0</v>
      </c>
      <c r="AC68" s="68" t="n">
        <f aca="false">AC43*Ratio!AC14</f>
        <v>0</v>
      </c>
      <c r="AD68" s="67" t="n">
        <f aca="false">AD43*Ratio!AD14</f>
        <v>0</v>
      </c>
      <c r="AE68" s="53" t="n">
        <f aca="false">AE43*Ratio!AE14</f>
        <v>0</v>
      </c>
      <c r="AF68" s="94" t="n">
        <f aca="false">AF43*Ratio!AF14</f>
        <v>0</v>
      </c>
      <c r="AG68" s="53" t="n">
        <f aca="false">AG43*Ratio!AG14</f>
        <v>0</v>
      </c>
      <c r="AH68" s="53" t="n">
        <f aca="false">AH43*Ratio!AH14</f>
        <v>0</v>
      </c>
      <c r="AI68" s="66" t="n">
        <f aca="false">AI43*Ratio!AI14</f>
        <v>0</v>
      </c>
      <c r="AJ68" s="67" t="n">
        <f aca="false">AJ43*Ratio!AJ14</f>
        <v>0</v>
      </c>
      <c r="AK68" s="53" t="n">
        <f aca="false">AK43*Ratio!AK14</f>
        <v>0</v>
      </c>
      <c r="AL68" s="94" t="n">
        <f aca="false">AL43*Ratio!AL14</f>
        <v>0</v>
      </c>
      <c r="AM68" s="53" t="n">
        <f aca="false">AM43*Ratio!AM14</f>
        <v>0</v>
      </c>
      <c r="AN68" s="68" t="n">
        <f aca="false">AN43*Ratio!AN14</f>
        <v>0</v>
      </c>
      <c r="AO68" s="67" t="n">
        <f aca="false">AO43*Ratio!AO14</f>
        <v>0</v>
      </c>
      <c r="AP68" s="53" t="n">
        <f aca="false">AP43*Ratio!AP14</f>
        <v>0</v>
      </c>
      <c r="AQ68" s="94" t="n">
        <f aca="false">AQ43*Ratio!AQ14</f>
        <v>0</v>
      </c>
    </row>
    <row r="69" customFormat="false" ht="12.8" hidden="false" customHeight="false" outlineLevel="0" collapsed="false">
      <c r="A69" s="139" t="s">
        <v>189</v>
      </c>
      <c r="B69" s="65" t="n">
        <f aca="false">B44*Ratio!B17</f>
        <v>0.0572052366002646</v>
      </c>
      <c r="C69" s="65" t="n">
        <f aca="false">C44*Ratio!C17</f>
        <v>0.0590048856114127</v>
      </c>
      <c r="D69" s="53" t="n">
        <f aca="false">D44*Ratio!D17</f>
        <v>0.060086641847622</v>
      </c>
      <c r="E69" s="94" t="n">
        <f aca="false">E44*Ratio!E17</f>
        <v>0.0508097626098276</v>
      </c>
      <c r="F69" s="53" t="n">
        <f aca="false">F44*Ratio!F17</f>
        <v>0.0479414695592728</v>
      </c>
      <c r="G69" s="94" t="n">
        <f aca="false">G44*Ratio!G17</f>
        <v>0.0540133106922654</v>
      </c>
      <c r="H69" s="53" t="n">
        <f aca="false">H44*Ratio!H17</f>
        <v>0.054199563487756</v>
      </c>
      <c r="I69" s="66" t="n">
        <f aca="false">I44*Ratio!I17</f>
        <v>0.0641686389642999</v>
      </c>
      <c r="J69" s="67" t="n">
        <f aca="false">J44*Ratio!J17</f>
        <v>0.0605741913940659</v>
      </c>
      <c r="K69" s="53" t="n">
        <f aca="false">K44*Ratio!K17</f>
        <v>0.0522203837712581</v>
      </c>
      <c r="L69" s="53" t="n">
        <f aca="false">L44*Ratio!L17</f>
        <v>0.0522253968077873</v>
      </c>
      <c r="M69" s="94" t="n">
        <f aca="false">M44*Ratio!M17</f>
        <v>0.0522191305121258</v>
      </c>
      <c r="N69" s="94" t="n">
        <f aca="false">N44*Ratio!N17</f>
        <v>0.0522170417469053</v>
      </c>
      <c r="O69" s="53" t="n">
        <f aca="false">O44*Ratio!O17</f>
        <v>0.0516242383680583</v>
      </c>
      <c r="P69" s="68" t="n">
        <f aca="false">P44*Ratio!P17</f>
        <v>0.0558401489473553</v>
      </c>
      <c r="Q69" s="67" t="n">
        <f aca="false">Q44*Ratio!Q17</f>
        <v>0.0478506921013437</v>
      </c>
      <c r="R69" s="53" t="n">
        <f aca="false">R44*Ratio!R17</f>
        <v>0.0487335461991544</v>
      </c>
      <c r="S69" s="94" t="n">
        <f aca="false">S44*Ratio!S17</f>
        <v>0.0480272629209058</v>
      </c>
      <c r="T69" s="53" t="n">
        <f aca="false">T44*Ratio!T17</f>
        <v>0.0526138868433094</v>
      </c>
      <c r="U69" s="53" t="n">
        <f aca="false">U44*Ratio!U17</f>
        <v>0.0514758629100534</v>
      </c>
      <c r="V69" s="94" t="n">
        <f aca="false">V44*Ratio!V17</f>
        <v>0.0550386377355177</v>
      </c>
      <c r="W69" s="94" t="n">
        <f aca="false">W44*Ratio!W17</f>
        <v>0.0517388076735877</v>
      </c>
      <c r="X69" s="66" t="n">
        <f aca="false">X44*Ratio!X17</f>
        <v>0.0517388076735877</v>
      </c>
      <c r="Y69" s="67" t="n">
        <f aca="false">Y44*Ratio!Y17</f>
        <v>0.0669636521643886</v>
      </c>
      <c r="Z69" s="53" t="n">
        <f aca="false">Z44*Ratio!Z17</f>
        <v>0.0660270975886629</v>
      </c>
      <c r="AA69" s="94" t="n">
        <f aca="false">AA44*Ratio!AA17</f>
        <v>0.0678084243916933</v>
      </c>
      <c r="AB69" s="53" t="n">
        <f aca="false">AB44*Ratio!AB17</f>
        <v>0</v>
      </c>
      <c r="AC69" s="68" t="n">
        <f aca="false">AC44*Ratio!AC17</f>
        <v>0</v>
      </c>
      <c r="AD69" s="67" t="n">
        <f aca="false">AD44*Ratio!AD17</f>
        <v>0</v>
      </c>
      <c r="AE69" s="53" t="n">
        <f aca="false">AE44*Ratio!AE17</f>
        <v>0</v>
      </c>
      <c r="AF69" s="94" t="n">
        <f aca="false">AF44*Ratio!AF17</f>
        <v>0</v>
      </c>
      <c r="AG69" s="53" t="n">
        <f aca="false">AG44*Ratio!AG17</f>
        <v>0</v>
      </c>
      <c r="AH69" s="53" t="n">
        <f aca="false">AH44*Ratio!AH17</f>
        <v>0</v>
      </c>
      <c r="AI69" s="66" t="n">
        <f aca="false">AI44*Ratio!AI17</f>
        <v>0</v>
      </c>
      <c r="AJ69" s="67" t="n">
        <f aca="false">AJ44*Ratio!AJ17</f>
        <v>0</v>
      </c>
      <c r="AK69" s="53" t="n">
        <f aca="false">AK44*Ratio!AK17</f>
        <v>0</v>
      </c>
      <c r="AL69" s="94" t="n">
        <f aca="false">AL44*Ratio!AL17</f>
        <v>0</v>
      </c>
      <c r="AM69" s="53" t="n">
        <f aca="false">AM44*Ratio!AM17</f>
        <v>0</v>
      </c>
      <c r="AN69" s="68" t="n">
        <f aca="false">AN44*Ratio!AN17</f>
        <v>0</v>
      </c>
      <c r="AO69" s="67" t="n">
        <f aca="false">AO44*Ratio!AO17</f>
        <v>0</v>
      </c>
      <c r="AP69" s="53" t="n">
        <f aca="false">AP44*Ratio!AP17</f>
        <v>0</v>
      </c>
      <c r="AQ69" s="94" t="n">
        <f aca="false">AQ44*Ratio!AQ17</f>
        <v>0</v>
      </c>
    </row>
    <row r="71" customFormat="false" ht="12.8" hidden="false" customHeight="false" outlineLevel="0" collapsed="false">
      <c r="A71" s="27" t="s">
        <v>101</v>
      </c>
      <c r="B71" s="234" t="s">
        <v>259</v>
      </c>
      <c r="C71" s="234"/>
      <c r="D71" s="234"/>
      <c r="E71" s="234"/>
      <c r="F71" s="234"/>
      <c r="G71" s="234"/>
      <c r="H71" s="234"/>
      <c r="I71" s="234"/>
    </row>
    <row r="72" customFormat="false" ht="12.8" hidden="false" customHeight="false" outlineLevel="0" collapsed="false">
      <c r="A72" s="139" t="s">
        <v>257</v>
      </c>
      <c r="B72" s="230"/>
    </row>
    <row r="73" customFormat="false" ht="12.8" hidden="false" customHeight="false" outlineLevel="0" collapsed="false">
      <c r="A73" s="139" t="s">
        <v>24</v>
      </c>
      <c r="B73" s="37" t="n">
        <f aca="false">B22*Ratio!B33</f>
        <v>3.74198123421752</v>
      </c>
      <c r="C73" s="37" t="n">
        <f aca="false">C22*Ratio!C33</f>
        <v>3.69741601287626</v>
      </c>
      <c r="D73" s="31" t="n">
        <f aca="false">D22*Ratio!D33</f>
        <v>3.89085848703802</v>
      </c>
      <c r="E73" s="96" t="n">
        <f aca="false">E22*Ratio!E33</f>
        <v>3.78981895015598</v>
      </c>
      <c r="F73" s="31" t="n">
        <f aca="false">F22*Ratio!F33</f>
        <v>3.39881993599031</v>
      </c>
      <c r="G73" s="96" t="n">
        <f aca="false">G22*Ratio!G33</f>
        <v>2.46585740767668</v>
      </c>
      <c r="H73" s="31" t="n">
        <f aca="false">H22*Ratio!H33</f>
        <v>2.46054393806116</v>
      </c>
      <c r="I73" s="74" t="n">
        <f aca="false">I22*Ratio!I33</f>
        <v>3.7584079198126</v>
      </c>
      <c r="J73" s="75" t="n">
        <f aca="false">J22*Ratio!J33</f>
        <v>3.03132728018096</v>
      </c>
      <c r="K73" s="31" t="n">
        <f aca="false">K22*Ratio!K33</f>
        <v>2.5483937420215</v>
      </c>
      <c r="L73" s="31" t="n">
        <f aca="false">L22*Ratio!L33</f>
        <v>2.41984097811944</v>
      </c>
      <c r="M73" s="96" t="n">
        <f aca="false">M22*Ratio!M33</f>
        <v>2.40202746808009</v>
      </c>
      <c r="N73" s="96" t="n">
        <f aca="false">N22*Ratio!N33</f>
        <v>2.36743053981639</v>
      </c>
      <c r="O73" s="31" t="n">
        <f aca="false">O22*Ratio!O33</f>
        <v>2.17658345020827</v>
      </c>
      <c r="P73" s="76" t="n">
        <f aca="false">P22*Ratio!P33</f>
        <v>2.40944691441271</v>
      </c>
      <c r="Q73" s="75" t="n">
        <f aca="false">Q22*Ratio!Q33</f>
        <v>2.10484137011794</v>
      </c>
      <c r="R73" s="31" t="n">
        <f aca="false">R22*Ratio!R33</f>
        <v>1.95696988194564</v>
      </c>
      <c r="S73" s="96" t="n">
        <f aca="false">S22*Ratio!S33</f>
        <v>1.97549639686014</v>
      </c>
      <c r="T73" s="31" t="n">
        <f aca="false">T22*Ratio!T33</f>
        <v>2.0634734636904</v>
      </c>
      <c r="U73" s="31" t="n">
        <f aca="false">U22*Ratio!U33</f>
        <v>2.2882665300563</v>
      </c>
      <c r="V73" s="96" t="n">
        <f aca="false">V22*Ratio!V33</f>
        <v>2.63321390435405</v>
      </c>
      <c r="W73" s="96" t="n">
        <f aca="false">W22*Ratio!W33</f>
        <v>2.33534123260255</v>
      </c>
      <c r="X73" s="74" t="n">
        <f aca="false">X22*Ratio!X33</f>
        <v>2.65380077590781</v>
      </c>
      <c r="Y73" s="75" t="n">
        <f aca="false">Y22*Ratio!Y33</f>
        <v>2.42895376316517</v>
      </c>
      <c r="Z73" s="31" t="n">
        <f aca="false">Z22*Ratio!Z33</f>
        <v>1.99126085423405</v>
      </c>
      <c r="AA73" s="96" t="n">
        <f aca="false">AA22*Ratio!AA33</f>
        <v>2.0712522388661</v>
      </c>
      <c r="AB73" s="31" t="n">
        <f aca="false">AB22*Ratio!AB33</f>
        <v>1.58547960420338</v>
      </c>
      <c r="AC73" s="76" t="n">
        <f aca="false">AC22*Ratio!AC33</f>
        <v>1.40553425323631</v>
      </c>
      <c r="AD73" s="75" t="n">
        <f aca="false">AD22*Ratio!AD33</f>
        <v>1.30054140294705</v>
      </c>
      <c r="AE73" s="31" t="n">
        <f aca="false">AE22*Ratio!AE33</f>
        <v>1.19779633825056</v>
      </c>
      <c r="AF73" s="96" t="n">
        <f aca="false">AF22*Ratio!AF33</f>
        <v>1.24144137770168</v>
      </c>
      <c r="AG73" s="31" t="n">
        <f aca="false">AG22*Ratio!AG33</f>
        <v>0.904575343008626</v>
      </c>
      <c r="AH73" s="31" t="n">
        <f aca="false">AH22*Ratio!AH33</f>
        <v>1.12613770741666</v>
      </c>
      <c r="AI73" s="74" t="n">
        <f aca="false">AI22*Ratio!AI33</f>
        <v>1.46582620179612</v>
      </c>
      <c r="AJ73" s="75" t="n">
        <f aca="false">AJ22*Ratio!AJ33</f>
        <v>1.09653266335116</v>
      </c>
      <c r="AK73" s="31" t="n">
        <f aca="false">AK22*Ratio!AK33</f>
        <v>0.834879284386479</v>
      </c>
      <c r="AL73" s="96" t="n">
        <f aca="false">AL22*Ratio!AL33</f>
        <v>0.813859052380437</v>
      </c>
      <c r="AM73" s="31" t="n">
        <f aca="false">AM22*Ratio!AM33</f>
        <v>0.822296491593123</v>
      </c>
      <c r="AN73" s="76" t="n">
        <f aca="false">AN22*Ratio!AN33</f>
        <v>1.96851162445019</v>
      </c>
      <c r="AO73" s="75" t="n">
        <f aca="false">AO22*Ratio!AO33</f>
        <v>1.62999171874121</v>
      </c>
      <c r="AP73" s="31" t="n">
        <f aca="false">AP22*Ratio!AP33</f>
        <v>1.76312028457891</v>
      </c>
      <c r="AQ73" s="96" t="n">
        <f aca="false">AQ22*Ratio!AQ33</f>
        <v>1.73159233876434</v>
      </c>
    </row>
    <row r="74" customFormat="false" ht="12.8" hidden="false" customHeight="false" outlineLevel="0" collapsed="false">
      <c r="A74" s="139" t="s">
        <v>180</v>
      </c>
      <c r="B74" s="37" t="n">
        <f aca="false">B23*Ratio!B34</f>
        <v>3.11345685556083</v>
      </c>
      <c r="C74" s="37" t="n">
        <f aca="false">C23*Ratio!C34</f>
        <v>3.25959660568248</v>
      </c>
      <c r="D74" s="31" t="n">
        <f aca="false">D23*Ratio!D34</f>
        <v>3.29193614165911</v>
      </c>
      <c r="E74" s="96" t="n">
        <f aca="false">E23*Ratio!E34</f>
        <v>3.46619027927588</v>
      </c>
      <c r="F74" s="31" t="n">
        <f aca="false">F23*Ratio!F34</f>
        <v>3.6543567484678</v>
      </c>
      <c r="G74" s="96" t="n">
        <f aca="false">G23*Ratio!G34</f>
        <v>5.10331351252407</v>
      </c>
      <c r="H74" s="31" t="n">
        <f aca="false">H23*Ratio!H34</f>
        <v>5.12500905864273</v>
      </c>
      <c r="I74" s="74" t="n">
        <f aca="false">I23*Ratio!I34</f>
        <v>5.42862109278028</v>
      </c>
      <c r="J74" s="75" t="n">
        <f aca="false">J23*Ratio!J34</f>
        <v>5.04331989873994</v>
      </c>
      <c r="K74" s="31" t="n">
        <f aca="false">K23*Ratio!K34</f>
        <v>5.83811569096986</v>
      </c>
      <c r="L74" s="31" t="n">
        <f aca="false">L23*Ratio!L34</f>
        <v>5.67308268844199</v>
      </c>
      <c r="M74" s="96" t="n">
        <f aca="false">M23*Ratio!M34</f>
        <v>5.67730642868975</v>
      </c>
      <c r="N74" s="96" t="n">
        <f aca="false">N23*Ratio!N34</f>
        <v>5.68379254889394</v>
      </c>
      <c r="O74" s="31" t="n">
        <f aca="false">O23*Ratio!O34</f>
        <v>5.87240618365233</v>
      </c>
      <c r="P74" s="76" t="n">
        <f aca="false">P23*Ratio!P34</f>
        <v>5.14737532848343</v>
      </c>
      <c r="Q74" s="75" t="n">
        <f aca="false">Q23*Ratio!Q34</f>
        <v>4.88212873449703</v>
      </c>
      <c r="R74" s="31" t="n">
        <f aca="false">R23*Ratio!R34</f>
        <v>4.6309132361903</v>
      </c>
      <c r="S74" s="96" t="n">
        <f aca="false">S23*Ratio!S34</f>
        <v>4.90038291931085</v>
      </c>
      <c r="T74" s="31" t="n">
        <f aca="false">T23*Ratio!T34</f>
        <v>4.98708625510165</v>
      </c>
      <c r="U74" s="31" t="n">
        <f aca="false">U23*Ratio!U34</f>
        <v>4.4157419062784</v>
      </c>
      <c r="V74" s="96" t="n">
        <f aca="false">V23*Ratio!V34</f>
        <v>4.52740947736564</v>
      </c>
      <c r="W74" s="96" t="n">
        <f aca="false">W23*Ratio!W34</f>
        <v>4.50899099833744</v>
      </c>
      <c r="X74" s="74" t="n">
        <f aca="false">X23*Ratio!X34</f>
        <v>4.51017110170209</v>
      </c>
      <c r="Y74" s="75" t="n">
        <f aca="false">Y23*Ratio!Y34</f>
        <v>4.14007226766296</v>
      </c>
      <c r="Z74" s="31" t="n">
        <f aca="false">Z23*Ratio!Z34</f>
        <v>4.21139158743415</v>
      </c>
      <c r="AA74" s="96" t="n">
        <f aca="false">AA23*Ratio!AA34</f>
        <v>4.51544016126015</v>
      </c>
      <c r="AB74" s="31" t="n">
        <f aca="false">AB23*Ratio!AB34</f>
        <v>4.96400372861929</v>
      </c>
      <c r="AC74" s="76" t="n">
        <f aca="false">AC23*Ratio!AC34</f>
        <v>4.81788493746866</v>
      </c>
      <c r="AD74" s="75" t="n">
        <f aca="false">AD23*Ratio!AD34</f>
        <v>4.64948607650604</v>
      </c>
      <c r="AE74" s="31" t="n">
        <f aca="false">AE23*Ratio!AE34</f>
        <v>4.89924834188019</v>
      </c>
      <c r="AF74" s="96" t="n">
        <f aca="false">AF23*Ratio!AF34</f>
        <v>4.88329846349611</v>
      </c>
      <c r="AG74" s="31" t="n">
        <f aca="false">AG23*Ratio!AG34</f>
        <v>5.28939392422165</v>
      </c>
      <c r="AH74" s="31" t="n">
        <f aca="false">AH23*Ratio!AH34</f>
        <v>4.48346623445924</v>
      </c>
      <c r="AI74" s="74" t="n">
        <f aca="false">AI23*Ratio!AI34</f>
        <v>4.79932628107087</v>
      </c>
      <c r="AJ74" s="75" t="n">
        <f aca="false">AJ23*Ratio!AJ34</f>
        <v>5.08425781175475</v>
      </c>
      <c r="AK74" s="31" t="n">
        <f aca="false">AK23*Ratio!AK34</f>
        <v>4.99748835054878</v>
      </c>
      <c r="AL74" s="96" t="n">
        <f aca="false">AL23*Ratio!AL34</f>
        <v>4.85193043742599</v>
      </c>
      <c r="AM74" s="31" t="n">
        <f aca="false">AM23*Ratio!AM34</f>
        <v>5.03155632315968</v>
      </c>
      <c r="AN74" s="76" t="n">
        <f aca="false">AN23*Ratio!AN34</f>
        <v>4.98974625238049</v>
      </c>
      <c r="AO74" s="75" t="n">
        <f aca="false">AO23*Ratio!AO34</f>
        <v>5.09387983541243</v>
      </c>
      <c r="AP74" s="31" t="n">
        <f aca="false">AP23*Ratio!AP34</f>
        <v>5.01194222952496</v>
      </c>
      <c r="AQ74" s="96" t="n">
        <f aca="false">AQ23*Ratio!AQ34</f>
        <v>5.05241714906759</v>
      </c>
    </row>
    <row r="75" customFormat="false" ht="12.8" hidden="false" customHeight="false" outlineLevel="0" collapsed="false">
      <c r="A75" s="139" t="s">
        <v>181</v>
      </c>
      <c r="B75" s="37" t="n">
        <f aca="false">B24*Ratio!B35</f>
        <v>1.71466888370866</v>
      </c>
      <c r="C75" s="37" t="n">
        <f aca="false">C24*Ratio!C35</f>
        <v>1.67509963207143</v>
      </c>
      <c r="D75" s="31" t="n">
        <f aca="false">D24*Ratio!D35</f>
        <v>1.71012895781863</v>
      </c>
      <c r="E75" s="96" t="n">
        <f aca="false">E24*Ratio!E35</f>
        <v>1.65158493676827</v>
      </c>
      <c r="F75" s="31" t="n">
        <f aca="false">F24*Ratio!F35</f>
        <v>1.51727785574169</v>
      </c>
      <c r="G75" s="96" t="n">
        <f aca="false">G24*Ratio!G35</f>
        <v>2.01725716582217</v>
      </c>
      <c r="H75" s="31" t="n">
        <f aca="false">H24*Ratio!H35</f>
        <v>2.14808937431422</v>
      </c>
      <c r="I75" s="74" t="n">
        <f aca="false">I24*Ratio!I35</f>
        <v>1.90416549665216</v>
      </c>
      <c r="J75" s="75" t="n">
        <f aca="false">J24*Ratio!J35</f>
        <v>1.67449376010193</v>
      </c>
      <c r="K75" s="31" t="n">
        <f aca="false">K24*Ratio!K35</f>
        <v>1.6033744215555</v>
      </c>
      <c r="L75" s="31" t="n">
        <f aca="false">L24*Ratio!L35</f>
        <v>1.60424831949454</v>
      </c>
      <c r="M75" s="96" t="n">
        <f aca="false">M24*Ratio!M35</f>
        <v>1.60394079443254</v>
      </c>
      <c r="N75" s="96" t="n">
        <f aca="false">N24*Ratio!N35</f>
        <v>1.59305654712616</v>
      </c>
      <c r="O75" s="31" t="n">
        <f aca="false">O24*Ratio!O35</f>
        <v>1.54546443878422</v>
      </c>
      <c r="P75" s="76" t="n">
        <f aca="false">P24*Ratio!P35</f>
        <v>1.70805536623658</v>
      </c>
      <c r="Q75" s="75" t="n">
        <f aca="false">Q24*Ratio!Q35</f>
        <v>1.53894545696897</v>
      </c>
      <c r="R75" s="31" t="n">
        <f aca="false">R24*Ratio!R35</f>
        <v>1.42480343874466</v>
      </c>
      <c r="S75" s="96" t="n">
        <f aca="false">S24*Ratio!S35</f>
        <v>1.57412616521858</v>
      </c>
      <c r="T75" s="31" t="n">
        <f aca="false">T24*Ratio!T35</f>
        <v>1.54837747435773</v>
      </c>
      <c r="U75" s="31" t="n">
        <f aca="false">U24*Ratio!U35</f>
        <v>2.33303284088362</v>
      </c>
      <c r="V75" s="96" t="n">
        <f aca="false">V24*Ratio!V35</f>
        <v>2.30984045830797</v>
      </c>
      <c r="W75" s="96" t="n">
        <f aca="false">W24*Ratio!W35</f>
        <v>2.1561768083866</v>
      </c>
      <c r="X75" s="74" t="n">
        <f aca="false">X24*Ratio!X35</f>
        <v>2.36941430131544</v>
      </c>
      <c r="Y75" s="75" t="n">
        <f aca="false">Y24*Ratio!Y35</f>
        <v>2.52604978493267</v>
      </c>
      <c r="Z75" s="31" t="n">
        <f aca="false">Z24*Ratio!Z35</f>
        <v>2.24561736609817</v>
      </c>
      <c r="AA75" s="96" t="n">
        <f aca="false">AA24*Ratio!AA35</f>
        <v>2.34898485780879</v>
      </c>
      <c r="AB75" s="31" t="n">
        <f aca="false">AB24*Ratio!AB35</f>
        <v>1.86255731153405</v>
      </c>
      <c r="AC75" s="76" t="n">
        <f aca="false">AC24*Ratio!AC35</f>
        <v>1.43360089980172</v>
      </c>
      <c r="AD75" s="75" t="n">
        <f aca="false">AD24*Ratio!AD35</f>
        <v>1.36974039728134</v>
      </c>
      <c r="AE75" s="31" t="n">
        <f aca="false">AE24*Ratio!AE35</f>
        <v>1.27204621788327</v>
      </c>
      <c r="AF75" s="96" t="n">
        <f aca="false">AF24*Ratio!AF35</f>
        <v>1.27742155357484</v>
      </c>
      <c r="AG75" s="31" t="n">
        <f aca="false">AG24*Ratio!AG35</f>
        <v>1.18174593642582</v>
      </c>
      <c r="AH75" s="31" t="n">
        <f aca="false">AH24*Ratio!AH35</f>
        <v>0.837047081720733</v>
      </c>
      <c r="AI75" s="74" t="n">
        <f aca="false">AI24*Ratio!AI35</f>
        <v>1.13989224345747</v>
      </c>
      <c r="AJ75" s="75" t="n">
        <f aca="false">AJ24*Ratio!AJ35</f>
        <v>1.01836728411797</v>
      </c>
      <c r="AK75" s="31" t="n">
        <f aca="false">AK24*Ratio!AK35</f>
        <v>0.989682130170938</v>
      </c>
      <c r="AL75" s="96" t="n">
        <f aca="false">AL24*Ratio!AL35</f>
        <v>0.88328007801276</v>
      </c>
      <c r="AM75" s="31" t="n">
        <f aca="false">AM24*Ratio!AM35</f>
        <v>0.827385555299326</v>
      </c>
      <c r="AN75" s="76" t="n">
        <f aca="false">AN24*Ratio!AN35</f>
        <v>0.750935791301771</v>
      </c>
      <c r="AO75" s="75" t="n">
        <f aca="false">AO24*Ratio!AO35</f>
        <v>0.691813499450933</v>
      </c>
      <c r="AP75" s="31" t="n">
        <f aca="false">AP24*Ratio!AP35</f>
        <v>0.712350756188442</v>
      </c>
      <c r="AQ75" s="96" t="n">
        <f aca="false">AQ24*Ratio!AQ35</f>
        <v>0.687344242241597</v>
      </c>
    </row>
    <row r="76" customFormat="false" ht="12.8" hidden="false" customHeight="false" outlineLevel="0" collapsed="false">
      <c r="A76" s="139" t="s">
        <v>30</v>
      </c>
      <c r="B76" s="37" t="n">
        <f aca="false">B25*Ratio!B36</f>
        <v>2.71764104203545</v>
      </c>
      <c r="C76" s="37" t="n">
        <f aca="false">C25*Ratio!C36</f>
        <v>2.52039369786448</v>
      </c>
      <c r="D76" s="31" t="n">
        <f aca="false">D25*Ratio!D36</f>
        <v>2.50906090954304</v>
      </c>
      <c r="E76" s="96" t="n">
        <f aca="false">E25*Ratio!E36</f>
        <v>2.26241441203566</v>
      </c>
      <c r="F76" s="31" t="n">
        <f aca="false">F25*Ratio!F36</f>
        <v>2.19530924398148</v>
      </c>
      <c r="G76" s="96" t="n">
        <f aca="false">G25*Ratio!G36</f>
        <v>2.30248500900299</v>
      </c>
      <c r="H76" s="31" t="n">
        <f aca="false">H25*Ratio!H36</f>
        <v>2.77881551296999</v>
      </c>
      <c r="I76" s="74" t="n">
        <f aca="false">I25*Ratio!I36</f>
        <v>2.72433987287929</v>
      </c>
      <c r="J76" s="75" t="n">
        <f aca="false">J25*Ratio!J36</f>
        <v>2.53992570750108</v>
      </c>
      <c r="K76" s="31" t="n">
        <f aca="false">K25*Ratio!K36</f>
        <v>2.54062854020324</v>
      </c>
      <c r="L76" s="31" t="n">
        <f aca="false">L25*Ratio!L36</f>
        <v>2.50762321080005</v>
      </c>
      <c r="M76" s="96" t="n">
        <f aca="false">M25*Ratio!M36</f>
        <v>2.50326087011902</v>
      </c>
      <c r="N76" s="96" t="n">
        <f aca="false">N25*Ratio!N36</f>
        <v>2.49041258064582</v>
      </c>
      <c r="O76" s="31" t="n">
        <f aca="false">O25*Ratio!O36</f>
        <v>2.48656248070253</v>
      </c>
      <c r="P76" s="76" t="n">
        <f aca="false">P25*Ratio!P36</f>
        <v>2.5932635384103</v>
      </c>
      <c r="Q76" s="75" t="n">
        <f aca="false">Q25*Ratio!Q36</f>
        <v>2.68068138675512</v>
      </c>
      <c r="R76" s="31" t="n">
        <f aca="false">R25*Ratio!R36</f>
        <v>2.5978613568953</v>
      </c>
      <c r="S76" s="96" t="n">
        <f aca="false">S25*Ratio!S36</f>
        <v>2.71179545845019</v>
      </c>
      <c r="T76" s="31" t="n">
        <f aca="false">T25*Ratio!T36</f>
        <v>2.62257739229321</v>
      </c>
      <c r="U76" s="31" t="n">
        <f aca="false">U25*Ratio!U36</f>
        <v>3.70348155419889</v>
      </c>
      <c r="V76" s="96" t="n">
        <f aca="false">V25*Ratio!V36</f>
        <v>3.47676258349376</v>
      </c>
      <c r="W76" s="96" t="n">
        <f aca="false">W25*Ratio!W36</f>
        <v>3.30043926208861</v>
      </c>
      <c r="X76" s="74" t="n">
        <f aca="false">X25*Ratio!X36</f>
        <v>3.72164194225494</v>
      </c>
      <c r="Y76" s="75" t="n">
        <f aca="false">Y25*Ratio!Y36</f>
        <v>3.54599669800642</v>
      </c>
      <c r="Z76" s="31" t="n">
        <f aca="false">Z25*Ratio!Z36</f>
        <v>3.37648003084186</v>
      </c>
      <c r="AA76" s="96" t="n">
        <f aca="false">AA25*Ratio!AA36</f>
        <v>3.49441468460896</v>
      </c>
      <c r="AB76" s="31" t="n">
        <f aca="false">AB25*Ratio!AB36</f>
        <v>3.01942653786027</v>
      </c>
      <c r="AC76" s="76" t="n">
        <f aca="false">AC25*Ratio!AC36</f>
        <v>3.43230620794565</v>
      </c>
      <c r="AD76" s="75" t="n">
        <f aca="false">AD25*Ratio!AD36</f>
        <v>3.17334591804393</v>
      </c>
      <c r="AE76" s="31" t="n">
        <f aca="false">AE25*Ratio!AE36</f>
        <v>3.06894784596507</v>
      </c>
      <c r="AF76" s="96" t="n">
        <f aca="false">AF25*Ratio!AF36</f>
        <v>3.2375036758255</v>
      </c>
      <c r="AG76" s="31" t="n">
        <f aca="false">AG25*Ratio!AG36</f>
        <v>2.88887315607534</v>
      </c>
      <c r="AH76" s="31" t="n">
        <f aca="false">AH25*Ratio!AH36</f>
        <v>2.6858960132964</v>
      </c>
      <c r="AI76" s="74" t="n">
        <f aca="false">AI25*Ratio!AI36</f>
        <v>3.84500965729658</v>
      </c>
      <c r="AJ76" s="75" t="n">
        <f aca="false">AJ25*Ratio!AJ36</f>
        <v>3.57509520684113</v>
      </c>
      <c r="AK76" s="31" t="n">
        <f aca="false">AK25*Ratio!AK36</f>
        <v>3.54269731477759</v>
      </c>
      <c r="AL76" s="96" t="n">
        <f aca="false">AL25*Ratio!AL36</f>
        <v>3.54269731477759</v>
      </c>
      <c r="AM76" s="31" t="n">
        <f aca="false">AM25*Ratio!AM36</f>
        <v>2.7440844746325</v>
      </c>
      <c r="AN76" s="76" t="n">
        <f aca="false">AN25*Ratio!AN36</f>
        <v>3.10466573691851</v>
      </c>
      <c r="AO76" s="75" t="n">
        <f aca="false">AO25*Ratio!AO36</f>
        <v>3.16054448263481</v>
      </c>
      <c r="AP76" s="31" t="n">
        <f aca="false">AP25*Ratio!AP36</f>
        <v>3.09547484384994</v>
      </c>
      <c r="AQ76" s="96" t="n">
        <f aca="false">AQ25*Ratio!AQ36</f>
        <v>2.98985427030728</v>
      </c>
    </row>
    <row r="77" customFormat="false" ht="12.8" hidden="false" customHeight="false" outlineLevel="0" collapsed="false">
      <c r="A77" s="139" t="s">
        <v>182</v>
      </c>
      <c r="B77" s="37" t="n">
        <f aca="false">B26*Ratio!B37</f>
        <v>0.916368896266219</v>
      </c>
      <c r="C77" s="37" t="n">
        <f aca="false">C26*Ratio!C37</f>
        <v>0.879958771678498</v>
      </c>
      <c r="D77" s="31" t="n">
        <f aca="false">D26*Ratio!D37</f>
        <v>0.864686206392767</v>
      </c>
      <c r="E77" s="96" t="n">
        <f aca="false">E26*Ratio!E37</f>
        <v>0.786746942456539</v>
      </c>
      <c r="F77" s="31" t="n">
        <f aca="false">F26*Ratio!F37</f>
        <v>0.82049571028871</v>
      </c>
      <c r="G77" s="96" t="n">
        <f aca="false">G26*Ratio!G37</f>
        <v>1.08487028133351</v>
      </c>
      <c r="H77" s="31" t="n">
        <f aca="false">H26*Ratio!H37</f>
        <v>1.03481117380873</v>
      </c>
      <c r="I77" s="74" t="n">
        <f aca="false">I26*Ratio!I37</f>
        <v>0.997414076936849</v>
      </c>
      <c r="J77" s="75" t="n">
        <f aca="false">J26*Ratio!J37</f>
        <v>1.03317602692232</v>
      </c>
      <c r="K77" s="31" t="n">
        <f aca="false">K26*Ratio!K37</f>
        <v>1.00808955632636</v>
      </c>
      <c r="L77" s="31" t="n">
        <f aca="false">L26*Ratio!L37</f>
        <v>1.00142986789495</v>
      </c>
      <c r="M77" s="96" t="n">
        <f aca="false">M26*Ratio!M37</f>
        <v>1.00387562968907</v>
      </c>
      <c r="N77" s="96" t="n">
        <f aca="false">N26*Ratio!N37</f>
        <v>0.999841464601627</v>
      </c>
      <c r="O77" s="31" t="n">
        <f aca="false">O26*Ratio!O37</f>
        <v>0.98869091951658</v>
      </c>
      <c r="P77" s="76" t="n">
        <f aca="false">P26*Ratio!P37</f>
        <v>1.0208839710471</v>
      </c>
      <c r="Q77" s="75" t="n">
        <f aca="false">Q26*Ratio!Q37</f>
        <v>1.07050386315704</v>
      </c>
      <c r="R77" s="31" t="n">
        <f aca="false">R26*Ratio!R37</f>
        <v>1.088544293008</v>
      </c>
      <c r="S77" s="96" t="n">
        <f aca="false">S26*Ratio!S37</f>
        <v>1.0717744674472</v>
      </c>
      <c r="T77" s="31" t="n">
        <f aca="false">T26*Ratio!T37</f>
        <v>1.29453126855301</v>
      </c>
      <c r="U77" s="31" t="n">
        <f aca="false">U26*Ratio!U37</f>
        <v>1.95932328129808</v>
      </c>
      <c r="V77" s="96" t="n">
        <f aca="false">V26*Ratio!V37</f>
        <v>1.83744391114092</v>
      </c>
      <c r="W77" s="96" t="n">
        <f aca="false">W26*Ratio!W37</f>
        <v>1.85665154754852</v>
      </c>
      <c r="X77" s="74" t="n">
        <f aca="false">X26*Ratio!X37</f>
        <v>1.89453985954151</v>
      </c>
      <c r="Y77" s="75" t="n">
        <f aca="false">Y26*Ratio!Y37</f>
        <v>1.56802032219918</v>
      </c>
      <c r="Z77" s="31" t="n">
        <f aca="false">Z26*Ratio!Z37</f>
        <v>1.60846600736904</v>
      </c>
      <c r="AA77" s="96" t="n">
        <f aca="false">AA26*Ratio!AA37</f>
        <v>1.51692825703046</v>
      </c>
      <c r="AB77" s="31" t="n">
        <f aca="false">AB26*Ratio!AB37</f>
        <v>1.31217060426879</v>
      </c>
      <c r="AC77" s="76" t="n">
        <f aca="false">AC26*Ratio!AC37</f>
        <v>1.17439629029002</v>
      </c>
      <c r="AD77" s="75" t="n">
        <f aca="false">AD26*Ratio!AD37</f>
        <v>1.05363943746092</v>
      </c>
      <c r="AE77" s="31" t="n">
        <f aca="false">AE26*Ratio!AE37</f>
        <v>1.03519748609041</v>
      </c>
      <c r="AF77" s="96" t="n">
        <f aca="false">AF26*Ratio!AF37</f>
        <v>1.0635478318794</v>
      </c>
      <c r="AG77" s="31" t="n">
        <f aca="false">AG26*Ratio!AG37</f>
        <v>0.865667951987173</v>
      </c>
      <c r="AH77" s="31" t="n">
        <f aca="false">AH26*Ratio!AH37</f>
        <v>0.792486837924268</v>
      </c>
      <c r="AI77" s="74" t="n">
        <f aca="false">AI26*Ratio!AI37</f>
        <v>0.883037423404981</v>
      </c>
      <c r="AJ77" s="75" t="n">
        <f aca="false">AJ26*Ratio!AJ37</f>
        <v>0.932684286262727</v>
      </c>
      <c r="AK77" s="31" t="n">
        <f aca="false">AK26*Ratio!AK37</f>
        <v>0.90173569021975</v>
      </c>
      <c r="AL77" s="96" t="n">
        <f aca="false">AL26*Ratio!AL37</f>
        <v>0.901696571062654</v>
      </c>
      <c r="AM77" s="31" t="n">
        <f aca="false">AM26*Ratio!AM37</f>
        <v>0.863005580056653</v>
      </c>
      <c r="AN77" s="76" t="n">
        <f aca="false">AN26*Ratio!AN37</f>
        <v>1.3385067851822</v>
      </c>
      <c r="AO77" s="75" t="n">
        <f aca="false">AO26*Ratio!AO37</f>
        <v>1.38228879505818</v>
      </c>
      <c r="AP77" s="31" t="n">
        <f aca="false">AP26*Ratio!AP37</f>
        <v>1.37547551158905</v>
      </c>
      <c r="AQ77" s="96" t="n">
        <f aca="false">AQ26*Ratio!AQ37</f>
        <v>1.37884087567063</v>
      </c>
    </row>
    <row r="78" customFormat="false" ht="12.8" hidden="false" customHeight="false" outlineLevel="0" collapsed="false">
      <c r="A78" s="139" t="s">
        <v>27</v>
      </c>
      <c r="B78" s="37" t="n">
        <f aca="false">B27*Ratio!B39</f>
        <v>0.231922922547362</v>
      </c>
      <c r="C78" s="37" t="n">
        <f aca="false">C27*Ratio!C39</f>
        <v>0.233316915990847</v>
      </c>
      <c r="D78" s="31" t="n">
        <f aca="false">D27*Ratio!D39</f>
        <v>0.229604607974427</v>
      </c>
      <c r="E78" s="96" t="n">
        <f aca="false">E27*Ratio!E39</f>
        <v>0.207362445418752</v>
      </c>
      <c r="F78" s="31" t="n">
        <f aca="false">F27*Ratio!F39</f>
        <v>0.193037892290927</v>
      </c>
      <c r="G78" s="96" t="n">
        <f aca="false">G27*Ratio!G39</f>
        <v>0.136235489603204</v>
      </c>
      <c r="H78" s="31" t="n">
        <f aca="false">H27*Ratio!H39</f>
        <v>0.131075131858093</v>
      </c>
      <c r="I78" s="74" t="n">
        <f aca="false">I27*Ratio!I39</f>
        <v>0.127342725711718</v>
      </c>
      <c r="J78" s="75" t="n">
        <f aca="false">J27*Ratio!J39</f>
        <v>0.141799081034767</v>
      </c>
      <c r="K78" s="31" t="n">
        <f aca="false">K27*Ratio!K39</f>
        <v>0.187985106858751</v>
      </c>
      <c r="L78" s="31" t="n">
        <f aca="false">L27*Ratio!L39</f>
        <v>0.18106540557546</v>
      </c>
      <c r="M78" s="96" t="n">
        <f aca="false">M27*Ratio!M39</f>
        <v>0.182161770582357</v>
      </c>
      <c r="N78" s="96" t="n">
        <f aca="false">N27*Ratio!N39</f>
        <v>0.167186464231705</v>
      </c>
      <c r="O78" s="31" t="n">
        <f aca="false">O27*Ratio!O39</f>
        <v>0.101964773618107</v>
      </c>
      <c r="P78" s="76" t="n">
        <f aca="false">P27*Ratio!P39</f>
        <v>0.0815856843455649</v>
      </c>
      <c r="Q78" s="75" t="n">
        <f aca="false">Q27*Ratio!Q39</f>
        <v>0.0910593282890994</v>
      </c>
      <c r="R78" s="31" t="n">
        <f aca="false">R27*Ratio!R39</f>
        <v>0.086814980796611</v>
      </c>
      <c r="S78" s="96" t="n">
        <f aca="false">S27*Ratio!S39</f>
        <v>0.0964196990655089</v>
      </c>
      <c r="T78" s="31" t="n">
        <f aca="false">T27*Ratio!T39</f>
        <v>0.0880707363762955</v>
      </c>
      <c r="U78" s="31" t="n">
        <f aca="false">U27*Ratio!U39</f>
        <v>0.416110919727667</v>
      </c>
      <c r="V78" s="96" t="n">
        <f aca="false">V27*Ratio!V39</f>
        <v>0.404129254570887</v>
      </c>
      <c r="W78" s="96" t="n">
        <f aca="false">W27*Ratio!W39</f>
        <v>0.419401668476515</v>
      </c>
      <c r="X78" s="74" t="n">
        <f aca="false">X27*Ratio!X39</f>
        <v>0.429015948798421</v>
      </c>
      <c r="Y78" s="75" t="n">
        <f aca="false">Y27*Ratio!Y39</f>
        <v>0.446805478285887</v>
      </c>
      <c r="Z78" s="31" t="n">
        <f aca="false">Z27*Ratio!Z39</f>
        <v>0.46455700043804</v>
      </c>
      <c r="AA78" s="96" t="n">
        <f aca="false">AA27*Ratio!AA39</f>
        <v>0.475044651380668</v>
      </c>
      <c r="AB78" s="31" t="n">
        <f aca="false">AB27*Ratio!AB39</f>
        <v>0.477112548369946</v>
      </c>
      <c r="AC78" s="76" t="n">
        <f aca="false">AC27*Ratio!AC39</f>
        <v>0.194220679124777</v>
      </c>
      <c r="AD78" s="75" t="n">
        <f aca="false">AD27*Ratio!AD39</f>
        <v>0.206855701231457</v>
      </c>
      <c r="AE78" s="31" t="n">
        <f aca="false">AE27*Ratio!AE39</f>
        <v>0.213411384640757</v>
      </c>
      <c r="AF78" s="96" t="n">
        <f aca="false">AF27*Ratio!AF39</f>
        <v>0.178014343036883</v>
      </c>
      <c r="AG78" s="31" t="n">
        <f aca="false">AG27*Ratio!AG39</f>
        <v>0.195239062681567</v>
      </c>
      <c r="AH78" s="31" t="n">
        <f aca="false">AH27*Ratio!AH39</f>
        <v>0.180849035938112</v>
      </c>
      <c r="AI78" s="74" t="n">
        <f aca="false">AI27*Ratio!AI39</f>
        <v>0.313969739306521</v>
      </c>
      <c r="AJ78" s="75" t="n">
        <f aca="false">AJ27*Ratio!AJ39</f>
        <v>0.357029846101291</v>
      </c>
      <c r="AK78" s="31" t="n">
        <f aca="false">AK27*Ratio!AK39</f>
        <v>0.351868048517147</v>
      </c>
      <c r="AL78" s="96" t="n">
        <f aca="false">AL27*Ratio!AL39</f>
        <v>0.331523019732457</v>
      </c>
      <c r="AM78" s="31" t="n">
        <f aca="false">AM27*Ratio!AM39</f>
        <v>0.305488448963283</v>
      </c>
      <c r="AN78" s="76" t="n">
        <f aca="false">AN27*Ratio!AN39</f>
        <v>0.661815010801002</v>
      </c>
      <c r="AO78" s="75" t="n">
        <f aca="false">AO27*Ratio!AO39</f>
        <v>0.600662401529388</v>
      </c>
      <c r="AP78" s="31" t="n">
        <f aca="false">AP27*Ratio!AP39</f>
        <v>0.753244772305441</v>
      </c>
      <c r="AQ78" s="96" t="n">
        <f aca="false">AQ27*Ratio!AQ39</f>
        <v>0.658868246385271</v>
      </c>
    </row>
    <row r="79" customFormat="false" ht="12.8" hidden="false" customHeight="false" outlineLevel="0" collapsed="false">
      <c r="A79" s="139" t="s">
        <v>184</v>
      </c>
      <c r="B79" s="37" t="n">
        <f aca="false">B28*Ratio!B41</f>
        <v>0.67679575204763</v>
      </c>
      <c r="C79" s="37" t="n">
        <f aca="false">C28*Ratio!C41</f>
        <v>0.617129838989638</v>
      </c>
      <c r="D79" s="31" t="n">
        <f aca="false">D28*Ratio!D41</f>
        <v>0.622723194577994</v>
      </c>
      <c r="E79" s="96" t="n">
        <f aca="false">E28*Ratio!E41</f>
        <v>0.627433954976105</v>
      </c>
      <c r="F79" s="31" t="n">
        <f aca="false">F28*Ratio!F41</f>
        <v>0.594831281627284</v>
      </c>
      <c r="G79" s="96" t="n">
        <f aca="false">G28*Ratio!G41</f>
        <v>1.88602055779816</v>
      </c>
      <c r="H79" s="31" t="n">
        <f aca="false">H28*Ratio!H41</f>
        <v>1.6402492475583</v>
      </c>
      <c r="I79" s="74" t="n">
        <f aca="false">I28*Ratio!I41</f>
        <v>1.69207849875428</v>
      </c>
      <c r="J79" s="75" t="n">
        <f aca="false">J28*Ratio!J41</f>
        <v>1.51451646514696</v>
      </c>
      <c r="K79" s="31" t="n">
        <f aca="false">K28*Ratio!K41</f>
        <v>1.28205334997877</v>
      </c>
      <c r="L79" s="31" t="n">
        <f aca="false">L28*Ratio!L41</f>
        <v>1.30956713102546</v>
      </c>
      <c r="M79" s="96" t="n">
        <f aca="false">M28*Ratio!M41</f>
        <v>1.30396357881431</v>
      </c>
      <c r="N79" s="96" t="n">
        <f aca="false">N28*Ratio!N41</f>
        <v>1.31226753739505</v>
      </c>
      <c r="O79" s="31" t="n">
        <f aca="false">O28*Ratio!O41</f>
        <v>1.42465872598593</v>
      </c>
      <c r="P79" s="76" t="n">
        <f aca="false">P28*Ratio!P41</f>
        <v>0.473088568632547</v>
      </c>
      <c r="Q79" s="75" t="n">
        <f aca="false">Q28*Ratio!Q41</f>
        <v>0.43327885933632</v>
      </c>
      <c r="R79" s="31" t="n">
        <f aca="false">R28*Ratio!R41</f>
        <v>0.416010448652423</v>
      </c>
      <c r="S79" s="96" t="n">
        <f aca="false">S28*Ratio!S41</f>
        <v>0.330734762288964</v>
      </c>
      <c r="T79" s="31" t="n">
        <f aca="false">T28*Ratio!T41</f>
        <v>0.341837370812148</v>
      </c>
      <c r="U79" s="31" t="n">
        <f aca="false">U28*Ratio!U41</f>
        <v>0.674774784102942</v>
      </c>
      <c r="V79" s="96" t="n">
        <f aca="false">V28*Ratio!V41</f>
        <v>0.67111164837304</v>
      </c>
      <c r="W79" s="96" t="n">
        <f aca="false">W28*Ratio!W41</f>
        <v>0.700143366120055</v>
      </c>
      <c r="X79" s="74" t="n">
        <f aca="false">X28*Ratio!X41</f>
        <v>0.71599009662078</v>
      </c>
      <c r="Y79" s="75" t="n">
        <f aca="false">Y28*Ratio!Y41</f>
        <v>0.724899266986775</v>
      </c>
      <c r="Z79" s="31" t="n">
        <f aca="false">Z28*Ratio!Z41</f>
        <v>0.781353703937205</v>
      </c>
      <c r="AA79" s="96" t="n">
        <f aca="false">AA28*Ratio!AA41</f>
        <v>0.750521038759433</v>
      </c>
      <c r="AB79" s="31" t="n">
        <f aca="false">AB28*Ratio!AB41</f>
        <v>0.782492071043954</v>
      </c>
      <c r="AC79" s="76" t="n">
        <f aca="false">AC28*Ratio!AC41</f>
        <v>0.122541519040306</v>
      </c>
      <c r="AD79" s="75" t="n">
        <f aca="false">AD28*Ratio!AD41</f>
        <v>0.126273320683164</v>
      </c>
      <c r="AE79" s="31" t="n">
        <f aca="false">AE28*Ratio!AE41</f>
        <v>0.119417425643395</v>
      </c>
      <c r="AF79" s="96" t="n">
        <f aca="false">AF28*Ratio!AF41</f>
        <v>0.118142571629155</v>
      </c>
      <c r="AG79" s="31" t="n">
        <f aca="false">AG28*Ratio!AG41</f>
        <v>0.099321937217851</v>
      </c>
      <c r="AH79" s="31" t="n">
        <f aca="false">AH28*Ratio!AH41</f>
        <v>0.358210161238893</v>
      </c>
      <c r="AI79" s="74" t="n">
        <f aca="false">AI28*Ratio!AI41</f>
        <v>0.489995259484991</v>
      </c>
      <c r="AJ79" s="75" t="n">
        <f aca="false">AJ28*Ratio!AJ41</f>
        <v>0.530432099754387</v>
      </c>
      <c r="AK79" s="31" t="n">
        <f aca="false">AK28*Ratio!AK41</f>
        <v>0.455545507278826</v>
      </c>
      <c r="AL79" s="96" t="n">
        <f aca="false">AL28*Ratio!AL41</f>
        <v>0.456583196361465</v>
      </c>
      <c r="AM79" s="31" t="n">
        <f aca="false">AM28*Ratio!AM41</f>
        <v>0.432196775667361</v>
      </c>
      <c r="AN79" s="76" t="n">
        <f aca="false">AN28*Ratio!AN41</f>
        <v>0.234370897522243</v>
      </c>
      <c r="AO79" s="75" t="n">
        <f aca="false">AO28*Ratio!AO41</f>
        <v>0.211846587860273</v>
      </c>
      <c r="AP79" s="31" t="n">
        <f aca="false">AP28*Ratio!AP41</f>
        <v>0.257220545194441</v>
      </c>
      <c r="AQ79" s="96" t="n">
        <f aca="false">AQ28*Ratio!AQ41</f>
        <v>0.251061147693107</v>
      </c>
    </row>
    <row r="80" customFormat="false" ht="12.8" hidden="false" customHeight="false" outlineLevel="0" collapsed="false">
      <c r="A80" s="139" t="s">
        <v>229</v>
      </c>
      <c r="B80" s="37" t="n">
        <f aca="false">B29*Ratio!B42</f>
        <v>0.139936049222527</v>
      </c>
      <c r="C80" s="37" t="n">
        <f aca="false">C29*Ratio!C42</f>
        <v>0.137806014212375</v>
      </c>
      <c r="D80" s="31" t="n">
        <f aca="false">D29*Ratio!D42</f>
        <v>0.139089782618958</v>
      </c>
      <c r="E80" s="96" t="n">
        <f aca="false">E29*Ratio!E42</f>
        <v>0.145791688241783</v>
      </c>
      <c r="F80" s="31" t="n">
        <f aca="false">F29*Ratio!F42</f>
        <v>0.115926793401194</v>
      </c>
      <c r="G80" s="96" t="n">
        <f aca="false">G29*Ratio!G42</f>
        <v>0.154412188707489</v>
      </c>
      <c r="H80" s="31" t="n">
        <f aca="false">H29*Ratio!H42</f>
        <v>0.143176942344689</v>
      </c>
      <c r="I80" s="74" t="n">
        <f aca="false">I29*Ratio!I42</f>
        <v>0.147434442574622</v>
      </c>
      <c r="J80" s="75" t="n">
        <f aca="false">J29*Ratio!J42</f>
        <v>0.123805177706077</v>
      </c>
      <c r="K80" s="31" t="n">
        <f aca="false">K29*Ratio!K42</f>
        <v>0.103227419964451</v>
      </c>
      <c r="L80" s="31" t="n">
        <f aca="false">L29*Ratio!L42</f>
        <v>0.103425095679075</v>
      </c>
      <c r="M80" s="96" t="n">
        <f aca="false">M29*Ratio!M42</f>
        <v>0.103502098036213</v>
      </c>
      <c r="N80" s="96" t="n">
        <f aca="false">N29*Ratio!N42</f>
        <v>0.0980340938148738</v>
      </c>
      <c r="O80" s="31" t="n">
        <f aca="false">O29*Ratio!O42</f>
        <v>0.102746393477225</v>
      </c>
      <c r="P80" s="76" t="n">
        <f aca="false">P29*Ratio!P42</f>
        <v>0.169666622233456</v>
      </c>
      <c r="Q80" s="236" t="n">
        <f aca="false">Q29*Ratio!Q49</f>
        <v>0.0179143083792656</v>
      </c>
      <c r="R80" s="31" t="n">
        <f aca="false">R29*Ratio!R49</f>
        <v>0.0227981877225424</v>
      </c>
      <c r="S80" s="96" t="n">
        <f aca="false">S29*Ratio!S49</f>
        <v>0.0217751193575809</v>
      </c>
      <c r="T80" s="31" t="n">
        <f aca="false">T29*Ratio!T49</f>
        <v>0.0268755542224325</v>
      </c>
      <c r="U80" s="31" t="n">
        <f aca="false">U29*Ratio!U49</f>
        <v>0.111533734861</v>
      </c>
      <c r="V80" s="96" t="n">
        <f aca="false">V29*Ratio!V49</f>
        <v>0.111752597614223</v>
      </c>
      <c r="W80" s="96" t="n">
        <f aca="false">W29*Ratio!W49</f>
        <v>0.116981785104936</v>
      </c>
      <c r="X80" s="74" t="n">
        <f aca="false">X29*Ratio!X49</f>
        <v>0.12973078782194</v>
      </c>
      <c r="Y80" s="75" t="n">
        <f aca="false">Y29*Ratio!Y49</f>
        <v>0.117625371005598</v>
      </c>
      <c r="Z80" s="31" t="n">
        <f aca="false">Z29*Ratio!Z49</f>
        <v>0.118478403961674</v>
      </c>
      <c r="AA80" s="96" t="n">
        <f aca="false">AA29*Ratio!AA49</f>
        <v>0.113877150200355</v>
      </c>
      <c r="AB80" s="31" t="n">
        <f aca="false">AB29*Ratio!AB49</f>
        <v>0.140796797308948</v>
      </c>
      <c r="AC80" s="76" t="n">
        <f aca="false">AC29*Ratio!AC49</f>
        <v>0.655318188732428</v>
      </c>
      <c r="AD80" s="75" t="n">
        <f aca="false">AD29*Ratio!AD49</f>
        <v>0.639487337412986</v>
      </c>
      <c r="AE80" s="31" t="n">
        <f aca="false">AE29*Ratio!AE49</f>
        <v>0.671624060464666</v>
      </c>
      <c r="AF80" s="96" t="n">
        <f aca="false">AF29*Ratio!AF49</f>
        <v>0.590612843024719</v>
      </c>
      <c r="AG80" s="31" t="n">
        <f aca="false">AG29*Ratio!AG49</f>
        <v>0.570271956772986</v>
      </c>
      <c r="AH80" s="31" t="n">
        <f aca="false">AH29*Ratio!AH49</f>
        <v>0.252413765639978</v>
      </c>
      <c r="AI80" s="74" t="n">
        <f aca="false">AI29*Ratio!AI49</f>
        <v>0.37304142872898</v>
      </c>
      <c r="AJ80" s="75" t="n">
        <f aca="false">AJ29*Ratio!AJ49</f>
        <v>0.366986357728477</v>
      </c>
      <c r="AK80" s="31" t="n">
        <f aca="false">AK29*Ratio!AK49</f>
        <v>0.283252669958137</v>
      </c>
      <c r="AL80" s="96" t="n">
        <f aca="false">AL29*Ratio!AL49</f>
        <v>0.270690666748491</v>
      </c>
      <c r="AM80" s="31" t="n">
        <f aca="false">AM29*Ratio!AM49</f>
        <v>0.253738727770341</v>
      </c>
      <c r="AN80" s="76" t="n">
        <f aca="false">AN29*Ratio!AN49</f>
        <v>0.249425584577663</v>
      </c>
      <c r="AO80" s="75" t="n">
        <f aca="false">AO29*Ratio!AO49</f>
        <v>0.168745077044121</v>
      </c>
      <c r="AP80" s="31" t="n">
        <f aca="false">AP29*Ratio!AP49</f>
        <v>0.219221915678212</v>
      </c>
      <c r="AQ80" s="96" t="n">
        <f aca="false">AQ29*Ratio!AQ49</f>
        <v>0.198753007042108</v>
      </c>
    </row>
    <row r="81" customFormat="false" ht="12.8" hidden="false" customHeight="false" outlineLevel="0" collapsed="false">
      <c r="A81" s="139" t="s">
        <v>186</v>
      </c>
      <c r="B81" s="37" t="n">
        <f aca="false">B30*Ratio!B44</f>
        <v>0.6132205349255</v>
      </c>
      <c r="C81" s="37" t="n">
        <f aca="false">C30*Ratio!C44</f>
        <v>0.56414686469064</v>
      </c>
      <c r="D81" s="31" t="n">
        <f aca="false">D30*Ratio!D44</f>
        <v>0.522602285012231</v>
      </c>
      <c r="E81" s="96" t="n">
        <f aca="false">E30*Ratio!E44</f>
        <v>0.645347543869358</v>
      </c>
      <c r="F81" s="31" t="n">
        <f aca="false">F30*Ratio!F44</f>
        <v>0.447169449626102</v>
      </c>
      <c r="G81" s="96" t="n">
        <f aca="false">G30*Ratio!G44</f>
        <v>0.36493089957555</v>
      </c>
      <c r="H81" s="31" t="n">
        <f aca="false">H30*Ratio!H44</f>
        <v>0.926801408379996</v>
      </c>
      <c r="I81" s="74" t="n">
        <f aca="false">I30*Ratio!I44</f>
        <v>0.925352341233236</v>
      </c>
      <c r="J81" s="75" t="n">
        <f aca="false">J30*Ratio!J44</f>
        <v>0.938575920631268</v>
      </c>
      <c r="K81" s="31" t="n">
        <f aca="false">K30*Ratio!K44</f>
        <v>0.804767772786415</v>
      </c>
      <c r="L81" s="31" t="n">
        <f aca="false">L30*Ratio!L44</f>
        <v>0.825620854708299</v>
      </c>
      <c r="M81" s="96" t="n">
        <f aca="false">M30*Ratio!M44</f>
        <v>0.826235548381022</v>
      </c>
      <c r="N81" s="96" t="n">
        <f aca="false">N30*Ratio!N44</f>
        <v>0.81254441833054</v>
      </c>
      <c r="O81" s="31" t="n">
        <f aca="false">O30*Ratio!O44</f>
        <v>0.857980176849753</v>
      </c>
      <c r="P81" s="76" t="n">
        <f aca="false">P30*Ratio!P44</f>
        <v>1.25343131765414</v>
      </c>
      <c r="Q81" s="75" t="n">
        <f aca="false">Q30*Ratio!Q44</f>
        <v>1.23692173700134</v>
      </c>
      <c r="R81" s="31" t="n">
        <f aca="false">R30*Ratio!R44</f>
        <v>1.27599590065762</v>
      </c>
      <c r="S81" s="96" t="n">
        <f aca="false">S30*Ratio!S44</f>
        <v>1.21434657272193</v>
      </c>
      <c r="T81" s="31" t="n">
        <f aca="false">T30*Ratio!T44</f>
        <v>1.30766795226885</v>
      </c>
      <c r="U81" s="31" t="n">
        <f aca="false">U30*Ratio!U44</f>
        <v>-0.783457868435178</v>
      </c>
      <c r="V81" s="96" t="n">
        <f aca="false">V30*Ratio!V44</f>
        <v>-0.843253005119195</v>
      </c>
      <c r="W81" s="96" t="n">
        <f aca="false">W30*Ratio!W44</f>
        <v>-0.88271095204851</v>
      </c>
      <c r="X81" s="74" t="n">
        <f aca="false">X30*Ratio!X44</f>
        <v>-0.812651437904687</v>
      </c>
      <c r="Y81" s="75" t="n">
        <f aca="false">Y30*Ratio!Y44</f>
        <v>-0.889107988551153</v>
      </c>
      <c r="Z81" s="31" t="n">
        <f aca="false">Z30*Ratio!Z44</f>
        <v>-0.898019605195264</v>
      </c>
      <c r="AA81" s="96" t="n">
        <f aca="false">AA30*Ratio!AA44</f>
        <v>-0.976458456510667</v>
      </c>
      <c r="AB81" s="31" t="n">
        <f aca="false">AB30*Ratio!AB44</f>
        <v>-0.887340108847665</v>
      </c>
      <c r="AC81" s="76" t="n">
        <f aca="false">AC30*Ratio!AC44</f>
        <v>0.27310705015383</v>
      </c>
      <c r="AD81" s="75" t="n">
        <f aca="false">AD30*Ratio!AD44</f>
        <v>0.285315391111377</v>
      </c>
      <c r="AE81" s="31" t="n">
        <f aca="false">AE30*Ratio!AE44</f>
        <v>0.270116223933249</v>
      </c>
      <c r="AF81" s="96" t="n">
        <f aca="false">AF30*Ratio!AF44</f>
        <v>0.267300041927601</v>
      </c>
      <c r="AG81" s="31" t="n">
        <f aca="false">AG30*Ratio!AG44</f>
        <v>0.363202736249109</v>
      </c>
      <c r="AH81" s="31" t="n">
        <f aca="false">AH30*Ratio!AH44</f>
        <v>0.380904813262525</v>
      </c>
      <c r="AI81" s="74" t="n">
        <f aca="false">AI30*Ratio!AI44</f>
        <v>0.482928348070663</v>
      </c>
      <c r="AJ81" s="75" t="n">
        <f aca="false">AJ30*Ratio!AJ44</f>
        <v>0.499149920904234</v>
      </c>
      <c r="AK81" s="31" t="n">
        <f aca="false">AK30*Ratio!AK44</f>
        <v>0.468209372186348</v>
      </c>
      <c r="AL81" s="96" t="n">
        <f aca="false">AL30*Ratio!AL44</f>
        <v>0.468121213765676</v>
      </c>
      <c r="AM81" s="31" t="n">
        <f aca="false">AM30*Ratio!AM44</f>
        <v>0.525447334860432</v>
      </c>
      <c r="AN81" s="76" t="n">
        <f aca="false">AN30*Ratio!AN44</f>
        <v>0.476394530806243</v>
      </c>
      <c r="AO81" s="75" t="n">
        <f aca="false">AO30*Ratio!AO44</f>
        <v>0.48365844286399</v>
      </c>
      <c r="AP81" s="31" t="n">
        <f aca="false">AP30*Ratio!AP44</f>
        <v>0.459210930154634</v>
      </c>
      <c r="AQ81" s="96" t="n">
        <f aca="false">AQ30*Ratio!AQ44</f>
        <v>0.444960630939729</v>
      </c>
    </row>
    <row r="82" customFormat="false" ht="12.8" hidden="false" customHeight="false" outlineLevel="0" collapsed="false">
      <c r="A82" s="139" t="s">
        <v>189</v>
      </c>
      <c r="B82" s="37" t="n">
        <f aca="false">B31*Ratio!B47</f>
        <v>0.10713541351566</v>
      </c>
      <c r="C82" s="37" t="n">
        <f aca="false">C31*Ratio!C47</f>
        <v>0.117782471669363</v>
      </c>
      <c r="D82" s="31" t="n">
        <f aca="false">D31*Ratio!D47</f>
        <v>0.120020875315331</v>
      </c>
      <c r="E82" s="96" t="n">
        <f aca="false">E31*Ratio!E47</f>
        <v>0.0894565855345355</v>
      </c>
      <c r="F82" s="31" t="n">
        <f aca="false">F31*Ratio!F47</f>
        <v>0.0835420596215352</v>
      </c>
      <c r="G82" s="96" t="n">
        <f aca="false">G31*Ratio!G47</f>
        <v>0.0865338783872819</v>
      </c>
      <c r="H82" s="31" t="n">
        <f aca="false">H31*Ratio!H47</f>
        <v>0.0875021127478767</v>
      </c>
      <c r="I82" s="74" t="n">
        <f aca="false">I31*Ratio!I47</f>
        <v>0.158911722201011</v>
      </c>
      <c r="J82" s="75" t="n">
        <f aca="false">J31*Ratio!J47</f>
        <v>0.177039752782067</v>
      </c>
      <c r="K82" s="31" t="n">
        <f aca="false">K31*Ratio!K47</f>
        <v>0.132818367970837</v>
      </c>
      <c r="L82" s="31" t="n">
        <f aca="false">L31*Ratio!L47</f>
        <v>0.136286110056993</v>
      </c>
      <c r="M82" s="96" t="n">
        <f aca="false">M31*Ratio!M47</f>
        <v>0.136354851065666</v>
      </c>
      <c r="N82" s="96" t="n">
        <f aca="false">N31*Ratio!N47</f>
        <v>0.137184777472478</v>
      </c>
      <c r="O82" s="31" t="n">
        <f aca="false">O31*Ratio!O47</f>
        <v>0.139459056307274</v>
      </c>
      <c r="P82" s="76" t="n">
        <f aca="false">P31*Ratio!P47</f>
        <v>0.160949259765232</v>
      </c>
      <c r="Q82" s="75" t="n">
        <f aca="false">Q31*Ratio!Q47</f>
        <v>0.233097999139562</v>
      </c>
      <c r="R82" s="31" t="n">
        <f aca="false">R31*Ratio!R47</f>
        <v>0.249416502840685</v>
      </c>
      <c r="S82" s="96" t="n">
        <f aca="false">S31*Ratio!S47</f>
        <v>0.231368935433488</v>
      </c>
      <c r="T82" s="31" t="n">
        <f aca="false">T31*Ratio!T47</f>
        <v>0.252350683101354</v>
      </c>
      <c r="U82" s="31" t="n">
        <f aca="false">U31*Ratio!U47</f>
        <v>0.228782478668507</v>
      </c>
      <c r="V82" s="96" t="n">
        <f aca="false">V31*Ratio!V47</f>
        <v>0.116681574304074</v>
      </c>
      <c r="W82" s="96" t="n">
        <f aca="false">W31*Ratio!W47</f>
        <v>0.107934523264893</v>
      </c>
      <c r="X82" s="74" t="n">
        <f aca="false">X31*Ratio!X47</f>
        <v>0.0993679135023936</v>
      </c>
      <c r="Y82" s="75" t="n">
        <f aca="false">Y31*Ratio!Y47</f>
        <v>0.121657278574741</v>
      </c>
      <c r="Z82" s="31" t="n">
        <f aca="false">Z31*Ratio!Z47</f>
        <v>0.127210604011054</v>
      </c>
      <c r="AA82" s="96" t="n">
        <f aca="false">AA31*Ratio!AA47</f>
        <v>0.128956608285386</v>
      </c>
      <c r="AB82" s="31" t="n">
        <f aca="false">AB31*Ratio!AB47</f>
        <v>0.147052652795051</v>
      </c>
      <c r="AC82" s="76" t="n">
        <f aca="false">AC31*Ratio!AC47</f>
        <v>0.145875694468967</v>
      </c>
      <c r="AD82" s="75" t="n">
        <f aca="false">AD31*Ratio!AD47</f>
        <v>0.118832257379242</v>
      </c>
      <c r="AE82" s="31" t="n">
        <f aca="false">AE31*Ratio!AE47</f>
        <v>0.112583221494169</v>
      </c>
      <c r="AF82" s="96" t="n">
        <f aca="false">AF31*Ratio!AF47</f>
        <v>0.117483894938541</v>
      </c>
      <c r="AG82" s="31" t="n">
        <f aca="false">AG31*Ratio!AG47</f>
        <v>0.0977509725216679</v>
      </c>
      <c r="AH82" s="31" t="n">
        <f aca="false">AH31*Ratio!AH47</f>
        <v>0.111476251840469</v>
      </c>
      <c r="AI82" s="74" t="n">
        <f aca="false">AI31*Ratio!AI47</f>
        <v>0.173380008344548</v>
      </c>
      <c r="AJ82" s="75" t="n">
        <f aca="false">AJ31*Ratio!AJ47</f>
        <v>0.170490142341702</v>
      </c>
      <c r="AK82" s="31" t="n">
        <f aca="false">AK31*Ratio!AK47</f>
        <v>0.151367337498215</v>
      </c>
      <c r="AL82" s="96" t="n">
        <f aca="false">AL31*Ratio!AL47</f>
        <v>0.156659901746404</v>
      </c>
      <c r="AM82" s="31" t="n">
        <f aca="false">AM31*Ratio!AM47</f>
        <v>0.136997412211526</v>
      </c>
      <c r="AN82" s="76" t="n">
        <f aca="false">AN31*Ratio!AN47</f>
        <v>0.155568312971654</v>
      </c>
      <c r="AO82" s="75" t="n">
        <f aca="false">AO31*Ratio!AO47</f>
        <v>0.138981703592921</v>
      </c>
      <c r="AP82" s="31" t="n">
        <f aca="false">AP31*Ratio!AP47</f>
        <v>0.12290320653986</v>
      </c>
      <c r="AQ82" s="96" t="n">
        <f aca="false">AQ31*Ratio!AQ47</f>
        <v>0.107946316610734</v>
      </c>
    </row>
    <row r="83" customFormat="false" ht="12.8" hidden="false" customHeight="false" outlineLevel="0" collapsed="false">
      <c r="A83" s="139" t="s">
        <v>101</v>
      </c>
      <c r="B83" s="234" t="s">
        <v>260</v>
      </c>
      <c r="C83" s="234"/>
      <c r="D83" s="234"/>
      <c r="E83" s="234"/>
      <c r="F83" s="234"/>
      <c r="G83" s="234"/>
      <c r="H83" s="234"/>
      <c r="I83" s="234"/>
    </row>
    <row r="84" customFormat="false" ht="12.8" hidden="false" customHeight="false" outlineLevel="0" collapsed="false">
      <c r="A84" s="139" t="s">
        <v>258</v>
      </c>
      <c r="B84" s="230"/>
    </row>
    <row r="85" customFormat="false" ht="12.8" hidden="false" customHeight="false" outlineLevel="0" collapsed="false">
      <c r="A85" s="139" t="s">
        <v>24</v>
      </c>
      <c r="B85" s="72" t="n">
        <f aca="false">B35*Ratio!B33</f>
        <v>3.04837636812252</v>
      </c>
      <c r="C85" s="72" t="n">
        <f aca="false">C35*Ratio!C33</f>
        <v>2.9808856906758</v>
      </c>
      <c r="D85" s="31" t="n">
        <f aca="false">D35*Ratio!D33</f>
        <v>3.08475571871324</v>
      </c>
      <c r="E85" s="96" t="n">
        <f aca="false">E35*Ratio!E33</f>
        <v>2.98193904129714</v>
      </c>
      <c r="F85" s="31" t="n">
        <f aca="false">F35*Ratio!F33</f>
        <v>2.75721958310763</v>
      </c>
      <c r="G85" s="96" t="n">
        <f aca="false">G35*Ratio!G33</f>
        <v>2.28782545381158</v>
      </c>
      <c r="H85" s="31" t="n">
        <f aca="false">H35*Ratio!H33</f>
        <v>2.28051680149074</v>
      </c>
      <c r="I85" s="74" t="n">
        <f aca="false">I35*Ratio!I33</f>
        <v>3.5324378209846</v>
      </c>
      <c r="J85" s="75" t="n">
        <f aca="false">J35*Ratio!J33</f>
        <v>3.00767682432494</v>
      </c>
      <c r="K85" s="31" t="n">
        <f aca="false">K35*Ratio!K33</f>
        <v>2.74477520334361</v>
      </c>
      <c r="L85" s="31" t="n">
        <f aca="false">L35*Ratio!L33</f>
        <v>2.6406563774365</v>
      </c>
      <c r="M85" s="96" t="n">
        <f aca="false">M35*Ratio!M33</f>
        <v>2.62994006619745</v>
      </c>
      <c r="N85" s="96" t="n">
        <f aca="false">N35*Ratio!N33</f>
        <v>2.60291779548183</v>
      </c>
      <c r="O85" s="31" t="n">
        <f aca="false">O35*Ratio!O33</f>
        <v>2.47348276774248</v>
      </c>
      <c r="P85" s="76" t="n">
        <f aca="false">P35*Ratio!P33</f>
        <v>2.62030405384244</v>
      </c>
      <c r="Q85" s="75" t="n">
        <f aca="false">Q35*Ratio!Q33</f>
        <v>2.30221086207119</v>
      </c>
      <c r="R85" s="31" t="n">
        <f aca="false">R35*Ratio!R33</f>
        <v>2.18561647281599</v>
      </c>
      <c r="S85" s="96" t="n">
        <f aca="false">S35*Ratio!S33</f>
        <v>2.24693182668121</v>
      </c>
      <c r="T85" s="31" t="n">
        <f aca="false">T35*Ratio!T33</f>
        <v>2.29706954313473</v>
      </c>
      <c r="U85" s="31" t="n">
        <f aca="false">U35*Ratio!U33</f>
        <v>2.48554777199837</v>
      </c>
      <c r="V85" s="96" t="n">
        <f aca="false">V35*Ratio!V33</f>
        <v>2.87911779406918</v>
      </c>
      <c r="W85" s="96" t="n">
        <f aca="false">W35*Ratio!W33</f>
        <v>2.65009369415944</v>
      </c>
      <c r="X85" s="74" t="n">
        <f aca="false">X35*Ratio!X33</f>
        <v>2.94426785129826</v>
      </c>
      <c r="Y85" s="75" t="n">
        <f aca="false">Y35*Ratio!Y33</f>
        <v>2.77889131193566</v>
      </c>
      <c r="Z85" s="31" t="n">
        <f aca="false">Z35*Ratio!Z33</f>
        <v>2.42614348288698</v>
      </c>
      <c r="AA85" s="96" t="n">
        <f aca="false">AA35*Ratio!AA33</f>
        <v>2.52388871261356</v>
      </c>
      <c r="AB85" s="1" t="n">
        <f aca="false">AB35*Ratio!AB33</f>
        <v>0</v>
      </c>
      <c r="AC85" s="42" t="n">
        <f aca="false">AC35*Ratio!AC33</f>
        <v>0</v>
      </c>
      <c r="AD85" s="21" t="n">
        <f aca="false">AD35*Ratio!AD33</f>
        <v>0</v>
      </c>
      <c r="AE85" s="1" t="n">
        <f aca="false">AE35*Ratio!AE33</f>
        <v>0</v>
      </c>
      <c r="AF85" s="40" t="n">
        <f aca="false">AF35*Ratio!AF33</f>
        <v>0</v>
      </c>
      <c r="AG85" s="1" t="n">
        <f aca="false">AG35*Ratio!AG33</f>
        <v>0</v>
      </c>
      <c r="AH85" s="1" t="n">
        <f aca="false">AH35*Ratio!AH33</f>
        <v>0</v>
      </c>
      <c r="AI85" s="41" t="n">
        <f aca="false">AI35*Ratio!AI33</f>
        <v>0</v>
      </c>
      <c r="AJ85" s="21" t="n">
        <f aca="false">AJ35*Ratio!AJ33</f>
        <v>0</v>
      </c>
      <c r="AK85" s="1" t="n">
        <f aca="false">AK35*Ratio!AK33</f>
        <v>0</v>
      </c>
      <c r="AL85" s="40" t="n">
        <f aca="false">AL35*Ratio!AL33</f>
        <v>0</v>
      </c>
      <c r="AM85" s="1" t="n">
        <f aca="false">AM35*Ratio!AM33</f>
        <v>0</v>
      </c>
      <c r="AN85" s="42" t="n">
        <f aca="false">AN35*Ratio!AN33</f>
        <v>0</v>
      </c>
      <c r="AO85" s="21" t="n">
        <f aca="false">AO35*Ratio!AO33</f>
        <v>0</v>
      </c>
      <c r="AP85" s="1" t="n">
        <f aca="false">AP35*Ratio!AP33</f>
        <v>0</v>
      </c>
      <c r="AQ85" s="40" t="n">
        <f aca="false">AQ35*Ratio!AQ33</f>
        <v>0</v>
      </c>
    </row>
    <row r="86" customFormat="false" ht="12.8" hidden="false" customHeight="false" outlineLevel="0" collapsed="false">
      <c r="A86" s="139" t="s">
        <v>180</v>
      </c>
      <c r="B86" s="72" t="n">
        <f aca="false">B36*Ratio!B34</f>
        <v>0.897640151550406</v>
      </c>
      <c r="C86" s="72" t="n">
        <f aca="false">C36*Ratio!C34</f>
        <v>0.903527036674975</v>
      </c>
      <c r="D86" s="31" t="n">
        <f aca="false">D36*Ratio!D34</f>
        <v>0.915981752591507</v>
      </c>
      <c r="E86" s="96" t="n">
        <f aca="false">E36*Ratio!E34</f>
        <v>0.920616576327642</v>
      </c>
      <c r="F86" s="31" t="n">
        <f aca="false">F36*Ratio!F34</f>
        <v>0.922944971190344</v>
      </c>
      <c r="G86" s="96" t="n">
        <f aca="false">G36*Ratio!G34</f>
        <v>1.3756977457434</v>
      </c>
      <c r="H86" s="31" t="n">
        <f aca="false">H36*Ratio!H34</f>
        <v>1.3756977457434</v>
      </c>
      <c r="I86" s="74" t="n">
        <f aca="false">I36*Ratio!I34</f>
        <v>1.3756977457434</v>
      </c>
      <c r="J86" s="75" t="n">
        <f aca="false">J36*Ratio!J34</f>
        <v>1.31226279413412</v>
      </c>
      <c r="K86" s="31" t="n">
        <f aca="false">K36*Ratio!K34</f>
        <v>1.40526317975279</v>
      </c>
      <c r="L86" s="31" t="n">
        <f aca="false">L36*Ratio!L34</f>
        <v>1.36765272968642</v>
      </c>
      <c r="M86" s="96" t="n">
        <f aca="false">M36*Ratio!M34</f>
        <v>1.36765272968642</v>
      </c>
      <c r="N86" s="96" t="n">
        <f aca="false">N36*Ratio!N34</f>
        <v>1.3642335978622</v>
      </c>
      <c r="O86" s="31" t="n">
        <f aca="false">O36*Ratio!O34</f>
        <v>1.28189688102705</v>
      </c>
      <c r="P86" s="76" t="n">
        <f aca="false">P36*Ratio!P34</f>
        <v>1.18923285399506</v>
      </c>
      <c r="Q86" s="75" t="n">
        <f aca="false">Q36*Ratio!Q34</f>
        <v>1.06244813695279</v>
      </c>
      <c r="R86" s="31" t="n">
        <f aca="false">R36*Ratio!R34</f>
        <v>1.01878588474925</v>
      </c>
      <c r="S86" s="96" t="n">
        <f aca="false">S36*Ratio!S34</f>
        <v>1.07234491411892</v>
      </c>
      <c r="T86" s="31" t="n">
        <f aca="false">T36*Ratio!T34</f>
        <v>0.978645275640901</v>
      </c>
      <c r="U86" s="31" t="n">
        <f aca="false">U36*Ratio!U34</f>
        <v>0.944754141369347</v>
      </c>
      <c r="V86" s="96" t="n">
        <f aca="false">V36*Ratio!V34</f>
        <v>0.942129824309987</v>
      </c>
      <c r="W86" s="96" t="n">
        <f aca="false">W36*Ratio!W34</f>
        <v>0.918957104675845</v>
      </c>
      <c r="X86" s="74" t="n">
        <f aca="false">X36*Ratio!X34</f>
        <v>0.957875726666143</v>
      </c>
      <c r="Y86" s="75" t="n">
        <f aca="false">Y36*Ratio!Y34</f>
        <v>0.960899516935384</v>
      </c>
      <c r="Z86" s="31" t="n">
        <f aca="false">Z36*Ratio!Z34</f>
        <v>0.934495669339594</v>
      </c>
      <c r="AA86" s="96" t="n">
        <f aca="false">AA36*Ratio!AA34</f>
        <v>0.986996990772151</v>
      </c>
      <c r="AB86" s="1" t="n">
        <f aca="false">AB36*Ratio!AB34</f>
        <v>0</v>
      </c>
      <c r="AC86" s="42" t="n">
        <f aca="false">AC36*Ratio!AC34</f>
        <v>0</v>
      </c>
      <c r="AD86" s="21" t="n">
        <f aca="false">AD36*Ratio!AD34</f>
        <v>0</v>
      </c>
      <c r="AE86" s="1" t="n">
        <f aca="false">AE36*Ratio!AE34</f>
        <v>0</v>
      </c>
      <c r="AF86" s="40" t="n">
        <f aca="false">AF36*Ratio!AF34</f>
        <v>0</v>
      </c>
      <c r="AG86" s="1" t="n">
        <f aca="false">AG36*Ratio!AG34</f>
        <v>0</v>
      </c>
      <c r="AH86" s="1" t="n">
        <f aca="false">AH36*Ratio!AH34</f>
        <v>0</v>
      </c>
      <c r="AI86" s="41" t="n">
        <f aca="false">AI36*Ratio!AI34</f>
        <v>0</v>
      </c>
      <c r="AJ86" s="21" t="n">
        <f aca="false">AJ36*Ratio!AJ34</f>
        <v>0</v>
      </c>
      <c r="AK86" s="1" t="n">
        <f aca="false">AK36*Ratio!AK34</f>
        <v>0</v>
      </c>
      <c r="AL86" s="40" t="n">
        <f aca="false">AL36*Ratio!AL34</f>
        <v>0</v>
      </c>
      <c r="AM86" s="1" t="n">
        <f aca="false">AM36*Ratio!AM34</f>
        <v>0</v>
      </c>
      <c r="AN86" s="42" t="n">
        <f aca="false">AN36*Ratio!AN34</f>
        <v>0</v>
      </c>
      <c r="AO86" s="21" t="n">
        <f aca="false">AO36*Ratio!AO34</f>
        <v>0</v>
      </c>
      <c r="AP86" s="1" t="n">
        <f aca="false">AP36*Ratio!AP34</f>
        <v>0</v>
      </c>
      <c r="AQ86" s="40" t="n">
        <f aca="false">AQ36*Ratio!AQ34</f>
        <v>0</v>
      </c>
    </row>
    <row r="87" customFormat="false" ht="12.8" hidden="false" customHeight="false" outlineLevel="0" collapsed="false">
      <c r="A87" s="139" t="s">
        <v>181</v>
      </c>
      <c r="B87" s="72" t="n">
        <f aca="false">B37*Ratio!B35</f>
        <v>1.30992778198878</v>
      </c>
      <c r="C87" s="72" t="n">
        <f aca="false">C37*Ratio!C35</f>
        <v>1.29474384005845</v>
      </c>
      <c r="D87" s="31" t="n">
        <f aca="false">D37*Ratio!D35</f>
        <v>1.31168776162135</v>
      </c>
      <c r="E87" s="96" t="n">
        <f aca="false">E37*Ratio!E35</f>
        <v>1.30166434820591</v>
      </c>
      <c r="F87" s="31" t="n">
        <f aca="false">F37*Ratio!F35</f>
        <v>1.21110363151727</v>
      </c>
      <c r="G87" s="96" t="n">
        <f aca="false">G37*Ratio!G35</f>
        <v>1.4228036792571</v>
      </c>
      <c r="H87" s="31" t="n">
        <f aca="false">H37*Ratio!H35</f>
        <v>1.44529822655798</v>
      </c>
      <c r="I87" s="74" t="n">
        <f aca="false">I37*Ratio!I35</f>
        <v>1.43481026700617</v>
      </c>
      <c r="J87" s="75" t="n">
        <f aca="false">J37*Ratio!J35</f>
        <v>1.20430594314024</v>
      </c>
      <c r="K87" s="31" t="n">
        <f aca="false">K37*Ratio!K35</f>
        <v>1.17423701838547</v>
      </c>
      <c r="L87" s="31" t="n">
        <f aca="false">L37*Ratio!L35</f>
        <v>1.16668993585514</v>
      </c>
      <c r="M87" s="96" t="n">
        <f aca="false">M37*Ratio!M35</f>
        <v>1.16182284044114</v>
      </c>
      <c r="N87" s="96" t="n">
        <f aca="false">N37*Ratio!N35</f>
        <v>1.16052331203498</v>
      </c>
      <c r="O87" s="31" t="n">
        <f aca="false">O37*Ratio!O35</f>
        <v>1.06854116157134</v>
      </c>
      <c r="P87" s="76" t="n">
        <f aca="false">P37*Ratio!P35</f>
        <v>1.17631701874625</v>
      </c>
      <c r="Q87" s="75" t="n">
        <f aca="false">Q37*Ratio!Q35</f>
        <v>1.07900031528196</v>
      </c>
      <c r="R87" s="31" t="n">
        <f aca="false">R37*Ratio!R35</f>
        <v>1.01064021725294</v>
      </c>
      <c r="S87" s="96" t="n">
        <f aca="false">S37*Ratio!S35</f>
        <v>1.06090658593152</v>
      </c>
      <c r="T87" s="31" t="n">
        <f aca="false">T37*Ratio!T35</f>
        <v>1.1626743240148</v>
      </c>
      <c r="U87" s="31" t="n">
        <f aca="false">U37*Ratio!U35</f>
        <v>1.62664537984036</v>
      </c>
      <c r="V87" s="96" t="n">
        <f aca="false">V37*Ratio!V35</f>
        <v>1.58466979581358</v>
      </c>
      <c r="W87" s="96" t="n">
        <f aca="false">W37*Ratio!W35</f>
        <v>1.48874109561313</v>
      </c>
      <c r="X87" s="74" t="n">
        <f aca="false">X37*Ratio!X35</f>
        <v>1.64516202641421</v>
      </c>
      <c r="Y87" s="75" t="n">
        <f aca="false">Y37*Ratio!Y35</f>
        <v>1.44805360425768</v>
      </c>
      <c r="Z87" s="31" t="n">
        <f aca="false">Z37*Ratio!Z35</f>
        <v>1.3439282020421</v>
      </c>
      <c r="AA87" s="96" t="n">
        <f aca="false">AA37*Ratio!AA35</f>
        <v>1.40904525303776</v>
      </c>
      <c r="AB87" s="1" t="n">
        <f aca="false">AB37*Ratio!AB35</f>
        <v>0</v>
      </c>
      <c r="AC87" s="42" t="n">
        <f aca="false">AC37*Ratio!AC35</f>
        <v>0</v>
      </c>
      <c r="AD87" s="21" t="n">
        <f aca="false">AD37*Ratio!AD35</f>
        <v>0</v>
      </c>
      <c r="AE87" s="1" t="n">
        <f aca="false">AE37*Ratio!AE35</f>
        <v>0</v>
      </c>
      <c r="AF87" s="40" t="n">
        <f aca="false">AF37*Ratio!AF35</f>
        <v>0</v>
      </c>
      <c r="AG87" s="1" t="n">
        <f aca="false">AG37*Ratio!AG35</f>
        <v>0</v>
      </c>
      <c r="AH87" s="1" t="n">
        <f aca="false">AH37*Ratio!AH35</f>
        <v>0</v>
      </c>
      <c r="AI87" s="41" t="n">
        <f aca="false">AI37*Ratio!AI35</f>
        <v>0</v>
      </c>
      <c r="AJ87" s="21" t="n">
        <f aca="false">AJ37*Ratio!AJ35</f>
        <v>0</v>
      </c>
      <c r="AK87" s="1" t="n">
        <f aca="false">AK37*Ratio!AK35</f>
        <v>0</v>
      </c>
      <c r="AL87" s="40" t="n">
        <f aca="false">AL37*Ratio!AL35</f>
        <v>0</v>
      </c>
      <c r="AM87" s="1" t="n">
        <f aca="false">AM37*Ratio!AM35</f>
        <v>0</v>
      </c>
      <c r="AN87" s="42" t="n">
        <f aca="false">AN37*Ratio!AN35</f>
        <v>0</v>
      </c>
      <c r="AO87" s="21" t="n">
        <f aca="false">AO37*Ratio!AO35</f>
        <v>0</v>
      </c>
      <c r="AP87" s="1" t="n">
        <f aca="false">AP37*Ratio!AP35</f>
        <v>0</v>
      </c>
      <c r="AQ87" s="40" t="n">
        <f aca="false">AQ37*Ratio!AQ35</f>
        <v>0</v>
      </c>
    </row>
    <row r="88" customFormat="false" ht="12.8" hidden="false" customHeight="false" outlineLevel="0" collapsed="false">
      <c r="A88" s="139" t="s">
        <v>30</v>
      </c>
      <c r="B88" s="72" t="n">
        <f aca="false">B38*Ratio!B36</f>
        <v>3.79767918684202</v>
      </c>
      <c r="C88" s="72" t="n">
        <f aca="false">C38*Ratio!C36</f>
        <v>3.44837768500483</v>
      </c>
      <c r="D88" s="31" t="n">
        <f aca="false">D38*Ratio!D36</f>
        <v>3.44837768500483</v>
      </c>
      <c r="E88" s="96" t="n">
        <f aca="false">E38*Ratio!E36</f>
        <v>3.00600830098013</v>
      </c>
      <c r="F88" s="31" t="n">
        <f aca="false">F38*Ratio!F36</f>
        <v>2.98859399367086</v>
      </c>
      <c r="G88" s="96" t="n">
        <f aca="false">G38*Ratio!G36</f>
        <v>3.05035826954005</v>
      </c>
      <c r="H88" s="31" t="n">
        <f aca="false">H38*Ratio!H36</f>
        <v>3.60876727630912</v>
      </c>
      <c r="I88" s="74" t="n">
        <f aca="false">I38*Ratio!I36</f>
        <v>3.36456210878232</v>
      </c>
      <c r="J88" s="75" t="n">
        <f aca="false">J38*Ratio!J36</f>
        <v>3.14450542958239</v>
      </c>
      <c r="K88" s="31" t="n">
        <f aca="false">K38*Ratio!K36</f>
        <v>3.19573744977782</v>
      </c>
      <c r="L88" s="31" t="n">
        <f aca="false">L38*Ratio!L36</f>
        <v>3.09444265437512</v>
      </c>
      <c r="M88" s="96" t="n">
        <f aca="false">M38*Ratio!M36</f>
        <v>3.09969232575052</v>
      </c>
      <c r="N88" s="96" t="n">
        <f aca="false">N38*Ratio!N36</f>
        <v>3.06831360821117</v>
      </c>
      <c r="O88" s="31" t="n">
        <f aca="false">O38*Ratio!O36</f>
        <v>2.94936082727301</v>
      </c>
      <c r="P88" s="76" t="n">
        <f aca="false">P38*Ratio!P36</f>
        <v>3.1067899858389</v>
      </c>
      <c r="Q88" s="75" t="n">
        <f aca="false">Q38*Ratio!Q36</f>
        <v>3.17768590540754</v>
      </c>
      <c r="R88" s="31" t="n">
        <f aca="false">R38*Ratio!R36</f>
        <v>3.18712925133743</v>
      </c>
      <c r="S88" s="96" t="n">
        <f aca="false">S38*Ratio!S36</f>
        <v>3.31817928447946</v>
      </c>
      <c r="T88" s="31" t="n">
        <f aca="false">T38*Ratio!T36</f>
        <v>3.23328360456976</v>
      </c>
      <c r="U88" s="31" t="n">
        <f aca="false">U38*Ratio!U36</f>
        <v>4.48661375347888</v>
      </c>
      <c r="V88" s="96" t="n">
        <f aca="false">V38*Ratio!V36</f>
        <v>4.19348832158493</v>
      </c>
      <c r="W88" s="96" t="n">
        <f aca="false">W38*Ratio!W36</f>
        <v>4.04791266066372</v>
      </c>
      <c r="X88" s="74" t="n">
        <f aca="false">X38*Ratio!X36</f>
        <v>4.48661375347888</v>
      </c>
      <c r="Y88" s="75" t="n">
        <f aca="false">Y38*Ratio!Y36</f>
        <v>4.10755471282663</v>
      </c>
      <c r="Z88" s="31" t="n">
        <f aca="false">Z38*Ratio!Z36</f>
        <v>3.91830934470489</v>
      </c>
      <c r="AA88" s="96" t="n">
        <f aca="false">AA38*Ratio!AA36</f>
        <v>4.02404387549521</v>
      </c>
      <c r="AB88" s="1" t="n">
        <f aca="false">AB38*Ratio!AB36</f>
        <v>0</v>
      </c>
      <c r="AC88" s="42" t="n">
        <f aca="false">AC38*Ratio!AC36</f>
        <v>0</v>
      </c>
      <c r="AD88" s="21" t="n">
        <f aca="false">AD38*Ratio!AD36</f>
        <v>0</v>
      </c>
      <c r="AE88" s="1" t="n">
        <f aca="false">AE38*Ratio!AE36</f>
        <v>0</v>
      </c>
      <c r="AF88" s="40" t="n">
        <f aca="false">AF38*Ratio!AF36</f>
        <v>0</v>
      </c>
      <c r="AG88" s="1" t="n">
        <f aca="false">AG38*Ratio!AG36</f>
        <v>0</v>
      </c>
      <c r="AH88" s="1" t="n">
        <f aca="false">AH38*Ratio!AH36</f>
        <v>0</v>
      </c>
      <c r="AI88" s="41" t="n">
        <f aca="false">AI38*Ratio!AI36</f>
        <v>0</v>
      </c>
      <c r="AJ88" s="21" t="n">
        <f aca="false">AJ38*Ratio!AJ36</f>
        <v>0</v>
      </c>
      <c r="AK88" s="1" t="n">
        <f aca="false">AK38*Ratio!AK36</f>
        <v>0</v>
      </c>
      <c r="AL88" s="40" t="n">
        <f aca="false">AL38*Ratio!AL36</f>
        <v>0</v>
      </c>
      <c r="AM88" s="1" t="n">
        <f aca="false">AM38*Ratio!AM36</f>
        <v>0</v>
      </c>
      <c r="AN88" s="42" t="n">
        <f aca="false">AN38*Ratio!AN36</f>
        <v>0</v>
      </c>
      <c r="AO88" s="21" t="n">
        <f aca="false">AO38*Ratio!AO36</f>
        <v>0</v>
      </c>
      <c r="AP88" s="1" t="n">
        <f aca="false">AP38*Ratio!AP36</f>
        <v>0</v>
      </c>
      <c r="AQ88" s="40" t="n">
        <f aca="false">AQ38*Ratio!AQ36</f>
        <v>0</v>
      </c>
    </row>
    <row r="89" customFormat="false" ht="12.8" hidden="false" customHeight="false" outlineLevel="0" collapsed="false">
      <c r="A89" s="139" t="s">
        <v>182</v>
      </c>
      <c r="B89" s="72" t="n">
        <f aca="false">B39*Ratio!B37</f>
        <v>0.260622663024778</v>
      </c>
      <c r="C89" s="72" t="n">
        <f aca="false">C39*Ratio!C37</f>
        <v>0.266725397558416</v>
      </c>
      <c r="D89" s="31" t="n">
        <f aca="false">D39*Ratio!D37</f>
        <v>0.266725397558416</v>
      </c>
      <c r="E89" s="96" t="n">
        <f aca="false">E39*Ratio!E37</f>
        <v>0.267084381942748</v>
      </c>
      <c r="F89" s="31" t="n">
        <f aca="false">F39*Ratio!F37</f>
        <v>0.267084381942748</v>
      </c>
      <c r="G89" s="96" t="n">
        <f aca="false">G39*Ratio!G37</f>
        <v>0.337258501809734</v>
      </c>
      <c r="H89" s="31" t="n">
        <f aca="false">H39*Ratio!H37</f>
        <v>0.337258501809734</v>
      </c>
      <c r="I89" s="74" t="n">
        <f aca="false">I39*Ratio!I37</f>
        <v>0.3291642977663</v>
      </c>
      <c r="J89" s="75" t="n">
        <f aca="false">J39*Ratio!J37</f>
        <v>0.317088719965996</v>
      </c>
      <c r="K89" s="31" t="n">
        <f aca="false">K39*Ratio!K37</f>
        <v>0.301581270965849</v>
      </c>
      <c r="L89" s="31" t="n">
        <f aca="false">L39*Ratio!L37</f>
        <v>0.301581270965849</v>
      </c>
      <c r="M89" s="96" t="n">
        <f aca="false">M39*Ratio!M37</f>
        <v>0.301581270965849</v>
      </c>
      <c r="N89" s="96" t="n">
        <f aca="false">N39*Ratio!N37</f>
        <v>0.301581270965849</v>
      </c>
      <c r="O89" s="31" t="n">
        <f aca="false">O39*Ratio!O37</f>
        <v>0.341511227517135</v>
      </c>
      <c r="P89" s="76" t="n">
        <f aca="false">P39*Ratio!P37</f>
        <v>0.335766116261766</v>
      </c>
      <c r="Q89" s="75" t="n">
        <f aca="false">Q39*Ratio!Q37</f>
        <v>0.296369119656635</v>
      </c>
      <c r="R89" s="31" t="n">
        <f aca="false">R39*Ratio!R37</f>
        <v>0.291269526873577</v>
      </c>
      <c r="S89" s="96" t="n">
        <f aca="false">S39*Ratio!S37</f>
        <v>0.288397812300353</v>
      </c>
      <c r="T89" s="31" t="n">
        <f aca="false">T39*Ratio!T37</f>
        <v>0.33848220446783</v>
      </c>
      <c r="U89" s="31" t="n">
        <f aca="false">U39*Ratio!U37</f>
        <v>0.493860452589973</v>
      </c>
      <c r="V89" s="96" t="n">
        <f aca="false">V39*Ratio!V37</f>
        <v>0.48061053800829</v>
      </c>
      <c r="W89" s="96" t="n">
        <f aca="false">W39*Ratio!W37</f>
        <v>0.48061053800829</v>
      </c>
      <c r="X89" s="74" t="n">
        <f aca="false">X39*Ratio!X37</f>
        <v>0.48061053800829</v>
      </c>
      <c r="Y89" s="75" t="n">
        <f aca="false">Y39*Ratio!Y37</f>
        <v>0.41188024393354</v>
      </c>
      <c r="Z89" s="31" t="n">
        <f aca="false">Z39*Ratio!Z37</f>
        <v>0.411809851092693</v>
      </c>
      <c r="AA89" s="96" t="n">
        <f aca="false">AA39*Ratio!AA37</f>
        <v>0.393449051771874</v>
      </c>
      <c r="AB89" s="1" t="n">
        <f aca="false">AB39*Ratio!AB37</f>
        <v>0</v>
      </c>
      <c r="AC89" s="42" t="n">
        <f aca="false">AC39*Ratio!AC37</f>
        <v>0</v>
      </c>
      <c r="AD89" s="21" t="n">
        <f aca="false">AD39*Ratio!AD37</f>
        <v>0</v>
      </c>
      <c r="AE89" s="1" t="n">
        <f aca="false">AE39*Ratio!AE37</f>
        <v>0</v>
      </c>
      <c r="AF89" s="40" t="n">
        <f aca="false">AF39*Ratio!AF37</f>
        <v>0</v>
      </c>
      <c r="AG89" s="1" t="n">
        <f aca="false">AG39*Ratio!AG37</f>
        <v>0</v>
      </c>
      <c r="AH89" s="1" t="n">
        <f aca="false">AH39*Ratio!AH37</f>
        <v>0</v>
      </c>
      <c r="AI89" s="41" t="n">
        <f aca="false">AI39*Ratio!AI37</f>
        <v>0</v>
      </c>
      <c r="AJ89" s="21" t="n">
        <f aca="false">AJ39*Ratio!AJ37</f>
        <v>0</v>
      </c>
      <c r="AK89" s="1" t="n">
        <f aca="false">AK39*Ratio!AK37</f>
        <v>0</v>
      </c>
      <c r="AL89" s="40" t="n">
        <f aca="false">AL39*Ratio!AL37</f>
        <v>0</v>
      </c>
      <c r="AM89" s="1" t="n">
        <f aca="false">AM39*Ratio!AM37</f>
        <v>0</v>
      </c>
      <c r="AN89" s="42" t="n">
        <f aca="false">AN39*Ratio!AN37</f>
        <v>0</v>
      </c>
      <c r="AO89" s="21" t="n">
        <f aca="false">AO39*Ratio!AO37</f>
        <v>0</v>
      </c>
      <c r="AP89" s="1" t="n">
        <f aca="false">AP39*Ratio!AP37</f>
        <v>0</v>
      </c>
      <c r="AQ89" s="40" t="n">
        <f aca="false">AQ39*Ratio!AQ37</f>
        <v>0</v>
      </c>
    </row>
    <row r="90" customFormat="false" ht="12.8" hidden="false" customHeight="false" outlineLevel="0" collapsed="false">
      <c r="A90" s="139" t="s">
        <v>27</v>
      </c>
      <c r="B90" s="72" t="n">
        <f aca="false">B40*Ratio!B39</f>
        <v>0.974780024384541</v>
      </c>
      <c r="C90" s="72" t="n">
        <f aca="false">C40*Ratio!C39</f>
        <v>0.974780024384541</v>
      </c>
      <c r="D90" s="31" t="n">
        <f aca="false">D40*Ratio!D39</f>
        <v>0.974780024384541</v>
      </c>
      <c r="E90" s="96" t="n">
        <f aca="false">E40*Ratio!E39</f>
        <v>0.880851018318022</v>
      </c>
      <c r="F90" s="31" t="n">
        <f aca="false">F40*Ratio!F39</f>
        <v>0.806964372273061</v>
      </c>
      <c r="G90" s="96" t="n">
        <f aca="false">G40*Ratio!G39</f>
        <v>0.594990389553292</v>
      </c>
      <c r="H90" s="31" t="n">
        <f aca="false">H40*Ratio!H39</f>
        <v>0.594990389553292</v>
      </c>
      <c r="I90" s="74" t="n">
        <f aca="false">I40*Ratio!I39</f>
        <v>0.566547397747985</v>
      </c>
      <c r="J90" s="75" t="n">
        <f aca="false">J40*Ratio!J39</f>
        <v>0.598076799766294</v>
      </c>
      <c r="K90" s="31" t="n">
        <f aca="false">K40*Ratio!K39</f>
        <v>0.727556231988244</v>
      </c>
      <c r="L90" s="31" t="n">
        <f aca="false">L40*Ratio!L39</f>
        <v>0.727556231988244</v>
      </c>
      <c r="M90" s="96" t="n">
        <f aca="false">M40*Ratio!M39</f>
        <v>0.730857040618617</v>
      </c>
      <c r="N90" s="96" t="n">
        <f aca="false">N40*Ratio!N39</f>
        <v>0.666660267975166</v>
      </c>
      <c r="O90" s="31" t="n">
        <f aca="false">O40*Ratio!O39</f>
        <v>0.414078101411927</v>
      </c>
      <c r="P90" s="76" t="n">
        <f aca="false">P40*Ratio!P39</f>
        <v>0.332654219715263</v>
      </c>
      <c r="Q90" s="75" t="n">
        <f aca="false">Q40*Ratio!Q39</f>
        <v>0.338624205711867</v>
      </c>
      <c r="R90" s="31" t="n">
        <f aca="false">R40*Ratio!R39</f>
        <v>0.319564500418942</v>
      </c>
      <c r="S90" s="96" t="n">
        <f aca="false">S40*Ratio!S39</f>
        <v>0.351201676209736</v>
      </c>
      <c r="T90" s="31" t="n">
        <f aca="false">T40*Ratio!T39</f>
        <v>0.31553135987921</v>
      </c>
      <c r="U90" s="31" t="n">
        <f aca="false">U40*Ratio!U39</f>
        <v>1.52040598482534</v>
      </c>
      <c r="V90" s="96" t="n">
        <f aca="false">V40*Ratio!V39</f>
        <v>1.52583899136814</v>
      </c>
      <c r="W90" s="96" t="n">
        <f aca="false">W40*Ratio!W39</f>
        <v>1.52583899136814</v>
      </c>
      <c r="X90" s="74" t="n">
        <f aca="false">X40*Ratio!X39</f>
        <v>1.52583899136814</v>
      </c>
      <c r="Y90" s="75" t="n">
        <f aca="false">Y40*Ratio!Y39</f>
        <v>1.50625795346862</v>
      </c>
      <c r="Z90" s="31" t="n">
        <f aca="false">Z40*Ratio!Z39</f>
        <v>1.50904576738194</v>
      </c>
      <c r="AA90" s="96" t="n">
        <f aca="false">AA40*Ratio!AA39</f>
        <v>1.57012614139262</v>
      </c>
      <c r="AB90" s="1" t="n">
        <f aca="false">AB40*Ratio!AB39</f>
        <v>0</v>
      </c>
      <c r="AC90" s="42" t="n">
        <f aca="false">AC40*Ratio!AC39</f>
        <v>0</v>
      </c>
      <c r="AD90" s="21" t="n">
        <f aca="false">AD40*Ratio!AD39</f>
        <v>0</v>
      </c>
      <c r="AE90" s="1" t="n">
        <f aca="false">AE40*Ratio!AE39</f>
        <v>0</v>
      </c>
      <c r="AF90" s="40" t="n">
        <f aca="false">AF40*Ratio!AF39</f>
        <v>0</v>
      </c>
      <c r="AG90" s="1" t="n">
        <f aca="false">AG40*Ratio!AG39</f>
        <v>0</v>
      </c>
      <c r="AH90" s="1" t="n">
        <f aca="false">AH40*Ratio!AH39</f>
        <v>0</v>
      </c>
      <c r="AI90" s="41" t="n">
        <f aca="false">AI40*Ratio!AI39</f>
        <v>0</v>
      </c>
      <c r="AJ90" s="21" t="n">
        <f aca="false">AJ40*Ratio!AJ39</f>
        <v>0</v>
      </c>
      <c r="AK90" s="1" t="n">
        <f aca="false">AK40*Ratio!AK39</f>
        <v>0</v>
      </c>
      <c r="AL90" s="40" t="n">
        <f aca="false">AL40*Ratio!AL39</f>
        <v>0</v>
      </c>
      <c r="AM90" s="1" t="n">
        <f aca="false">AM40*Ratio!AM39</f>
        <v>0</v>
      </c>
      <c r="AN90" s="42" t="n">
        <f aca="false">AN40*Ratio!AN39</f>
        <v>0</v>
      </c>
      <c r="AO90" s="21" t="n">
        <f aca="false">AO40*Ratio!AO39</f>
        <v>0</v>
      </c>
      <c r="AP90" s="1" t="n">
        <f aca="false">AP40*Ratio!AP39</f>
        <v>0</v>
      </c>
      <c r="AQ90" s="40" t="n">
        <f aca="false">AQ40*Ratio!AQ39</f>
        <v>0</v>
      </c>
    </row>
    <row r="91" customFormat="false" ht="12.8" hidden="false" customHeight="false" outlineLevel="0" collapsed="false">
      <c r="A91" s="139" t="s">
        <v>184</v>
      </c>
      <c r="B91" s="72" t="n">
        <f aca="false">B41*Ratio!B41</f>
        <v>2.4984843612886</v>
      </c>
      <c r="C91" s="72" t="n">
        <f aca="false">C41*Ratio!C41</f>
        <v>2.49546484882152</v>
      </c>
      <c r="D91" s="31" t="n">
        <f aca="false">D41*Ratio!D41</f>
        <v>2.56319889471811</v>
      </c>
      <c r="E91" s="96" t="n">
        <f aca="false">E41*Ratio!E41</f>
        <v>2.47764009990137</v>
      </c>
      <c r="F91" s="31" t="n">
        <f aca="false">F41*Ratio!F41</f>
        <v>2.40634110422075</v>
      </c>
      <c r="G91" s="96" t="n">
        <f aca="false">G41*Ratio!G41</f>
        <v>7.44576921593452</v>
      </c>
      <c r="H91" s="31" t="n">
        <f aca="false">H41*Ratio!H41</f>
        <v>7.23443439692453</v>
      </c>
      <c r="I91" s="74" t="n">
        <f aca="false">I41*Ratio!I41</f>
        <v>7.38889144983059</v>
      </c>
      <c r="J91" s="75" t="n">
        <f aca="false">J41*Ratio!J41</f>
        <v>6.27552712128064</v>
      </c>
      <c r="K91" s="31" t="n">
        <f aca="false">K41*Ratio!K41</f>
        <v>5.54099418237347</v>
      </c>
      <c r="L91" s="31" t="n">
        <f aca="false">L41*Ratio!L41</f>
        <v>5.5387122329335</v>
      </c>
      <c r="M91" s="96" t="n">
        <f aca="false">M41*Ratio!M41</f>
        <v>5.5387122329335</v>
      </c>
      <c r="N91" s="96" t="n">
        <f aca="false">N41*Ratio!N41</f>
        <v>5.53981997538009</v>
      </c>
      <c r="O91" s="31" t="n">
        <f aca="false">O41*Ratio!O41</f>
        <v>6.40804665886146</v>
      </c>
      <c r="P91" s="76" t="n">
        <f aca="false">P41*Ratio!P41</f>
        <v>2.06451330800687</v>
      </c>
      <c r="Q91" s="75" t="n">
        <f aca="false">Q41*Ratio!Q41</f>
        <v>1.68606605163582</v>
      </c>
      <c r="R91" s="31" t="n">
        <f aca="false">R41*Ratio!R41</f>
        <v>1.33433927094207</v>
      </c>
      <c r="S91" s="96" t="n">
        <f aca="false">S41*Ratio!S41</f>
        <v>1.19964256220344</v>
      </c>
      <c r="T91" s="31" t="n">
        <f aca="false">T41*Ratio!T41</f>
        <v>1.31359845431174</v>
      </c>
      <c r="U91" s="31" t="n">
        <f aca="false">U41*Ratio!U41</f>
        <v>2.77995290827199</v>
      </c>
      <c r="V91" s="96" t="n">
        <f aca="false">V41*Ratio!V41</f>
        <v>2.94392969418137</v>
      </c>
      <c r="W91" s="96" t="n">
        <f aca="false">W41*Ratio!W41</f>
        <v>2.93399262614925</v>
      </c>
      <c r="X91" s="74" t="n">
        <f aca="false">X41*Ratio!X41</f>
        <v>2.93399262614925</v>
      </c>
      <c r="Y91" s="75" t="n">
        <f aca="false">Y41*Ratio!Y41</f>
        <v>2.92211846276132</v>
      </c>
      <c r="Z91" s="31" t="n">
        <f aca="false">Z41*Ratio!Z41</f>
        <v>3.12550915916974</v>
      </c>
      <c r="AA91" s="96" t="n">
        <f aca="false">AA41*Ratio!AA41</f>
        <v>3.13308221701473</v>
      </c>
      <c r="AB91" s="1" t="n">
        <f aca="false">AB41*Ratio!AB41</f>
        <v>0</v>
      </c>
      <c r="AC91" s="42" t="n">
        <f aca="false">AC41*Ratio!AC41</f>
        <v>0</v>
      </c>
      <c r="AD91" s="21" t="n">
        <f aca="false">AD41*Ratio!AD41</f>
        <v>0</v>
      </c>
      <c r="AE91" s="1" t="n">
        <f aca="false">AE41*Ratio!AE41</f>
        <v>0</v>
      </c>
      <c r="AF91" s="40" t="n">
        <f aca="false">AF41*Ratio!AF41</f>
        <v>0</v>
      </c>
      <c r="AG91" s="1" t="n">
        <f aca="false">AG41*Ratio!AG41</f>
        <v>0</v>
      </c>
      <c r="AH91" s="1" t="n">
        <f aca="false">AH41*Ratio!AH41</f>
        <v>0</v>
      </c>
      <c r="AI91" s="41" t="n">
        <f aca="false">AI41*Ratio!AI41</f>
        <v>0</v>
      </c>
      <c r="AJ91" s="21" t="n">
        <f aca="false">AJ41*Ratio!AJ41</f>
        <v>0</v>
      </c>
      <c r="AK91" s="1" t="n">
        <f aca="false">AK41*Ratio!AK41</f>
        <v>0</v>
      </c>
      <c r="AL91" s="40" t="n">
        <f aca="false">AL41*Ratio!AL41</f>
        <v>0</v>
      </c>
      <c r="AM91" s="1" t="n">
        <f aca="false">AM41*Ratio!AM41</f>
        <v>0</v>
      </c>
      <c r="AN91" s="42" t="n">
        <f aca="false">AN41*Ratio!AN41</f>
        <v>0</v>
      </c>
      <c r="AO91" s="21" t="n">
        <f aca="false">AO41*Ratio!AO41</f>
        <v>0</v>
      </c>
      <c r="AP91" s="1" t="n">
        <f aca="false">AP41*Ratio!AP41</f>
        <v>0</v>
      </c>
      <c r="AQ91" s="40" t="n">
        <f aca="false">AQ41*Ratio!AQ41</f>
        <v>0</v>
      </c>
    </row>
    <row r="92" customFormat="false" ht="12.8" hidden="false" customHeight="false" outlineLevel="0" collapsed="false">
      <c r="A92" s="139" t="s">
        <v>229</v>
      </c>
      <c r="B92" s="72" t="n">
        <f aca="false">B42*Ratio!B42</f>
        <v>0.246780565492231</v>
      </c>
      <c r="C92" s="72" t="n">
        <f aca="false">C42*Ratio!C42</f>
        <v>0.235467762307903</v>
      </c>
      <c r="D92" s="31" t="n">
        <f aca="false">D42*Ratio!D42</f>
        <v>0.235467762307903</v>
      </c>
      <c r="E92" s="96" t="n">
        <f aca="false">E42*Ratio!E42</f>
        <v>0.244960476247723</v>
      </c>
      <c r="F92" s="31" t="n">
        <f aca="false">F42*Ratio!F42</f>
        <v>0.1911893075821</v>
      </c>
      <c r="G92" s="96" t="n">
        <f aca="false">G42*Ratio!G42</f>
        <v>0.221100559970333</v>
      </c>
      <c r="H92" s="31" t="n">
        <f aca="false">H42*Ratio!H42</f>
        <v>0.210108657195911</v>
      </c>
      <c r="I92" s="74" t="n">
        <f aca="false">I42*Ratio!I42</f>
        <v>0.199986288155823</v>
      </c>
      <c r="J92" s="75" t="n">
        <f aca="false">J42*Ratio!J42</f>
        <v>0.180919339127179</v>
      </c>
      <c r="K92" s="31" t="n">
        <f aca="false">K42*Ratio!K42</f>
        <v>0.169247123699619</v>
      </c>
      <c r="L92" s="31" t="n">
        <f aca="false">L42*Ratio!L42</f>
        <v>0.165356385223766</v>
      </c>
      <c r="M92" s="96" t="n">
        <f aca="false">M42*Ratio!M42</f>
        <v>0.165356385223766</v>
      </c>
      <c r="N92" s="96" t="n">
        <f aca="false">N42*Ratio!N42</f>
        <v>0.155629539034133</v>
      </c>
      <c r="O92" s="31" t="n">
        <f aca="false">O42*Ratio!O42</f>
        <v>0.10519066035107</v>
      </c>
      <c r="P92" s="76" t="n">
        <f aca="false">P42*Ratio!P42</f>
        <v>0.185080948957017</v>
      </c>
      <c r="Q92" s="236" t="n">
        <f aca="false">Q42*Ratio!Q49</f>
        <v>0.0942832695903005</v>
      </c>
      <c r="R92" s="31" t="n">
        <f aca="false">R42*Ratio!R49</f>
        <v>0.104720388734247</v>
      </c>
      <c r="S92" s="96" t="n">
        <f aca="false">S42*Ratio!S49</f>
        <v>0.104720388734247</v>
      </c>
      <c r="T92" s="31" t="n">
        <f aca="false">T42*Ratio!T49</f>
        <v>0.124176546649367</v>
      </c>
      <c r="U92" s="31" t="n">
        <f aca="false">U42*Ratio!U49</f>
        <v>0.535058205456147</v>
      </c>
      <c r="V92" s="96" t="n">
        <f aca="false">V42*Ratio!V49</f>
        <v>0.527467396095463</v>
      </c>
      <c r="W92" s="96" t="n">
        <f aca="false">W42*Ratio!W49</f>
        <v>0.527467396095463</v>
      </c>
      <c r="X92" s="74" t="n">
        <f aca="false">X42*Ratio!X49</f>
        <v>0.578915435411569</v>
      </c>
      <c r="Y92" s="75" t="n">
        <f aca="false">Y42*Ratio!Y49</f>
        <v>0.543829651447232</v>
      </c>
      <c r="Z92" s="31" t="n">
        <f aca="false">Z42*Ratio!Z49</f>
        <v>0.526286759465063</v>
      </c>
      <c r="AA92" s="96" t="n">
        <f aca="false">AA42*Ratio!AA49</f>
        <v>0.526286759465063</v>
      </c>
      <c r="AB92" s="1" t="n">
        <f aca="false">AB42*Ratio!AB49</f>
        <v>0</v>
      </c>
      <c r="AC92" s="42" t="n">
        <f aca="false">AC42*Ratio!AC49</f>
        <v>0</v>
      </c>
      <c r="AD92" s="21" t="n">
        <f aca="false">AD42*Ratio!AD49</f>
        <v>0</v>
      </c>
      <c r="AE92" s="1" t="n">
        <f aca="false">AE42*Ratio!AE49</f>
        <v>0</v>
      </c>
      <c r="AF92" s="40" t="n">
        <f aca="false">AF42*Ratio!AF49</f>
        <v>0</v>
      </c>
      <c r="AG92" s="1" t="n">
        <f aca="false">AG42*Ratio!AG49</f>
        <v>0</v>
      </c>
      <c r="AH92" s="1" t="n">
        <f aca="false">AH42*Ratio!AH49</f>
        <v>0</v>
      </c>
      <c r="AI92" s="41" t="n">
        <f aca="false">AI42*Ratio!AI49</f>
        <v>0</v>
      </c>
      <c r="AJ92" s="21" t="n">
        <f aca="false">AJ42*Ratio!AJ49</f>
        <v>0</v>
      </c>
      <c r="AK92" s="1" t="n">
        <f aca="false">AK42*Ratio!AK49</f>
        <v>0</v>
      </c>
      <c r="AL92" s="40" t="n">
        <f aca="false">AL42*Ratio!AL49</f>
        <v>0</v>
      </c>
      <c r="AM92" s="1" t="n">
        <f aca="false">AM42*Ratio!AM49</f>
        <v>0</v>
      </c>
      <c r="AN92" s="42" t="n">
        <f aca="false">AN42*Ratio!AN49</f>
        <v>0</v>
      </c>
      <c r="AO92" s="21" t="n">
        <f aca="false">AO42*Ratio!AO49</f>
        <v>0</v>
      </c>
      <c r="AP92" s="1" t="n">
        <f aca="false">AP42*Ratio!AP49</f>
        <v>0</v>
      </c>
      <c r="AQ92" s="40" t="n">
        <f aca="false">AQ42*Ratio!AQ49</f>
        <v>0</v>
      </c>
    </row>
    <row r="93" customFormat="false" ht="12.8" hidden="false" customHeight="false" outlineLevel="0" collapsed="false">
      <c r="A93" s="139" t="s">
        <v>186</v>
      </c>
      <c r="B93" s="72" t="n">
        <f aca="false">B43*Ratio!B44</f>
        <v>1.82180059936179</v>
      </c>
      <c r="C93" s="72" t="n">
        <f aca="false">C43*Ratio!C44</f>
        <v>1.71896472673354</v>
      </c>
      <c r="D93" s="31" t="n">
        <f aca="false">D43*Ratio!D44</f>
        <v>1.6690080239751</v>
      </c>
      <c r="E93" s="96" t="n">
        <f aca="false">E43*Ratio!E44</f>
        <v>1.81660737303413</v>
      </c>
      <c r="F93" s="31" t="n">
        <f aca="false">F43*Ratio!F44</f>
        <v>1.47644764243349</v>
      </c>
      <c r="G93" s="96" t="n">
        <f aca="false">G43*Ratio!G44</f>
        <v>1.26174454354225</v>
      </c>
      <c r="H93" s="31" t="n">
        <f aca="false">H43*Ratio!H44</f>
        <v>3.5452406390874</v>
      </c>
      <c r="I93" s="74" t="n">
        <f aca="false">I43*Ratio!I44</f>
        <v>3.44198120299747</v>
      </c>
      <c r="J93" s="75" t="n">
        <f aca="false">J43*Ratio!J44</f>
        <v>3.1116731612256</v>
      </c>
      <c r="K93" s="31" t="n">
        <f aca="false">K43*Ratio!K44</f>
        <v>2.86782944488045</v>
      </c>
      <c r="L93" s="31" t="n">
        <f aca="false">L43*Ratio!L44</f>
        <v>2.86782944488045</v>
      </c>
      <c r="M93" s="96" t="n">
        <f aca="false">M43*Ratio!M44</f>
        <v>2.86782944488045</v>
      </c>
      <c r="N93" s="96" t="n">
        <f aca="false">N43*Ratio!N44</f>
        <v>2.8352404739159</v>
      </c>
      <c r="O93" s="31" t="n">
        <f aca="false">O43*Ratio!O44</f>
        <v>2.90684832966677</v>
      </c>
      <c r="P93" s="76" t="n">
        <f aca="false">P43*Ratio!P44</f>
        <v>4.19161657755517</v>
      </c>
      <c r="Q93" s="75" t="n">
        <f aca="false">Q43*Ratio!Q44</f>
        <v>3.99914438776947</v>
      </c>
      <c r="R93" s="31" t="n">
        <f aca="false">R43*Ratio!R44</f>
        <v>3.99914438776947</v>
      </c>
      <c r="S93" s="96" t="n">
        <f aca="false">S43*Ratio!S44</f>
        <v>3.99193683890697</v>
      </c>
      <c r="T93" s="31" t="n">
        <f aca="false">T43*Ratio!T44</f>
        <v>4.09678495387625</v>
      </c>
      <c r="U93" s="31" t="n">
        <f aca="false">U43*Ratio!U44</f>
        <v>-2.56839204851537</v>
      </c>
      <c r="V93" s="96" t="n">
        <f aca="false">V43*Ratio!V44</f>
        <v>-2.62422665826571</v>
      </c>
      <c r="W93" s="96" t="n">
        <f aca="false">W43*Ratio!W44</f>
        <v>-2.62422665826571</v>
      </c>
      <c r="X93" s="74" t="n">
        <f aca="false">X43*Ratio!X44</f>
        <v>-2.62422665826571</v>
      </c>
      <c r="Y93" s="75" t="n">
        <f aca="false">Y43*Ratio!Y44</f>
        <v>-2.70178182558482</v>
      </c>
      <c r="Z93" s="31" t="n">
        <f aca="false">Z43*Ratio!Z44</f>
        <v>-2.61822156293787</v>
      </c>
      <c r="AA93" s="96" t="n">
        <f aca="false">AA43*Ratio!AA44</f>
        <v>-2.78478501981413</v>
      </c>
      <c r="AB93" s="1" t="n">
        <f aca="false">AB43*Ratio!AB44</f>
        <v>-0</v>
      </c>
      <c r="AC93" s="42" t="n">
        <f aca="false">AC43*Ratio!AC44</f>
        <v>0</v>
      </c>
      <c r="AD93" s="21" t="n">
        <f aca="false">AD43*Ratio!AD44</f>
        <v>0</v>
      </c>
      <c r="AE93" s="1" t="n">
        <f aca="false">AE43*Ratio!AE44</f>
        <v>0</v>
      </c>
      <c r="AF93" s="40" t="n">
        <f aca="false">AF43*Ratio!AF44</f>
        <v>0</v>
      </c>
      <c r="AG93" s="1" t="n">
        <f aca="false">AG43*Ratio!AG44</f>
        <v>0</v>
      </c>
      <c r="AH93" s="1" t="n">
        <f aca="false">AH43*Ratio!AH44</f>
        <v>0</v>
      </c>
      <c r="AI93" s="41" t="n">
        <f aca="false">AI43*Ratio!AI44</f>
        <v>0</v>
      </c>
      <c r="AJ93" s="21" t="n">
        <f aca="false">AJ43*Ratio!AJ44</f>
        <v>0</v>
      </c>
      <c r="AK93" s="1" t="n">
        <f aca="false">AK43*Ratio!AK44</f>
        <v>0</v>
      </c>
      <c r="AL93" s="40" t="n">
        <f aca="false">AL43*Ratio!AL44</f>
        <v>0</v>
      </c>
      <c r="AM93" s="1" t="n">
        <f aca="false">AM43*Ratio!AM44</f>
        <v>0</v>
      </c>
      <c r="AN93" s="42" t="n">
        <f aca="false">AN43*Ratio!AN44</f>
        <v>0</v>
      </c>
      <c r="AO93" s="21" t="n">
        <f aca="false">AO43*Ratio!AO44</f>
        <v>0</v>
      </c>
      <c r="AP93" s="1" t="n">
        <f aca="false">AP43*Ratio!AP44</f>
        <v>0</v>
      </c>
      <c r="AQ93" s="40" t="n">
        <f aca="false">AQ43*Ratio!AQ44</f>
        <v>0</v>
      </c>
    </row>
    <row r="94" customFormat="false" ht="12.8" hidden="false" customHeight="false" outlineLevel="0" collapsed="false">
      <c r="A94" s="139" t="s">
        <v>189</v>
      </c>
      <c r="B94" s="72" t="n">
        <f aca="false">B44*Ratio!B47</f>
        <v>0.397583746439115</v>
      </c>
      <c r="C94" s="72" t="n">
        <f aca="false">C44*Ratio!C47</f>
        <v>0.410091538359066</v>
      </c>
      <c r="D94" s="31" t="n">
        <f aca="false">D44*Ratio!D47</f>
        <v>0.417609883228982</v>
      </c>
      <c r="E94" s="96" t="n">
        <f aca="false">E44*Ratio!E47</f>
        <v>0.35313438025364</v>
      </c>
      <c r="F94" s="31" t="n">
        <f aca="false">F44*Ratio!F47</f>
        <v>0.333199374916741</v>
      </c>
      <c r="G94" s="96" t="n">
        <f aca="false">G44*Ratio!G47</f>
        <v>0.375399451149398</v>
      </c>
      <c r="H94" s="31" t="n">
        <f aca="false">H44*Ratio!H47</f>
        <v>0.37669393201543</v>
      </c>
      <c r="I94" s="74" t="n">
        <f aca="false">I44*Ratio!I47</f>
        <v>0.648523525466803</v>
      </c>
      <c r="J94" s="75" t="n">
        <f aca="false">J44*Ratio!J47</f>
        <v>0.612196063205205</v>
      </c>
      <c r="K94" s="31" t="n">
        <f aca="false">K44*Ratio!K47</f>
        <v>0.527767893026484</v>
      </c>
      <c r="L94" s="31" t="n">
        <f aca="false">L44*Ratio!L47</f>
        <v>0.527818557528267</v>
      </c>
      <c r="M94" s="96" t="n">
        <f aca="false">M44*Ratio!M47</f>
        <v>0.527755226901039</v>
      </c>
      <c r="N94" s="96" t="n">
        <f aca="false">N44*Ratio!N47</f>
        <v>0.527734116691963</v>
      </c>
      <c r="O94" s="31" t="n">
        <f aca="false">O44*Ratio!O47</f>
        <v>0.521742920005177</v>
      </c>
      <c r="P94" s="76" t="n">
        <f aca="false">P44*Ratio!P47</f>
        <v>0.564351228924735</v>
      </c>
      <c r="Q94" s="75" t="n">
        <f aca="false">Q44*Ratio!Q47</f>
        <v>0.623313277814523</v>
      </c>
      <c r="R94" s="31" t="n">
        <f aca="false">R44*Ratio!R47</f>
        <v>0.634813522792651</v>
      </c>
      <c r="S94" s="96" t="n">
        <f aca="false">S44*Ratio!S47</f>
        <v>0.625613326810149</v>
      </c>
      <c r="T94" s="31" t="n">
        <f aca="false">T44*Ratio!T47</f>
        <v>0.685359664127925</v>
      </c>
      <c r="U94" s="31" t="n">
        <f aca="false">U44*Ratio!U47</f>
        <v>0.670535522680464</v>
      </c>
      <c r="V94" s="96" t="n">
        <f aca="false">V44*Ratio!V47</f>
        <v>0.330850165055009</v>
      </c>
      <c r="W94" s="96" t="n">
        <f aca="false">W44*Ratio!W47</f>
        <v>0.311014112318942</v>
      </c>
      <c r="X94" s="74" t="n">
        <f aca="false">X44*Ratio!X47</f>
        <v>0.311014112318942</v>
      </c>
      <c r="Y94" s="75" t="n">
        <f aca="false">Y44*Ratio!Y47</f>
        <v>0.402534224733856</v>
      </c>
      <c r="Z94" s="31" t="n">
        <f aca="false">Z44*Ratio!Z47</f>
        <v>0.39690437543688</v>
      </c>
      <c r="AA94" s="96" t="n">
        <f aca="false">AA44*Ratio!AA47</f>
        <v>0.40761234879973</v>
      </c>
      <c r="AB94" s="1" t="n">
        <f aca="false">AB44*Ratio!AB47</f>
        <v>0</v>
      </c>
      <c r="AC94" s="42" t="n">
        <f aca="false">AC44*Ratio!AC47</f>
        <v>0</v>
      </c>
      <c r="AD94" s="21" t="n">
        <f aca="false">AD44*Ratio!AD47</f>
        <v>0</v>
      </c>
      <c r="AE94" s="1" t="n">
        <f aca="false">AE44*Ratio!AE47</f>
        <v>0</v>
      </c>
      <c r="AF94" s="40" t="n">
        <f aca="false">AF44*Ratio!AF47</f>
        <v>0</v>
      </c>
      <c r="AG94" s="1" t="n">
        <f aca="false">AG44*Ratio!AG47</f>
        <v>0</v>
      </c>
      <c r="AH94" s="1" t="n">
        <f aca="false">AH44*Ratio!AH47</f>
        <v>0</v>
      </c>
      <c r="AI94" s="41" t="n">
        <f aca="false">AI44*Ratio!AI47</f>
        <v>0</v>
      </c>
      <c r="AJ94" s="21" t="n">
        <f aca="false">AJ44*Ratio!AJ47</f>
        <v>0</v>
      </c>
      <c r="AK94" s="1" t="n">
        <f aca="false">AK44*Ratio!AK47</f>
        <v>0</v>
      </c>
      <c r="AL94" s="40" t="n">
        <f aca="false">AL44*Ratio!AL47</f>
        <v>0</v>
      </c>
      <c r="AM94" s="1" t="n">
        <f aca="false">AM44*Ratio!AM47</f>
        <v>0</v>
      </c>
      <c r="AN94" s="42" t="n">
        <f aca="false">AN44*Ratio!AN47</f>
        <v>0</v>
      </c>
      <c r="AO94" s="21" t="n">
        <f aca="false">AO44*Ratio!AO47</f>
        <v>0</v>
      </c>
      <c r="AP94" s="1" t="n">
        <f aca="false">AP44*Ratio!AP47</f>
        <v>0</v>
      </c>
      <c r="AQ94" s="40" t="n">
        <f aca="false">AQ44*Ratio!AQ47</f>
        <v>0</v>
      </c>
    </row>
    <row r="96" customFormat="false" ht="12.8" hidden="false" customHeight="false" outlineLevel="0" collapsed="false">
      <c r="A96" s="27" t="s">
        <v>102</v>
      </c>
      <c r="B96" s="234" t="s">
        <v>259</v>
      </c>
      <c r="C96" s="234"/>
      <c r="D96" s="234"/>
      <c r="E96" s="234"/>
      <c r="F96" s="234"/>
      <c r="G96" s="234"/>
      <c r="H96" s="234"/>
      <c r="I96" s="234"/>
    </row>
    <row r="97" customFormat="false" ht="12.8" hidden="false" customHeight="false" outlineLevel="0" collapsed="false">
      <c r="A97" s="139" t="s">
        <v>257</v>
      </c>
      <c r="B97" s="230"/>
    </row>
    <row r="98" customFormat="false" ht="12.8" hidden="false" customHeight="false" outlineLevel="0" collapsed="false">
      <c r="A98" s="139" t="s">
        <v>24</v>
      </c>
      <c r="B98" s="72" t="n">
        <f aca="false">B22*Ratio!B63</f>
        <v>0.859122033162515</v>
      </c>
      <c r="C98" s="72" t="n">
        <f aca="false">C22*Ratio!C63</f>
        <v>0.848890297306403</v>
      </c>
      <c r="D98" s="31" t="n">
        <f aca="false">D22*Ratio!D63</f>
        <v>0.89330278398115</v>
      </c>
      <c r="E98" s="96" t="n">
        <f aca="false">E22*Ratio!E63</f>
        <v>0.870105101544337</v>
      </c>
      <c r="F98" s="31" t="n">
        <f aca="false">F22*Ratio!F63</f>
        <v>0.780335579200702</v>
      </c>
      <c r="G98" s="96" t="n">
        <f aca="false">G22*Ratio!G63</f>
        <v>0.566136572305668</v>
      </c>
      <c r="H98" s="31" t="n">
        <f aca="false">H22*Ratio!H63</f>
        <v>0.564916652019192</v>
      </c>
      <c r="I98" s="74" t="n">
        <f aca="false">I22*Ratio!I63</f>
        <v>0.543859941968653</v>
      </c>
      <c r="J98" s="75" t="n">
        <f aca="false">J22*Ratio!J63</f>
        <v>0.438647830108185</v>
      </c>
      <c r="K98" s="31" t="n">
        <f aca="false">K22*Ratio!K63</f>
        <v>0.368764993640764</v>
      </c>
      <c r="L98" s="31" t="n">
        <f aca="false">L22*Ratio!L63</f>
        <v>0.350162782223764</v>
      </c>
      <c r="M98" s="96" t="n">
        <f aca="false">M22*Ratio!M63</f>
        <v>0.34758508050991</v>
      </c>
      <c r="N98" s="96" t="n">
        <f aca="false">N22*Ratio!N63</f>
        <v>0.342578736387816</v>
      </c>
      <c r="O98" s="31" t="n">
        <f aca="false">O22*Ratio!O63</f>
        <v>0.31496223246018</v>
      </c>
      <c r="P98" s="76" t="n">
        <f aca="false">P22*Ratio!P63</f>
        <v>0.348658710551671</v>
      </c>
      <c r="Q98" s="75" t="n">
        <f aca="false">Q22*Ratio!Q63</f>
        <v>0.348683077350793</v>
      </c>
      <c r="R98" s="31" t="n">
        <f aca="false">R22*Ratio!R63</f>
        <v>0.324187033952773</v>
      </c>
      <c r="S98" s="96" t="n">
        <f aca="false">S22*Ratio!S63</f>
        <v>0.327256092896921</v>
      </c>
      <c r="T98" s="31" t="n">
        <f aca="false">T22*Ratio!T63</f>
        <v>0.341830167140317</v>
      </c>
      <c r="U98" s="31" t="n">
        <f aca="false">U22*Ratio!U63</f>
        <v>0.379068858502218</v>
      </c>
      <c r="V98" s="96" t="n">
        <f aca="false">V22*Ratio!V63</f>
        <v>0.381094726158204</v>
      </c>
      <c r="W98" s="96" t="n">
        <f aca="false">W22*Ratio!W63</f>
        <v>0.337984782038797</v>
      </c>
      <c r="X98" s="74" t="n">
        <f aca="false">X22*Ratio!X63</f>
        <v>0.384074183377484</v>
      </c>
      <c r="Y98" s="75" t="n">
        <f aca="false">Y22*Ratio!Y63</f>
        <v>0.351532956625278</v>
      </c>
      <c r="Z98" s="31" t="n">
        <f aca="false">Z22*Ratio!Z63</f>
        <v>0.288187377675279</v>
      </c>
      <c r="AA98" s="96" t="n">
        <f aca="false">AA22*Ratio!AA63</f>
        <v>0.299764217206227</v>
      </c>
      <c r="AB98" s="31" t="n">
        <f aca="false">AB22*Ratio!AB63</f>
        <v>0.229460248023992</v>
      </c>
      <c r="AC98" s="76" t="n">
        <f aca="false">AC22*Ratio!AC63</f>
        <v>0.203417462765702</v>
      </c>
      <c r="AD98" s="75" t="n">
        <f aca="false">AD22*Ratio!AD63</f>
        <v>0.189596304669302</v>
      </c>
      <c r="AE98" s="31" t="n">
        <f aca="false">AE22*Ratio!AE63</f>
        <v>0.17461786219502</v>
      </c>
      <c r="AF98" s="96" t="n">
        <f aca="false">AF22*Ratio!AF63</f>
        <v>0.180980549440754</v>
      </c>
      <c r="AG98" s="31" t="n">
        <f aca="false">AG22*Ratio!AG63</f>
        <v>0.13187134368869</v>
      </c>
      <c r="AH98" s="31" t="n">
        <f aca="false">AH22*Ratio!AH63</f>
        <v>0.184041888848739</v>
      </c>
      <c r="AI98" s="74" t="n">
        <f aca="false">AI22*Ratio!AI63</f>
        <v>0.239556335895534</v>
      </c>
      <c r="AJ98" s="75" t="n">
        <f aca="false">AJ22*Ratio!AJ63</f>
        <v>0.179203610018912</v>
      </c>
      <c r="AK98" s="31" t="n">
        <f aca="false">AK22*Ratio!AK63</f>
        <v>0.136442248090287</v>
      </c>
      <c r="AL98" s="96" t="n">
        <f aca="false">AL22*Ratio!AL63</f>
        <v>0.133006963775632</v>
      </c>
      <c r="AM98" s="31" t="n">
        <f aca="false">AM22*Ratio!AM63</f>
        <v>0.134385873512445</v>
      </c>
      <c r="AN98" s="76" t="n">
        <f aca="false">AN22*Ratio!AN63</f>
        <v>0.157667176394061</v>
      </c>
      <c r="AO98" s="75" t="n">
        <f aca="false">AO22*Ratio!AO63</f>
        <v>0.130553555614084</v>
      </c>
      <c r="AP98" s="31" t="n">
        <f aca="false">AP22*Ratio!AP63</f>
        <v>0.141216436550276</v>
      </c>
      <c r="AQ98" s="96" t="n">
        <f aca="false">AQ22*Ratio!AQ63</f>
        <v>0.138691217937215</v>
      </c>
    </row>
    <row r="99" customFormat="false" ht="12.8" hidden="false" customHeight="false" outlineLevel="0" collapsed="false">
      <c r="A99" s="139" t="s">
        <v>180</v>
      </c>
      <c r="B99" s="72" t="n">
        <f aca="false">B23*Ratio!B64</f>
        <v>0.445247612351394</v>
      </c>
      <c r="C99" s="72" t="n">
        <f aca="false">C23*Ratio!C64</f>
        <v>0.466146689431932</v>
      </c>
      <c r="D99" s="31" t="n">
        <f aca="false">D23*Ratio!D64</f>
        <v>0.470771484907234</v>
      </c>
      <c r="E99" s="96" t="n">
        <f aca="false">E23*Ratio!E64</f>
        <v>0.495691129635134</v>
      </c>
      <c r="F99" s="31" t="n">
        <f aca="false">F23*Ratio!F64</f>
        <v>0.522600341812799</v>
      </c>
      <c r="G99" s="96" t="n">
        <f aca="false">G23*Ratio!G64</f>
        <v>0.570310830529296</v>
      </c>
      <c r="H99" s="31" t="n">
        <f aca="false">H23*Ratio!H64</f>
        <v>0.572735373896141</v>
      </c>
      <c r="I99" s="74" t="n">
        <f aca="false">I23*Ratio!I64</f>
        <v>0.606664943561563</v>
      </c>
      <c r="J99" s="75" t="n">
        <f aca="false">J23*Ratio!J64</f>
        <v>0.563606361438829</v>
      </c>
      <c r="K99" s="31" t="n">
        <f aca="false">K23*Ratio!K64</f>
        <v>0.652427212294932</v>
      </c>
      <c r="L99" s="31" t="n">
        <f aca="false">L23*Ratio!L64</f>
        <v>0.633984271545665</v>
      </c>
      <c r="M99" s="96" t="n">
        <f aca="false">M23*Ratio!M64</f>
        <v>0.634456287384537</v>
      </c>
      <c r="N99" s="96" t="n">
        <f aca="false">N23*Ratio!N64</f>
        <v>0.635181131075109</v>
      </c>
      <c r="O99" s="31" t="n">
        <f aca="false">O23*Ratio!O64</f>
        <v>0.656259279306493</v>
      </c>
      <c r="P99" s="76" t="n">
        <f aca="false">P23*Ratio!P64</f>
        <v>0.591775405460876</v>
      </c>
      <c r="Q99" s="75" t="n">
        <f aca="false">Q23*Ratio!Q64</f>
        <v>0.561280949415514</v>
      </c>
      <c r="R99" s="31" t="n">
        <f aca="false">R23*Ratio!R64</f>
        <v>0.532399598458672</v>
      </c>
      <c r="S99" s="96" t="n">
        <f aca="false">S23*Ratio!S64</f>
        <v>0.563379568018238</v>
      </c>
      <c r="T99" s="31" t="n">
        <f aca="false">T23*Ratio!T64</f>
        <v>0.573347541678229</v>
      </c>
      <c r="U99" s="31" t="n">
        <f aca="false">U23*Ratio!U64</f>
        <v>0.521083381339152</v>
      </c>
      <c r="V99" s="96" t="n">
        <f aca="false">V23*Ratio!V64</f>
        <v>0.534260808091683</v>
      </c>
      <c r="W99" s="96" t="n">
        <f aca="false">W23*Ratio!W64</f>
        <v>0.532087319800284</v>
      </c>
      <c r="X99" s="74" t="n">
        <f aca="false">X23*Ratio!X64</f>
        <v>0.532226578902069</v>
      </c>
      <c r="Y99" s="75" t="n">
        <f aca="false">Y23*Ratio!Y64</f>
        <v>0.488552751046192</v>
      </c>
      <c r="Z99" s="31" t="n">
        <f aca="false">Z23*Ratio!Z64</f>
        <v>0.496968848066793</v>
      </c>
      <c r="AA99" s="96" t="n">
        <f aca="false">AA23*Ratio!AA64</f>
        <v>0.532848358759058</v>
      </c>
      <c r="AB99" s="31" t="n">
        <f aca="false">AB23*Ratio!AB64</f>
        <v>0.578876620996825</v>
      </c>
      <c r="AC99" s="76" t="n">
        <f aca="false">AC23*Ratio!AC64</f>
        <v>0.561836998001025</v>
      </c>
      <c r="AD99" s="75" t="n">
        <f aca="false">AD23*Ratio!AD64</f>
        <v>0.542199187688407</v>
      </c>
      <c r="AE99" s="31" t="n">
        <f aca="false">AE23*Ratio!AE64</f>
        <v>0.57132518036217</v>
      </c>
      <c r="AF99" s="96" t="n">
        <f aca="false">AF23*Ratio!AF64</f>
        <v>0.569465187459455</v>
      </c>
      <c r="AG99" s="31" t="n">
        <f aca="false">AG23*Ratio!AG64</f>
        <v>0.595585662059764</v>
      </c>
      <c r="AH99" s="31" t="n">
        <f aca="false">AH23*Ratio!AH64</f>
        <v>0.504838218485674</v>
      </c>
      <c r="AI99" s="74" t="n">
        <f aca="false">AI23*Ratio!AI64</f>
        <v>0.540404054132355</v>
      </c>
      <c r="AJ99" s="75" t="n">
        <f aca="false">AJ23*Ratio!AJ64</f>
        <v>0.572487339434088</v>
      </c>
      <c r="AK99" s="31" t="n">
        <f aca="false">AK23*Ratio!AK64</f>
        <v>0.562717099641155</v>
      </c>
      <c r="AL99" s="96" t="n">
        <f aca="false">AL23*Ratio!AL64</f>
        <v>0.546327281205005</v>
      </c>
      <c r="AM99" s="31" t="n">
        <f aca="false">AM23*Ratio!AM64</f>
        <v>0.566553152752946</v>
      </c>
      <c r="AN99" s="76" t="n">
        <f aca="false">AN23*Ratio!AN64</f>
        <v>0.558340442959913</v>
      </c>
      <c r="AO99" s="75" t="n">
        <f aca="false">AO23*Ratio!AO64</f>
        <v>0.569992737071927</v>
      </c>
      <c r="AP99" s="31" t="n">
        <f aca="false">AP23*Ratio!AP64</f>
        <v>0.560824118698906</v>
      </c>
      <c r="AQ99" s="96" t="n">
        <f aca="false">AQ23*Ratio!AQ64</f>
        <v>0.565353163536691</v>
      </c>
    </row>
    <row r="100" customFormat="false" ht="12.8" hidden="false" customHeight="false" outlineLevel="0" collapsed="false">
      <c r="A100" s="139" t="s">
        <v>181</v>
      </c>
      <c r="B100" s="72" t="n">
        <f aca="false">B24*Ratio!B65</f>
        <v>0.329060384816196</v>
      </c>
      <c r="C100" s="72" t="n">
        <f aca="false">C24*Ratio!C65</f>
        <v>0.321466689441918</v>
      </c>
      <c r="D100" s="31" t="n">
        <f aca="false">D24*Ratio!D65</f>
        <v>0.328189132194418</v>
      </c>
      <c r="E100" s="96" t="n">
        <f aca="false">E24*Ratio!E65</f>
        <v>0.316954007863095</v>
      </c>
      <c r="F100" s="31" t="n">
        <f aca="false">F24*Ratio!F65</f>
        <v>0.291179270719352</v>
      </c>
      <c r="G100" s="96" t="n">
        <f aca="false">G24*Ratio!G65</f>
        <v>0.315318026418076</v>
      </c>
      <c r="H100" s="31" t="n">
        <f aca="false">H24*Ratio!H65</f>
        <v>0.335768445171115</v>
      </c>
      <c r="I100" s="74" t="n">
        <f aca="false">I24*Ratio!I65</f>
        <v>0.297640636281019</v>
      </c>
      <c r="J100" s="75" t="n">
        <f aca="false">J24*Ratio!J65</f>
        <v>0.261740583516296</v>
      </c>
      <c r="K100" s="31" t="n">
        <f aca="false">K24*Ratio!K65</f>
        <v>0.250623900006348</v>
      </c>
      <c r="L100" s="31" t="n">
        <f aca="false">L24*Ratio!L65</f>
        <v>0.25076049923529</v>
      </c>
      <c r="M100" s="96" t="n">
        <f aca="false">M24*Ratio!M65</f>
        <v>0.250712429907657</v>
      </c>
      <c r="N100" s="96" t="n">
        <f aca="false">N24*Ratio!N65</f>
        <v>0.249011110196</v>
      </c>
      <c r="O100" s="31" t="n">
        <f aca="false">O24*Ratio!O65</f>
        <v>0.24157197455692</v>
      </c>
      <c r="P100" s="76" t="n">
        <f aca="false">P24*Ratio!P65</f>
        <v>0.269398107674711</v>
      </c>
      <c r="Q100" s="75" t="n">
        <f aca="false">Q24*Ratio!Q65</f>
        <v>0.242725734842843</v>
      </c>
      <c r="R100" s="31" t="n">
        <f aca="false">R24*Ratio!R65</f>
        <v>0.224723014132709</v>
      </c>
      <c r="S100" s="96" t="n">
        <f aca="false">S24*Ratio!S65</f>
        <v>0.24827451061232</v>
      </c>
      <c r="T100" s="31" t="n">
        <f aca="false">T24*Ratio!T65</f>
        <v>0.244213372589437</v>
      </c>
      <c r="U100" s="31" t="n">
        <f aca="false">U24*Ratio!U65</f>
        <v>0.29644122047191</v>
      </c>
      <c r="V100" s="96" t="n">
        <f aca="false">V24*Ratio!V65</f>
        <v>0.293494336023522</v>
      </c>
      <c r="W100" s="96" t="n">
        <f aca="false">W24*Ratio!W65</f>
        <v>0.273969433018896</v>
      </c>
      <c r="X100" s="74" t="n">
        <f aca="false">X24*Ratio!X65</f>
        <v>0.301063943454616</v>
      </c>
      <c r="Y100" s="75" t="n">
        <f aca="false">Y24*Ratio!Y65</f>
        <v>0.320966455377728</v>
      </c>
      <c r="Z100" s="31" t="n">
        <f aca="false">Z24*Ratio!Z65</f>
        <v>0.285333982897099</v>
      </c>
      <c r="AA100" s="96" t="n">
        <f aca="false">AA24*Ratio!AA65</f>
        <v>0.298468125230136</v>
      </c>
      <c r="AB100" s="31" t="n">
        <f aca="false">AB24*Ratio!AB65</f>
        <v>0.236661376108582</v>
      </c>
      <c r="AC100" s="76" t="n">
        <f aca="false">AC24*Ratio!AC65</f>
        <v>0.227776453339675</v>
      </c>
      <c r="AD100" s="75" t="n">
        <f aca="false">AD24*Ratio!AD65</f>
        <v>0.217630031992846</v>
      </c>
      <c r="AE100" s="31" t="n">
        <f aca="false">AE24*Ratio!AE65</f>
        <v>0.202107975820657</v>
      </c>
      <c r="AF100" s="96" t="n">
        <f aca="false">AF24*Ratio!AF65</f>
        <v>0.202962031436487</v>
      </c>
      <c r="AG100" s="31" t="n">
        <f aca="false">AG24*Ratio!AG65</f>
        <v>0.187760692801514</v>
      </c>
      <c r="AH100" s="31" t="n">
        <f aca="false">AH24*Ratio!AH65</f>
        <v>0.159947328051705</v>
      </c>
      <c r="AI100" s="74" t="n">
        <f aca="false">AI24*Ratio!AI65</f>
        <v>0.217816563236899</v>
      </c>
      <c r="AJ100" s="75" t="n">
        <f aca="false">AJ24*Ratio!AJ65</f>
        <v>0.194594939313443</v>
      </c>
      <c r="AK100" s="31" t="n">
        <f aca="false">AK24*Ratio!AK65</f>
        <v>0.189113630282239</v>
      </c>
      <c r="AL100" s="96" t="n">
        <f aca="false">AL24*Ratio!AL65</f>
        <v>0.168781770445952</v>
      </c>
      <c r="AM100" s="31" t="n">
        <f aca="false">AM24*Ratio!AM65</f>
        <v>0.158101153123494</v>
      </c>
      <c r="AN100" s="76" t="n">
        <f aca="false">AN24*Ratio!AN65</f>
        <v>0.167623829120584</v>
      </c>
      <c r="AO100" s="75" t="n">
        <f aca="false">AO24*Ratio!AO65</f>
        <v>0.154426555716899</v>
      </c>
      <c r="AP100" s="31" t="n">
        <f aca="false">AP24*Ratio!AP65</f>
        <v>0.159010880573763</v>
      </c>
      <c r="AQ100" s="96" t="n">
        <f aca="false">AQ24*Ratio!AQ65</f>
        <v>0.153428928469095</v>
      </c>
    </row>
    <row r="101" customFormat="false" ht="12.8" hidden="false" customHeight="false" outlineLevel="0" collapsed="false">
      <c r="A101" s="139" t="s">
        <v>30</v>
      </c>
      <c r="B101" s="72" t="n">
        <f aca="false">B25*Ratio!B66</f>
        <v>0.359196160982735</v>
      </c>
      <c r="C101" s="72" t="n">
        <f aca="false">C25*Ratio!C66</f>
        <v>0.333125577085023</v>
      </c>
      <c r="D101" s="31" t="n">
        <f aca="false">D25*Ratio!D66</f>
        <v>0.331627699331733</v>
      </c>
      <c r="E101" s="96" t="n">
        <f aca="false">E25*Ratio!E66</f>
        <v>0.299027928554746</v>
      </c>
      <c r="F101" s="31" t="n">
        <f aca="false">F25*Ratio!F66</f>
        <v>0.290158501586896</v>
      </c>
      <c r="G101" s="96" t="n">
        <f aca="false">G25*Ratio!G66</f>
        <v>0.304324141106854</v>
      </c>
      <c r="H101" s="31" t="n">
        <f aca="false">H25*Ratio!H66</f>
        <v>0.325120287441112</v>
      </c>
      <c r="I101" s="74" t="n">
        <f aca="false">I25*Ratio!I66</f>
        <v>0.318746659655402</v>
      </c>
      <c r="J101" s="75" t="n">
        <f aca="false">J25*Ratio!J66</f>
        <v>0.297170277136976</v>
      </c>
      <c r="K101" s="31" t="n">
        <f aca="false">K25*Ratio!K66</f>
        <v>0.297252508277936</v>
      </c>
      <c r="L101" s="31" t="n">
        <f aca="false">L25*Ratio!L66</f>
        <v>0.29339089813053</v>
      </c>
      <c r="M101" s="96" t="n">
        <f aca="false">M25*Ratio!M66</f>
        <v>0.292880506040983</v>
      </c>
      <c r="N101" s="96" t="n">
        <f aca="false">N25*Ratio!N66</f>
        <v>0.291377261386145</v>
      </c>
      <c r="O101" s="31" t="n">
        <f aca="false">O25*Ratio!O66</f>
        <v>0.290926801255057</v>
      </c>
      <c r="P101" s="76" t="n">
        <f aca="false">P25*Ratio!P66</f>
        <v>0.328900578507198</v>
      </c>
      <c r="Q101" s="75" t="n">
        <f aca="false">Q25*Ratio!Q66</f>
        <v>0.339987681868119</v>
      </c>
      <c r="R101" s="31" t="n">
        <f aca="false">R25*Ratio!R66</f>
        <v>0.329483714442743</v>
      </c>
      <c r="S101" s="96" t="n">
        <f aca="false">S25*Ratio!S66</f>
        <v>0.343933843154333</v>
      </c>
      <c r="T101" s="31" t="n">
        <f aca="false">T25*Ratio!T66</f>
        <v>0.332618420275903</v>
      </c>
      <c r="U101" s="31" t="n">
        <f aca="false">U25*Ratio!U66</f>
        <v>0.396379266846751</v>
      </c>
      <c r="V101" s="96" t="n">
        <f aca="false">V25*Ratio!V66</f>
        <v>0.372113802560461</v>
      </c>
      <c r="W101" s="96" t="n">
        <f aca="false">W25*Ratio!W66</f>
        <v>0.353242125236371</v>
      </c>
      <c r="X101" s="74" t="n">
        <f aca="false">X25*Ratio!X66</f>
        <v>0.398322951781579</v>
      </c>
      <c r="Y101" s="75" t="n">
        <f aca="false">Y25*Ratio!Y66</f>
        <v>0.37952384825657</v>
      </c>
      <c r="Z101" s="31" t="n">
        <f aca="false">Z25*Ratio!Z66</f>
        <v>0.36138067911541</v>
      </c>
      <c r="AA101" s="96" t="n">
        <f aca="false">AA25*Ratio!AA66</f>
        <v>0.374003086142935</v>
      </c>
      <c r="AB101" s="31" t="n">
        <f aca="false">AB25*Ratio!AB66</f>
        <v>0.323165664486094</v>
      </c>
      <c r="AC101" s="76" t="n">
        <f aca="false">AC25*Ratio!AC66</f>
        <v>0.338471582922412</v>
      </c>
      <c r="AD101" s="75" t="n">
        <f aca="false">AD25*Ratio!AD66</f>
        <v>0.312934613337888</v>
      </c>
      <c r="AE101" s="31" t="n">
        <f aca="false">AE25*Ratio!AE66</f>
        <v>0.30263955847688</v>
      </c>
      <c r="AF101" s="96" t="n">
        <f aca="false">AF25*Ratio!AF66</f>
        <v>0.31926143166861</v>
      </c>
      <c r="AG101" s="31" t="n">
        <f aca="false">AG25*Ratio!AG66</f>
        <v>0.284881770669329</v>
      </c>
      <c r="AH101" s="31" t="n">
        <f aca="false">AH25*Ratio!AH66</f>
        <v>0.247862399929191</v>
      </c>
      <c r="AI101" s="74" t="n">
        <f aca="false">AI25*Ratio!AI66</f>
        <v>0.354828823115454</v>
      </c>
      <c r="AJ101" s="75" t="n">
        <f aca="false">AJ25*Ratio!AJ66</f>
        <v>0.329920322140634</v>
      </c>
      <c r="AK101" s="31" t="n">
        <f aca="false">AK25*Ratio!AK66</f>
        <v>0.326930549178552</v>
      </c>
      <c r="AL101" s="96" t="n">
        <f aca="false">AL25*Ratio!AL66</f>
        <v>0.326930549178552</v>
      </c>
      <c r="AM101" s="31" t="n">
        <f aca="false">AM25*Ratio!AM66</f>
        <v>0.253232202633226</v>
      </c>
      <c r="AN101" s="76" t="n">
        <f aca="false">AN25*Ratio!AN66</f>
        <v>0.283068347277419</v>
      </c>
      <c r="AO101" s="75" t="n">
        <f aca="false">AO25*Ratio!AO66</f>
        <v>0.288163099994196</v>
      </c>
      <c r="AP101" s="31" t="n">
        <f aca="false">AP25*Ratio!AP66</f>
        <v>0.282230366273543</v>
      </c>
      <c r="AQ101" s="96" t="n">
        <f aca="false">AQ25*Ratio!AQ66</f>
        <v>0.272600395215567</v>
      </c>
    </row>
    <row r="102" customFormat="false" ht="12.8" hidden="false" customHeight="false" outlineLevel="0" collapsed="false">
      <c r="A102" s="139" t="s">
        <v>182</v>
      </c>
      <c r="B102" s="72" t="n">
        <f aca="false">B26*Ratio!B67</f>
        <v>0.123631986158158</v>
      </c>
      <c r="C102" s="72" t="n">
        <f aca="false">C26*Ratio!C67</f>
        <v>0.118719711159096</v>
      </c>
      <c r="D102" s="31" t="n">
        <f aca="false">D26*Ratio!D67</f>
        <v>0.116659211738286</v>
      </c>
      <c r="E102" s="96" t="n">
        <f aca="false">E26*Ratio!E67</f>
        <v>0.106144029436266</v>
      </c>
      <c r="F102" s="31" t="n">
        <f aca="false">F26*Ratio!F67</f>
        <v>0.110697247266424</v>
      </c>
      <c r="G102" s="96" t="n">
        <f aca="false">G26*Ratio!G67</f>
        <v>0.115907902940836</v>
      </c>
      <c r="H102" s="31" t="n">
        <f aca="false">H26*Ratio!H67</f>
        <v>0.110559571185306</v>
      </c>
      <c r="I102" s="74" t="n">
        <f aca="false">I26*Ratio!I67</f>
        <v>0.106564052873967</v>
      </c>
      <c r="J102" s="75" t="n">
        <f aca="false">J26*Ratio!J67</f>
        <v>0.11038487154622</v>
      </c>
      <c r="K102" s="31" t="n">
        <f aca="false">K26*Ratio!K67</f>
        <v>0.107704624654959</v>
      </c>
      <c r="L102" s="31" t="n">
        <f aca="false">L26*Ratio!L67</f>
        <v>0.106993101320229</v>
      </c>
      <c r="M102" s="96" t="n">
        <f aca="false">M26*Ratio!M67</f>
        <v>0.107254407326604</v>
      </c>
      <c r="N102" s="96" t="n">
        <f aca="false">N26*Ratio!N67</f>
        <v>0.10682339578223</v>
      </c>
      <c r="O102" s="31" t="n">
        <f aca="false">O26*Ratio!O67</f>
        <v>0.10563206782377</v>
      </c>
      <c r="P102" s="76" t="n">
        <f aca="false">P26*Ratio!P67</f>
        <v>0.127193401634265</v>
      </c>
      <c r="Q102" s="75" t="n">
        <f aca="false">Q26*Ratio!Q67</f>
        <v>0.133375615328653</v>
      </c>
      <c r="R102" s="31" t="n">
        <f aca="false">R26*Ratio!R67</f>
        <v>0.135623298419743</v>
      </c>
      <c r="S102" s="96" t="n">
        <f aca="false">S26*Ratio!S67</f>
        <v>0.133533921743857</v>
      </c>
      <c r="T102" s="31" t="n">
        <f aca="false">T26*Ratio!T67</f>
        <v>0.161287511841618</v>
      </c>
      <c r="U102" s="31" t="n">
        <f aca="false">U26*Ratio!U67</f>
        <v>0.223204998459754</v>
      </c>
      <c r="V102" s="96" t="n">
        <f aca="false">V26*Ratio!V67</f>
        <v>0.209320569642994</v>
      </c>
      <c r="W102" s="96" t="n">
        <f aca="false">W26*Ratio!W67</f>
        <v>0.21150869270349</v>
      </c>
      <c r="X102" s="74" t="n">
        <f aca="false">X26*Ratio!X67</f>
        <v>0.215824907746081</v>
      </c>
      <c r="Y102" s="75" t="n">
        <f aca="false">Y26*Ratio!Y67</f>
        <v>0.178627986990211</v>
      </c>
      <c r="Z102" s="31" t="n">
        <f aca="false">Z26*Ratio!Z67</f>
        <v>0.183235536536635</v>
      </c>
      <c r="AA102" s="96" t="n">
        <f aca="false">AA26*Ratio!AA67</f>
        <v>0.172807607864345</v>
      </c>
      <c r="AB102" s="31" t="n">
        <f aca="false">AB26*Ratio!AB67</f>
        <v>0.149481732034905</v>
      </c>
      <c r="AC102" s="76" t="n">
        <f aca="false">AC26*Ratio!AC67</f>
        <v>0.182500936578014</v>
      </c>
      <c r="AD102" s="75" t="n">
        <f aca="false">AD26*Ratio!AD67</f>
        <v>0.16373534703917</v>
      </c>
      <c r="AE102" s="31" t="n">
        <f aca="false">AE26*Ratio!AE67</f>
        <v>0.160869471673867</v>
      </c>
      <c r="AF102" s="96" t="n">
        <f aca="false">AF26*Ratio!AF67</f>
        <v>0.165275109448425</v>
      </c>
      <c r="AG102" s="31" t="n">
        <f aca="false">AG26*Ratio!AG67</f>
        <v>0.183873785747319</v>
      </c>
      <c r="AH102" s="31" t="n">
        <f aca="false">AH26*Ratio!AH67</f>
        <v>0.168329617273641</v>
      </c>
      <c r="AI102" s="74" t="n">
        <f aca="false">AI26*Ratio!AI67</f>
        <v>0.187563180114629</v>
      </c>
      <c r="AJ102" s="75" t="n">
        <f aca="false">AJ26*Ratio!AJ67</f>
        <v>0.198108512887058</v>
      </c>
      <c r="AK102" s="31" t="n">
        <f aca="false">AK26*Ratio!AK67</f>
        <v>0.191534819700284</v>
      </c>
      <c r="AL102" s="96" t="n">
        <f aca="false">AL26*Ratio!AL67</f>
        <v>0.191526510524122</v>
      </c>
      <c r="AM102" s="31" t="n">
        <f aca="false">AM26*Ratio!AM67</f>
        <v>0.183308279764559</v>
      </c>
      <c r="AN102" s="76" t="n">
        <f aca="false">AN26*Ratio!AN67</f>
        <v>0.200683056937264</v>
      </c>
      <c r="AO102" s="75" t="n">
        <f aca="false">AO26*Ratio!AO67</f>
        <v>0.207247317707576</v>
      </c>
      <c r="AP102" s="31" t="n">
        <f aca="false">AP26*Ratio!AP67</f>
        <v>0.206225798377602</v>
      </c>
      <c r="AQ102" s="96" t="n">
        <f aca="false">AQ26*Ratio!AQ67</f>
        <v>0.206730369261422</v>
      </c>
    </row>
    <row r="103" customFormat="false" ht="12.8" hidden="false" customHeight="false" outlineLevel="0" collapsed="false">
      <c r="A103" s="139" t="s">
        <v>27</v>
      </c>
      <c r="B103" s="72" t="n">
        <f aca="false">B27*Ratio!B69</f>
        <v>0.0281247316338808</v>
      </c>
      <c r="C103" s="72" t="n">
        <f aca="false">C27*Ratio!C69</f>
        <v>0.0282937778457291</v>
      </c>
      <c r="D103" s="31" t="n">
        <f aca="false">D27*Ratio!D69</f>
        <v>0.0278435952352422</v>
      </c>
      <c r="E103" s="96" t="n">
        <f aca="false">E27*Ratio!E69</f>
        <v>0.0251463420014324</v>
      </c>
      <c r="F103" s="31" t="n">
        <f aca="false">F27*Ratio!F69</f>
        <v>0.0234092381047139</v>
      </c>
      <c r="G103" s="96" t="n">
        <f aca="false">G27*Ratio!G69</f>
        <v>0.024763161277082</v>
      </c>
      <c r="H103" s="31" t="n">
        <f aca="false">H27*Ratio!H69</f>
        <v>0.023825176824853</v>
      </c>
      <c r="I103" s="74" t="n">
        <f aca="false">I27*Ratio!I69</f>
        <v>0.0231467473229408</v>
      </c>
      <c r="J103" s="75" t="n">
        <f aca="false">J27*Ratio!J69</f>
        <v>0.0257744404401024</v>
      </c>
      <c r="K103" s="31" t="n">
        <f aca="false">K27*Ratio!K69</f>
        <v>0.0341695510647857</v>
      </c>
      <c r="L103" s="31" t="n">
        <f aca="false">L27*Ratio!L69</f>
        <v>0.0329117754340272</v>
      </c>
      <c r="M103" s="96" t="n">
        <f aca="false">M27*Ratio!M69</f>
        <v>0.0331110587746853</v>
      </c>
      <c r="N103" s="96" t="n">
        <f aca="false">N27*Ratio!N69</f>
        <v>0.0303890373145285</v>
      </c>
      <c r="O103" s="31" t="n">
        <f aca="false">O27*Ratio!O69</f>
        <v>0.018533864714991</v>
      </c>
      <c r="P103" s="76" t="n">
        <f aca="false">P27*Ratio!P69</f>
        <v>0.0214478736915664</v>
      </c>
      <c r="Q103" s="75" t="n">
        <f aca="false">Q27*Ratio!Q69</f>
        <v>0.023938378249194</v>
      </c>
      <c r="R103" s="31" t="n">
        <f aca="false">R27*Ratio!R69</f>
        <v>0.0228225914582611</v>
      </c>
      <c r="S103" s="96" t="n">
        <f aca="false">S27*Ratio!S69</f>
        <v>0.0253475538450673</v>
      </c>
      <c r="T103" s="31" t="n">
        <f aca="false">T27*Ratio!T69</f>
        <v>0.0231527141663881</v>
      </c>
      <c r="U103" s="31" t="n">
        <f aca="false">U27*Ratio!U69</f>
        <v>0.0323765103516036</v>
      </c>
      <c r="V103" s="96" t="n">
        <f aca="false">V27*Ratio!V69</f>
        <v>0.0314442480927044</v>
      </c>
      <c r="W103" s="96" t="n">
        <f aca="false">W27*Ratio!W69</f>
        <v>0.0326325549682682</v>
      </c>
      <c r="X103" s="74" t="n">
        <f aca="false">X27*Ratio!X69</f>
        <v>0.0333806171594001</v>
      </c>
      <c r="Y103" s="75" t="n">
        <f aca="false">Y27*Ratio!Y69</f>
        <v>0.0347647742634195</v>
      </c>
      <c r="Z103" s="31" t="n">
        <f aca="false">Z27*Ratio!Z69</f>
        <v>0.0282577690373368</v>
      </c>
      <c r="AA103" s="96" t="n">
        <f aca="false">AA27*Ratio!AA69</f>
        <v>0.0369619910070279</v>
      </c>
      <c r="AB103" s="31" t="n">
        <f aca="false">AB27*Ratio!AB69</f>
        <v>0.0371228887030635</v>
      </c>
      <c r="AC103" s="76" t="n">
        <f aca="false">AC27*Ratio!AC69</f>
        <v>0.03810689190925</v>
      </c>
      <c r="AD103" s="75" t="n">
        <f aca="false">AD27*Ratio!AD69</f>
        <v>0.0405859349434931</v>
      </c>
      <c r="AE103" s="31" t="n">
        <f aca="false">AE27*Ratio!AE69</f>
        <v>0.0418721868513498</v>
      </c>
      <c r="AF103" s="96" t="n">
        <f aca="false">AF27*Ratio!AF69</f>
        <v>0.0349271424596582</v>
      </c>
      <c r="AG103" s="31" t="n">
        <f aca="false">AG27*Ratio!AG69</f>
        <v>0.0383067029298665</v>
      </c>
      <c r="AH103" s="31" t="n">
        <f aca="false">AH27*Ratio!AH69</f>
        <v>0.0356400802809361</v>
      </c>
      <c r="AI103" s="74" t="n">
        <f aca="false">AI27*Ratio!AI69</f>
        <v>0.0618742956335042</v>
      </c>
      <c r="AJ103" s="75" t="n">
        <f aca="false">AJ27*Ratio!AJ69</f>
        <v>0.070360189158513</v>
      </c>
      <c r="AK103" s="31" t="n">
        <f aca="false">AK27*Ratio!AK69</f>
        <v>0.0693429491199441</v>
      </c>
      <c r="AL103" s="96" t="n">
        <f aca="false">AL27*Ratio!AL69</f>
        <v>0.0653335362113099</v>
      </c>
      <c r="AM103" s="31" t="n">
        <f aca="false">AM27*Ratio!AM69</f>
        <v>0.060202880205985</v>
      </c>
      <c r="AN103" s="76" t="n">
        <f aca="false">AN27*Ratio!AN69</f>
        <v>0.0540296882279602</v>
      </c>
      <c r="AO103" s="75" t="n">
        <f aca="false">AO27*Ratio!AO69</f>
        <v>0.0490372713752922</v>
      </c>
      <c r="AP103" s="31" t="n">
        <f aca="false">AP27*Ratio!AP69</f>
        <v>0.0614938911067416</v>
      </c>
      <c r="AQ103" s="96" t="n">
        <f aca="false">AQ27*Ratio!AQ69</f>
        <v>0.053789118340507</v>
      </c>
    </row>
    <row r="104" customFormat="false" ht="12.8" hidden="false" customHeight="false" outlineLevel="0" collapsed="false">
      <c r="A104" s="139" t="s">
        <v>184</v>
      </c>
      <c r="B104" s="72" t="n">
        <f aca="false">B28*Ratio!B71</f>
        <v>0.0135158195546179</v>
      </c>
      <c r="C104" s="72" t="n">
        <f aca="false">C28*Ratio!C71</f>
        <v>0.0123242728996434</v>
      </c>
      <c r="D104" s="31" t="n">
        <f aca="false">D28*Ratio!D71</f>
        <v>0.0124359739329437</v>
      </c>
      <c r="E104" s="96" t="n">
        <f aca="false">E28*Ratio!E71</f>
        <v>0.0125300492685428</v>
      </c>
      <c r="F104" s="31" t="n">
        <f aca="false">F28*Ratio!F71</f>
        <v>0.0118789638433645</v>
      </c>
      <c r="G104" s="96" t="n">
        <f aca="false">G28*Ratio!G71</f>
        <v>0.0143268487935826</v>
      </c>
      <c r="H104" s="31" t="n">
        <f aca="false">H28*Ratio!H71</f>
        <v>0.0124598869595516</v>
      </c>
      <c r="I104" s="74" t="n">
        <f aca="false">I28*Ratio!I71</f>
        <v>0.0128535994468833</v>
      </c>
      <c r="J104" s="75" t="n">
        <f aca="false">J28*Ratio!J71</f>
        <v>0.0115047783025671</v>
      </c>
      <c r="K104" s="31" t="n">
        <f aca="false">K28*Ratio!K71</f>
        <v>0.00973891001055444</v>
      </c>
      <c r="L104" s="31" t="n">
        <f aca="false">L28*Ratio!L71</f>
        <v>0.00994791397881227</v>
      </c>
      <c r="M104" s="96" t="n">
        <f aca="false">M28*Ratio!M71</f>
        <v>0.0099053475047067</v>
      </c>
      <c r="N104" s="96" t="n">
        <f aca="false">N28*Ratio!N71</f>
        <v>0.00996842717713261</v>
      </c>
      <c r="O104" s="31" t="n">
        <f aca="false">O28*Ratio!O71</f>
        <v>0.0108221885839289</v>
      </c>
      <c r="P104" s="76" t="n">
        <f aca="false">P28*Ratio!P71</f>
        <v>0.0105382026634692</v>
      </c>
      <c r="Q104" s="75" t="n">
        <f aca="false">Q28*Ratio!Q71</f>
        <v>0.00965142836294012</v>
      </c>
      <c r="R104" s="31" t="n">
        <f aca="false">R28*Ratio!R71</f>
        <v>0.00926676886463744</v>
      </c>
      <c r="S104" s="96" t="n">
        <f aca="false">S28*Ratio!S71</f>
        <v>0.00736722504821825</v>
      </c>
      <c r="T104" s="31" t="n">
        <f aca="false">T28*Ratio!T71</f>
        <v>0.00761453928590669</v>
      </c>
      <c r="U104" s="31" t="n">
        <f aca="false">U28*Ratio!U71</f>
        <v>0.0069257455670936</v>
      </c>
      <c r="V104" s="96" t="n">
        <f aca="false">V28*Ratio!V71</f>
        <v>0.00688814791726921</v>
      </c>
      <c r="W104" s="96" t="n">
        <f aca="false">W28*Ratio!W71</f>
        <v>0.00718612332362468</v>
      </c>
      <c r="X104" s="74" t="n">
        <f aca="false">X28*Ratio!X71</f>
        <v>0.00734877081150351</v>
      </c>
      <c r="Y104" s="75" t="n">
        <f aca="false">Y28*Ratio!Y71</f>
        <v>0.00744021265050288</v>
      </c>
      <c r="Z104" s="31" t="n">
        <f aca="false">Z28*Ratio!Z71</f>
        <v>0.0080196490427089</v>
      </c>
      <c r="AA104" s="96" t="n">
        <f aca="false">AA28*Ratio!AA71</f>
        <v>0.00770318909309694</v>
      </c>
      <c r="AB104" s="31" t="n">
        <f aca="false">AB28*Ratio!AB71</f>
        <v>0.00803133300175573</v>
      </c>
      <c r="AC104" s="76" t="n">
        <f aca="false">AC28*Ratio!AC71</f>
        <v>0.00674072065265303</v>
      </c>
      <c r="AD104" s="75" t="n">
        <f aca="false">AD28*Ratio!AD71</f>
        <v>0.00694599828102437</v>
      </c>
      <c r="AE104" s="31" t="n">
        <f aca="false">AE28*Ratio!AE71</f>
        <v>0.00656887162510469</v>
      </c>
      <c r="AF104" s="96" t="n">
        <f aca="false">AF28*Ratio!AF71</f>
        <v>0.00649874490519613</v>
      </c>
      <c r="AG104" s="31" t="n">
        <f aca="false">AG28*Ratio!AG71</f>
        <v>0.00546346608650792</v>
      </c>
      <c r="AH104" s="31" t="n">
        <f aca="false">AH28*Ratio!AH71</f>
        <v>0.0052594216815758</v>
      </c>
      <c r="AI104" s="74" t="n">
        <f aca="false">AI28*Ratio!AI71</f>
        <v>0.0071943567504944</v>
      </c>
      <c r="AJ104" s="75" t="n">
        <f aca="false">AJ28*Ratio!AJ71</f>
        <v>0.00778807076941483</v>
      </c>
      <c r="AK104" s="31" t="n">
        <f aca="false">AK28*Ratio!AK71</f>
        <v>0.00668854816859551</v>
      </c>
      <c r="AL104" s="96" t="n">
        <f aca="false">AL28*Ratio!AL71</f>
        <v>0.00670378404141691</v>
      </c>
      <c r="AM104" s="31" t="n">
        <f aca="false">AM28*Ratio!AM71</f>
        <v>0.00634573035223341</v>
      </c>
      <c r="AN104" s="76" t="n">
        <f aca="false">AN28*Ratio!AN71</f>
        <v>0.00647708262846361</v>
      </c>
      <c r="AO104" s="75" t="n">
        <f aca="false">AO28*Ratio!AO71</f>
        <v>0.00585459998931326</v>
      </c>
      <c r="AP104" s="31" t="n">
        <f aca="false">AP28*Ratio!AP71</f>
        <v>0.00710855632067005</v>
      </c>
      <c r="AQ104" s="96" t="n">
        <f aca="false">AQ28*Ratio!AQ71</f>
        <v>0.00693833498781917</v>
      </c>
    </row>
    <row r="105" customFormat="false" ht="12.8" hidden="false" customHeight="false" outlineLevel="0" collapsed="false">
      <c r="A105" s="139" t="s">
        <v>229</v>
      </c>
      <c r="B105" s="72" t="n">
        <f aca="false">B29*Ratio!B72</f>
        <v>0.017363192274176</v>
      </c>
      <c r="C105" s="72" t="n">
        <f aca="false">C29*Ratio!C72</f>
        <v>0.0170988986369219</v>
      </c>
      <c r="D105" s="31" t="n">
        <f aca="false">D29*Ratio!D72</f>
        <v>0.0172581879537409</v>
      </c>
      <c r="E105" s="96" t="n">
        <f aca="false">E29*Ratio!E72</f>
        <v>0.0180897569209871</v>
      </c>
      <c r="F105" s="31" t="n">
        <f aca="false">F29*Ratio!F72</f>
        <v>0.0143841362875177</v>
      </c>
      <c r="G105" s="96" t="n">
        <f aca="false">G29*Ratio!G72</f>
        <v>0.0169649763867982</v>
      </c>
      <c r="H105" s="31" t="n">
        <f aca="false">H29*Ratio!H72</f>
        <v>0.0157305810269485</v>
      </c>
      <c r="I105" s="74" t="n">
        <f aca="false">I29*Ratio!I72</f>
        <v>0.0161983445595568</v>
      </c>
      <c r="J105" s="75" t="n">
        <f aca="false">J29*Ratio!J72</f>
        <v>0.0136022417266927</v>
      </c>
      <c r="K105" s="31" t="n">
        <f aca="false">K29*Ratio!K72</f>
        <v>0.011341402235315</v>
      </c>
      <c r="L105" s="31" t="n">
        <f aca="false">L29*Ratio!L72</f>
        <v>0.0113631204938212</v>
      </c>
      <c r="M105" s="96" t="n">
        <f aca="false">M29*Ratio!M72</f>
        <v>0.0113715805977903</v>
      </c>
      <c r="N105" s="96" t="n">
        <f aca="false">N29*Ratio!N72</f>
        <v>0.0107708212712474</v>
      </c>
      <c r="O105" s="31" t="n">
        <f aca="false">O29*Ratio!O72</f>
        <v>0.0112885527610248</v>
      </c>
      <c r="P105" s="76" t="n">
        <f aca="false">P29*Ratio!P72</f>
        <v>0.0121221851858009</v>
      </c>
      <c r="Q105" s="236" t="n">
        <f aca="false">Q29*Ratio!Q79</f>
        <v>0.00335433953979467</v>
      </c>
      <c r="R105" s="31" t="n">
        <f aca="false">R29*Ratio!R79</f>
        <v>0.00426881467564198</v>
      </c>
      <c r="S105" s="96" t="n">
        <f aca="false">S29*Ratio!S79</f>
        <v>0.00407725167494723</v>
      </c>
      <c r="T105" s="31" t="n">
        <f aca="false">T29*Ratio!T79</f>
        <v>0.00503227544561764</v>
      </c>
      <c r="U105" s="31" t="n">
        <f aca="false">U29*Ratio!U79</f>
        <v>0.00615001331331898</v>
      </c>
      <c r="V105" s="96" t="n">
        <f aca="false">V29*Ratio!V79</f>
        <v>0.00616208149025027</v>
      </c>
      <c r="W105" s="96" t="n">
        <f aca="false">W29*Ratio!W79</f>
        <v>0.00645042091263044</v>
      </c>
      <c r="X105" s="74" t="n">
        <f aca="false">X29*Ratio!X79</f>
        <v>0.00715340585739922</v>
      </c>
      <c r="Y105" s="75" t="n">
        <f aca="false">Y29*Ratio!Y79</f>
        <v>0.00648590848831571</v>
      </c>
      <c r="Z105" s="31" t="n">
        <f aca="false">Z29*Ratio!Z79</f>
        <v>0.00653294505571033</v>
      </c>
      <c r="AA105" s="96" t="n">
        <f aca="false">AA29*Ratio!AA79</f>
        <v>0.00627923014223294</v>
      </c>
      <c r="AB105" s="31" t="n">
        <f aca="false">AB29*Ratio!AB79</f>
        <v>0.00776358990400387</v>
      </c>
      <c r="AC105" s="76" t="n">
        <f aca="false">AC29*Ratio!AC79</f>
        <v>0.00799293059288788</v>
      </c>
      <c r="AD105" s="75" t="n">
        <f aca="false">AD29*Ratio!AD79</f>
        <v>0.00779984134555999</v>
      </c>
      <c r="AE105" s="31" t="n">
        <f aca="false">AE29*Ratio!AE79</f>
        <v>0.00819181367480632</v>
      </c>
      <c r="AF105" s="96" t="n">
        <f aca="false">AF29*Ratio!AF79</f>
        <v>0.00720371804526897</v>
      </c>
      <c r="AG105" s="31" t="n">
        <f aca="false">AG29*Ratio!AG79</f>
        <v>0.00695561980108257</v>
      </c>
      <c r="AH105" s="31" t="n">
        <f aca="false">AH29*Ratio!AH79</f>
        <v>0.00632513316205523</v>
      </c>
      <c r="AI105" s="74" t="n">
        <f aca="false">AI29*Ratio!AI79</f>
        <v>0.00934789236114633</v>
      </c>
      <c r="AJ105" s="75" t="n">
        <f aca="false">AJ29*Ratio!AJ79</f>
        <v>0.00919616081716031</v>
      </c>
      <c r="AK105" s="31" t="n">
        <f aca="false">AK29*Ratio!AK79</f>
        <v>0.00709791263345083</v>
      </c>
      <c r="AL105" s="96" t="n">
        <f aca="false">AL29*Ratio!AL79</f>
        <v>0.00678312654053818</v>
      </c>
      <c r="AM105" s="31" t="n">
        <f aca="false">AM29*Ratio!AM79</f>
        <v>0.0063583348453627</v>
      </c>
      <c r="AN105" s="76" t="n">
        <f aca="false">AN29*Ratio!AN79</f>
        <v>0.00802195404174875</v>
      </c>
      <c r="AO105" s="75" t="n">
        <f aca="false">AO29*Ratio!AO79</f>
        <v>0.00542713072161929</v>
      </c>
      <c r="AP105" s="31" t="n">
        <f aca="false">AP29*Ratio!AP79</f>
        <v>0.00705055231399958</v>
      </c>
      <c r="AQ105" s="96" t="n">
        <f aca="false">AQ29*Ratio!AQ79</f>
        <v>0.00639223715101573</v>
      </c>
    </row>
    <row r="106" customFormat="false" ht="12.8" hidden="false" customHeight="false" outlineLevel="0" collapsed="false">
      <c r="A106" s="139" t="s">
        <v>186</v>
      </c>
      <c r="B106" s="72" t="n">
        <f aca="false">B30*Ratio!B74</f>
        <v>0.0205465628658569</v>
      </c>
      <c r="C106" s="72" t="n">
        <f aca="false">C30*Ratio!C74</f>
        <v>0.0189023008212706</v>
      </c>
      <c r="D106" s="31" t="n">
        <f aca="false">D30*Ratio!D74</f>
        <v>0.0175103084311238</v>
      </c>
      <c r="E106" s="96" t="n">
        <f aca="false">E30*Ratio!E74</f>
        <v>0.0216230101981973</v>
      </c>
      <c r="F106" s="31" t="n">
        <f aca="false">F30*Ratio!F74</f>
        <v>0.014982856387139</v>
      </c>
      <c r="G106" s="96" t="n">
        <f aca="false">G30*Ratio!G74</f>
        <v>0.0122273721161893</v>
      </c>
      <c r="H106" s="31" t="n">
        <f aca="false">H30*Ratio!H74</f>
        <v>0.0105918684195164</v>
      </c>
      <c r="I106" s="74" t="n">
        <f aca="false">I30*Ratio!I74</f>
        <v>0.0105753078830188</v>
      </c>
      <c r="J106" s="75" t="n">
        <f aca="false">J30*Ratio!J74</f>
        <v>0.0107264323976695</v>
      </c>
      <c r="K106" s="31" t="n">
        <f aca="false">K30*Ratio!K74</f>
        <v>0.00919721774324937</v>
      </c>
      <c r="L106" s="31" t="n">
        <f aca="false">L30*Ratio!L74</f>
        <v>0.00943553535677574</v>
      </c>
      <c r="M106" s="96" t="n">
        <f aca="false">M30*Ratio!M74</f>
        <v>0.00944256032937604</v>
      </c>
      <c r="N106" s="96" t="n">
        <f aca="false">N30*Ratio!N74</f>
        <v>0.00928609245319675</v>
      </c>
      <c r="O106" s="31" t="n">
        <f aca="false">O30*Ratio!O74</f>
        <v>0.00980535102512493</v>
      </c>
      <c r="P106" s="76" t="n">
        <f aca="false">P30*Ratio!P74</f>
        <v>0.010076291146536</v>
      </c>
      <c r="Q106" s="75" t="n">
        <f aca="false">Q30*Ratio!Q74</f>
        <v>0.00994357119688919</v>
      </c>
      <c r="R106" s="31" t="n">
        <f aca="false">R30*Ratio!R74</f>
        <v>0.0102576870513142</v>
      </c>
      <c r="S106" s="96" t="n">
        <f aca="false">S30*Ratio!S74</f>
        <v>0.00976209022959857</v>
      </c>
      <c r="T106" s="31" t="n">
        <f aca="false">T30*Ratio!T74</f>
        <v>0.0105122975822208</v>
      </c>
      <c r="U106" s="31" t="n">
        <f aca="false">U30*Ratio!U74</f>
        <v>0.0111529004520368</v>
      </c>
      <c r="V106" s="96" t="n">
        <f aca="false">V30*Ratio!V74</f>
        <v>0.0120041130491925</v>
      </c>
      <c r="W106" s="96" t="n">
        <f aca="false">W30*Ratio!W74</f>
        <v>0.012565815945895</v>
      </c>
      <c r="X106" s="74" t="n">
        <f aca="false">X30*Ratio!X74</f>
        <v>0.0115684849872759</v>
      </c>
      <c r="Y106" s="75" t="n">
        <f aca="false">Y30*Ratio!Y74</f>
        <v>0.0126568808444383</v>
      </c>
      <c r="Z106" s="31" t="n">
        <f aca="false">Z30*Ratio!Z74</f>
        <v>0.0127837420035418</v>
      </c>
      <c r="AA106" s="96" t="n">
        <f aca="false">AA30*Ratio!AA74</f>
        <v>0.013900356866368</v>
      </c>
      <c r="AB106" s="31" t="n">
        <f aca="false">AB30*Ratio!AB74</f>
        <v>0.0126317142245873</v>
      </c>
      <c r="AC106" s="76" t="n">
        <f aca="false">AC30*Ratio!AC74</f>
        <v>0.0111545230435072</v>
      </c>
      <c r="AD106" s="75" t="n">
        <f aca="false">AD30*Ratio!AD74</f>
        <v>0.0116531488404511</v>
      </c>
      <c r="AE106" s="31" t="n">
        <f aca="false">AE30*Ratio!AE74</f>
        <v>0.0110323685990218</v>
      </c>
      <c r="AF106" s="96" t="n">
        <f aca="false">AF30*Ratio!AF74</f>
        <v>0.0109173471557488</v>
      </c>
      <c r="AG106" s="31" t="n">
        <f aca="false">AG30*Ratio!AG74</f>
        <v>0.0148343050414612</v>
      </c>
      <c r="AH106" s="31" t="n">
        <f aca="false">AH30*Ratio!AH74</f>
        <v>0.0169043966425493</v>
      </c>
      <c r="AI106" s="74" t="n">
        <f aca="false">AI30*Ratio!AI74</f>
        <v>0.0214321585379682</v>
      </c>
      <c r="AJ106" s="75" t="n">
        <f aca="false">AJ30*Ratio!AJ74</f>
        <v>0.0221520651702734</v>
      </c>
      <c r="AK106" s="31" t="n">
        <f aca="false">AK30*Ratio!AK74</f>
        <v>0.0207789365311644</v>
      </c>
      <c r="AL106" s="96" t="n">
        <f aca="false">AL30*Ratio!AL74</f>
        <v>0.0207750240972478</v>
      </c>
      <c r="AM106" s="31" t="n">
        <f aca="false">AM30*Ratio!AM74</f>
        <v>0.023319133426464</v>
      </c>
      <c r="AN106" s="76" t="n">
        <f aca="false">AN30*Ratio!AN74</f>
        <v>0.021679011301555</v>
      </c>
      <c r="AO106" s="75" t="n">
        <f aca="false">AO30*Ratio!AO74</f>
        <v>0.0220095659603729</v>
      </c>
      <c r="AP106" s="31" t="n">
        <f aca="false">AP30*Ratio!AP74</f>
        <v>0.0208970470919802</v>
      </c>
      <c r="AQ106" s="96" t="n">
        <f aca="false">AQ30*Ratio!AQ74</f>
        <v>0.0202485669400195</v>
      </c>
    </row>
    <row r="107" customFormat="false" ht="12.8" hidden="false" customHeight="false" outlineLevel="0" collapsed="false">
      <c r="A107" s="139" t="s">
        <v>189</v>
      </c>
      <c r="B107" s="72" t="n">
        <f aca="false">B31*Ratio!B77</f>
        <v>0.00925801844766797</v>
      </c>
      <c r="C107" s="72" t="n">
        <f aca="false">C31*Ratio!C77</f>
        <v>0.0101780752016932</v>
      </c>
      <c r="D107" s="31" t="n">
        <f aca="false">D31*Ratio!D77</f>
        <v>0.0103715050076525</v>
      </c>
      <c r="E107" s="96" t="n">
        <f aca="false">E31*Ratio!E77</f>
        <v>0.00773031710026544</v>
      </c>
      <c r="F107" s="31" t="n">
        <f aca="false">F31*Ratio!F77</f>
        <v>0.0072192182188133</v>
      </c>
      <c r="G107" s="96" t="n">
        <f aca="false">G31*Ratio!G77</f>
        <v>0.00747775377131119</v>
      </c>
      <c r="H107" s="31" t="n">
        <f aca="false">H31*Ratio!H77</f>
        <v>0.00756142294547033</v>
      </c>
      <c r="I107" s="74" t="n">
        <f aca="false">I31*Ratio!I77</f>
        <v>0.00867119844409636</v>
      </c>
      <c r="J107" s="75" t="n">
        <f aca="false">J31*Ratio!J77</f>
        <v>0.00966037500320604</v>
      </c>
      <c r="K107" s="31" t="n">
        <f aca="false">K31*Ratio!K77</f>
        <v>0.00724738496156587</v>
      </c>
      <c r="L107" s="31" t="n">
        <f aca="false">L31*Ratio!L77</f>
        <v>0.00743660624345452</v>
      </c>
      <c r="M107" s="96" t="n">
        <f aca="false">M31*Ratio!M77</f>
        <v>0.00744035717459538</v>
      </c>
      <c r="N107" s="96" t="n">
        <f aca="false">N31*Ratio!N77</f>
        <v>0.00748564305072702</v>
      </c>
      <c r="O107" s="31" t="n">
        <f aca="false">O31*Ratio!O77</f>
        <v>0.00760974165604436</v>
      </c>
      <c r="P107" s="76" t="n">
        <f aca="false">P31*Ratio!P77</f>
        <v>0.00878237899334693</v>
      </c>
      <c r="Q107" s="75" t="n">
        <f aca="false">Q31*Ratio!Q77</f>
        <v>0.00961490723148203</v>
      </c>
      <c r="R107" s="31" t="n">
        <f aca="false">R31*Ratio!R77</f>
        <v>0.010288018540125</v>
      </c>
      <c r="S107" s="96" t="n">
        <f aca="false">S31*Ratio!S77</f>
        <v>0.00954358621117041</v>
      </c>
      <c r="T107" s="31" t="n">
        <f aca="false">T31*Ratio!T77</f>
        <v>0.0104090486266591</v>
      </c>
      <c r="U107" s="31" t="n">
        <f aca="false">U31*Ratio!U77</f>
        <v>0.00943689914416287</v>
      </c>
      <c r="V107" s="96" t="n">
        <f aca="false">V31*Ratio!V77</f>
        <v>0.00945662090015995</v>
      </c>
      <c r="W107" s="96" t="n">
        <f aca="false">W31*Ratio!W77</f>
        <v>0.00874770395105945</v>
      </c>
      <c r="X107" s="74" t="n">
        <f aca="false">X31*Ratio!X77</f>
        <v>0.00805341111685029</v>
      </c>
      <c r="Y107" s="75" t="n">
        <f aca="false">Y31*Ratio!Y77</f>
        <v>0.0098598837913203</v>
      </c>
      <c r="Z107" s="31" t="n">
        <f aca="false">Z31*Ratio!Z77</f>
        <v>0.0103099607953344</v>
      </c>
      <c r="AA107" s="96" t="n">
        <f aca="false">AA31*Ratio!AA77</f>
        <v>0.0104514681465242</v>
      </c>
      <c r="AB107" s="31" t="n">
        <f aca="false">AB31*Ratio!AB77</f>
        <v>0.0119180873084697</v>
      </c>
      <c r="AC107" s="76" t="n">
        <f aca="false">AC31*Ratio!AC77</f>
        <v>0.0118226990796816</v>
      </c>
      <c r="AD107" s="75" t="n">
        <f aca="false">AD31*Ratio!AD77</f>
        <v>0.0114223302646086</v>
      </c>
      <c r="AE107" s="31" t="n">
        <f aca="false">AE31*Ratio!AE77</f>
        <v>0.0108216638017399</v>
      </c>
      <c r="AF107" s="96" t="n">
        <f aca="false">AF31*Ratio!AF77</f>
        <v>0.0112927236960408</v>
      </c>
      <c r="AG107" s="31" t="n">
        <f aca="false">AG31*Ratio!AG77</f>
        <v>0.00939596635167693</v>
      </c>
      <c r="AH107" s="31" t="n">
        <f aca="false">AH31*Ratio!AH77</f>
        <v>0.0107152602606785</v>
      </c>
      <c r="AI107" s="74" t="n">
        <f aca="false">AI31*Ratio!AI77</f>
        <v>0.0166655398144272</v>
      </c>
      <c r="AJ107" s="75" t="n">
        <f aca="false">AJ31*Ratio!AJ77</f>
        <v>0.0154976554145847</v>
      </c>
      <c r="AK107" s="31" t="n">
        <f aca="false">AK31*Ratio!AK77</f>
        <v>0.0137593810724192</v>
      </c>
      <c r="AL107" s="96" t="n">
        <f aca="false">AL31*Ratio!AL77</f>
        <v>0.0142404783127136</v>
      </c>
      <c r="AM107" s="31" t="n">
        <f aca="false">AM31*Ratio!AM77</f>
        <v>0.0124531463108804</v>
      </c>
      <c r="AN107" s="76" t="n">
        <f aca="false">AN31*Ratio!AN77</f>
        <v>0.0141412522433752</v>
      </c>
      <c r="AO107" s="75" t="n">
        <f aca="false">AO31*Ratio!AO77</f>
        <v>0.0124464639870501</v>
      </c>
      <c r="AP107" s="31" t="n">
        <f aca="false">AP31*Ratio!AP77</f>
        <v>0.0110065590976772</v>
      </c>
      <c r="AQ107" s="96" t="n">
        <f aca="false">AQ31*Ratio!AQ77</f>
        <v>0.00966709939148168</v>
      </c>
    </row>
    <row r="108" customFormat="false" ht="12.8" hidden="false" customHeight="false" outlineLevel="0" collapsed="false">
      <c r="A108" s="139" t="s">
        <v>102</v>
      </c>
      <c r="B108" s="234" t="s">
        <v>260</v>
      </c>
      <c r="C108" s="234"/>
      <c r="D108" s="234"/>
      <c r="E108" s="234"/>
      <c r="F108" s="234"/>
      <c r="G108" s="234"/>
      <c r="H108" s="234"/>
      <c r="I108" s="234"/>
    </row>
    <row r="109" customFormat="false" ht="12.8" hidden="false" customHeight="false" outlineLevel="0" collapsed="false">
      <c r="A109" s="139" t="s">
        <v>258</v>
      </c>
      <c r="B109" s="230"/>
    </row>
    <row r="110" customFormat="false" ht="12.8" hidden="false" customHeight="false" outlineLevel="0" collapsed="false">
      <c r="A110" s="139" t="s">
        <v>24</v>
      </c>
      <c r="B110" s="72" t="n">
        <f aca="false">B35*Ratio!B63</f>
        <v>0.69987718785918</v>
      </c>
      <c r="C110" s="72" t="n">
        <f aca="false">C35*Ratio!C63</f>
        <v>0.684381993095152</v>
      </c>
      <c r="D110" s="31" t="n">
        <f aca="false">D35*Ratio!D63</f>
        <v>0.708229528421137</v>
      </c>
      <c r="E110" s="96" t="n">
        <f aca="false">E35*Ratio!E63</f>
        <v>0.684623832022393</v>
      </c>
      <c r="F110" s="31" t="n">
        <f aca="false">F35*Ratio!F63</f>
        <v>0.633030457890648</v>
      </c>
      <c r="G110" s="96" t="n">
        <f aca="false">G35*Ratio!G63</f>
        <v>0.525262189298649</v>
      </c>
      <c r="H110" s="31" t="n">
        <f aca="false">H35*Ratio!H63</f>
        <v>0.523584194715422</v>
      </c>
      <c r="I110" s="74" t="n">
        <f aca="false">I35*Ratio!I63</f>
        <v>0.511160967440796</v>
      </c>
      <c r="J110" s="75" t="n">
        <f aca="false">J35*Ratio!J63</f>
        <v>0.43522549388928</v>
      </c>
      <c r="K110" s="31" t="n">
        <f aca="false">K35*Ratio!K63</f>
        <v>0.397182348126247</v>
      </c>
      <c r="L110" s="31" t="n">
        <f aca="false">L35*Ratio!L63</f>
        <v>0.382115846611822</v>
      </c>
      <c r="M110" s="96" t="n">
        <f aca="false">M35*Ratio!M63</f>
        <v>0.380565144151383</v>
      </c>
      <c r="N110" s="96" t="n">
        <f aca="false">N35*Ratio!N63</f>
        <v>0.376654889890319</v>
      </c>
      <c r="O110" s="31" t="n">
        <f aca="false">O35*Ratio!O63</f>
        <v>0.357925010596498</v>
      </c>
      <c r="P110" s="76" t="n">
        <f aca="false">P35*Ratio!P63</f>
        <v>0.379170766204119</v>
      </c>
      <c r="Q110" s="75" t="n">
        <f aca="false">Q35*Ratio!Q63</f>
        <v>0.381378843790221</v>
      </c>
      <c r="R110" s="31" t="n">
        <f aca="false">R35*Ratio!R63</f>
        <v>0.362064091132609</v>
      </c>
      <c r="S110" s="96" t="n">
        <f aca="false">S35*Ratio!S63</f>
        <v>0.37222144863142</v>
      </c>
      <c r="T110" s="31" t="n">
        <f aca="false">T35*Ratio!T63</f>
        <v>0.380527144971557</v>
      </c>
      <c r="U110" s="31" t="n">
        <f aca="false">U35*Ratio!U63</f>
        <v>0.411750005652083</v>
      </c>
      <c r="V110" s="96" t="n">
        <f aca="false">V35*Ratio!V63</f>
        <v>0.416683432171517</v>
      </c>
      <c r="W110" s="96" t="n">
        <f aca="false">W35*Ratio!W63</f>
        <v>0.383537671967831</v>
      </c>
      <c r="X110" s="74" t="n">
        <f aca="false">X35*Ratio!X63</f>
        <v>0.426112344565552</v>
      </c>
      <c r="Y110" s="75" t="n">
        <f aca="false">Y35*Ratio!Y63</f>
        <v>0.402178046300922</v>
      </c>
      <c r="Z110" s="31" t="n">
        <f aca="false">Z35*Ratio!Z63</f>
        <v>0.351126235776935</v>
      </c>
      <c r="AA110" s="96" t="n">
        <f aca="false">AA35*Ratio!AA63</f>
        <v>0.365272519713204</v>
      </c>
      <c r="AB110" s="1" t="n">
        <f aca="false">AB35*Ratio!AB63</f>
        <v>0</v>
      </c>
      <c r="AC110" s="42" t="n">
        <f aca="false">AC35*Ratio!AC63</f>
        <v>0</v>
      </c>
      <c r="AD110" s="21" t="n">
        <f aca="false">AD35*Ratio!AD63</f>
        <v>0</v>
      </c>
      <c r="AE110" s="1" t="n">
        <f aca="false">AE35*Ratio!AE63</f>
        <v>0</v>
      </c>
      <c r="AF110" s="40" t="n">
        <f aca="false">AF35*Ratio!AF63</f>
        <v>0</v>
      </c>
      <c r="AG110" s="1" t="n">
        <f aca="false">AG35*Ratio!AG63</f>
        <v>0</v>
      </c>
      <c r="AH110" s="1" t="n">
        <f aca="false">AH35*Ratio!AH63</f>
        <v>0</v>
      </c>
      <c r="AI110" s="41" t="n">
        <f aca="false">AI35*Ratio!AI63</f>
        <v>0</v>
      </c>
      <c r="AJ110" s="21" t="n">
        <f aca="false">AJ35*Ratio!AJ63</f>
        <v>0</v>
      </c>
      <c r="AK110" s="1" t="n">
        <f aca="false">AK35*Ratio!AK63</f>
        <v>0</v>
      </c>
      <c r="AL110" s="40" t="n">
        <f aca="false">AL35*Ratio!AL63</f>
        <v>0</v>
      </c>
      <c r="AM110" s="1" t="n">
        <f aca="false">AM35*Ratio!AM63</f>
        <v>0</v>
      </c>
      <c r="AN110" s="42" t="n">
        <f aca="false">AN35*Ratio!AN63</f>
        <v>0</v>
      </c>
      <c r="AO110" s="21" t="n">
        <f aca="false">AO35*Ratio!AO63</f>
        <v>0</v>
      </c>
      <c r="AP110" s="1" t="n">
        <f aca="false">AP35*Ratio!AP63</f>
        <v>0</v>
      </c>
      <c r="AQ110" s="40" t="n">
        <f aca="false">AQ35*Ratio!AQ63</f>
        <v>0</v>
      </c>
    </row>
    <row r="111" customFormat="false" ht="12.8" hidden="false" customHeight="false" outlineLevel="0" collapsed="false">
      <c r="A111" s="139" t="s">
        <v>180</v>
      </c>
      <c r="B111" s="72" t="n">
        <f aca="false">B36*Ratio!B64</f>
        <v>0.128369254102469</v>
      </c>
      <c r="C111" s="72" t="n">
        <f aca="false">C36*Ratio!C64</f>
        <v>0.129211122696607</v>
      </c>
      <c r="D111" s="31" t="n">
        <f aca="false">D36*Ratio!D64</f>
        <v>0.13099224020734</v>
      </c>
      <c r="E111" s="96" t="n">
        <f aca="false">E36*Ratio!E64</f>
        <v>0.131655054660188</v>
      </c>
      <c r="F111" s="31" t="n">
        <f aca="false">F36*Ratio!F64</f>
        <v>0.131988032536974</v>
      </c>
      <c r="G111" s="96" t="n">
        <f aca="false">G36*Ratio!G64</f>
        <v>0.153738413680987</v>
      </c>
      <c r="H111" s="31" t="n">
        <f aca="false">H36*Ratio!H64</f>
        <v>0.153738413680987</v>
      </c>
      <c r="I111" s="74" t="n">
        <f aca="false">I36*Ratio!I64</f>
        <v>0.153738413680987</v>
      </c>
      <c r="J111" s="75" t="n">
        <f aca="false">J36*Ratio!J64</f>
        <v>0.146649364605697</v>
      </c>
      <c r="K111" s="31" t="n">
        <f aca="false">K36*Ratio!K64</f>
        <v>0.157042440992552</v>
      </c>
      <c r="L111" s="31" t="n">
        <f aca="false">L36*Ratio!L64</f>
        <v>0.152839358630221</v>
      </c>
      <c r="M111" s="96" t="n">
        <f aca="false">M36*Ratio!M64</f>
        <v>0.152839358630221</v>
      </c>
      <c r="N111" s="96" t="n">
        <f aca="false">N36*Ratio!N64</f>
        <v>0.152457260233646</v>
      </c>
      <c r="O111" s="31" t="n">
        <f aca="false">O36*Ratio!O64</f>
        <v>0.143255881316581</v>
      </c>
      <c r="P111" s="76" t="n">
        <f aca="false">P36*Ratio!P64</f>
        <v>0.136721864921334</v>
      </c>
      <c r="Q111" s="75" t="n">
        <f aca="false">Q36*Ratio!Q64</f>
        <v>0.122145877637338</v>
      </c>
      <c r="R111" s="31" t="n">
        <f aca="false">R36*Ratio!R64</f>
        <v>0.117126184035803</v>
      </c>
      <c r="S111" s="96" t="n">
        <f aca="false">S36*Ratio!S64</f>
        <v>0.123283674853685</v>
      </c>
      <c r="T111" s="31" t="n">
        <f aca="false">T36*Ratio!T64</f>
        <v>0.112511361196075</v>
      </c>
      <c r="U111" s="31" t="n">
        <f aca="false">U36*Ratio!U64</f>
        <v>0.111486516415044</v>
      </c>
      <c r="V111" s="96" t="n">
        <f aca="false">V36*Ratio!V64</f>
        <v>0.111176831647225</v>
      </c>
      <c r="W111" s="96" t="n">
        <f aca="false">W36*Ratio!W64</f>
        <v>0.108442315147378</v>
      </c>
      <c r="X111" s="74" t="n">
        <f aca="false">X36*Ratio!X64</f>
        <v>0.113034940254142</v>
      </c>
      <c r="Y111" s="75" t="n">
        <f aca="false">Y36*Ratio!Y64</f>
        <v>0.113391765198036</v>
      </c>
      <c r="Z111" s="31" t="n">
        <f aca="false">Z36*Ratio!Z64</f>
        <v>0.110275956693464</v>
      </c>
      <c r="AA111" s="96" t="n">
        <f aca="false">AA36*Ratio!AA64</f>
        <v>0.116471419806458</v>
      </c>
      <c r="AB111" s="1" t="n">
        <f aca="false">AB36*Ratio!AB64</f>
        <v>0</v>
      </c>
      <c r="AC111" s="42" t="n">
        <f aca="false">AC36*Ratio!AC64</f>
        <v>0</v>
      </c>
      <c r="AD111" s="21" t="n">
        <f aca="false">AD36*Ratio!AD64</f>
        <v>0</v>
      </c>
      <c r="AE111" s="1" t="n">
        <f aca="false">AE36*Ratio!AE64</f>
        <v>0</v>
      </c>
      <c r="AF111" s="40" t="n">
        <f aca="false">AF36*Ratio!AF64</f>
        <v>0</v>
      </c>
      <c r="AG111" s="1" t="n">
        <f aca="false">AG36*Ratio!AG64</f>
        <v>0</v>
      </c>
      <c r="AH111" s="1" t="n">
        <f aca="false">AH36*Ratio!AH64</f>
        <v>0</v>
      </c>
      <c r="AI111" s="41" t="n">
        <f aca="false">AI36*Ratio!AI64</f>
        <v>0</v>
      </c>
      <c r="AJ111" s="21" t="n">
        <f aca="false">AJ36*Ratio!AJ64</f>
        <v>0</v>
      </c>
      <c r="AK111" s="1" t="n">
        <f aca="false">AK36*Ratio!AK64</f>
        <v>0</v>
      </c>
      <c r="AL111" s="40" t="n">
        <f aca="false">AL36*Ratio!AL64</f>
        <v>0</v>
      </c>
      <c r="AM111" s="1" t="n">
        <f aca="false">AM36*Ratio!AM64</f>
        <v>0</v>
      </c>
      <c r="AN111" s="42" t="n">
        <f aca="false">AN36*Ratio!AN64</f>
        <v>0</v>
      </c>
      <c r="AO111" s="21" t="n">
        <f aca="false">AO36*Ratio!AO64</f>
        <v>0</v>
      </c>
      <c r="AP111" s="1" t="n">
        <f aca="false">AP36*Ratio!AP64</f>
        <v>0</v>
      </c>
      <c r="AQ111" s="40" t="n">
        <f aca="false">AQ36*Ratio!AQ64</f>
        <v>0</v>
      </c>
    </row>
    <row r="112" customFormat="false" ht="12.8" hidden="false" customHeight="false" outlineLevel="0" collapsed="false">
      <c r="A112" s="139" t="s">
        <v>181</v>
      </c>
      <c r="B112" s="72" t="n">
        <f aca="false">B37*Ratio!B65</f>
        <v>0.25138692613955</v>
      </c>
      <c r="C112" s="72" t="n">
        <f aca="false">C37*Ratio!C65</f>
        <v>0.248472991080664</v>
      </c>
      <c r="D112" s="31" t="n">
        <f aca="false">D37*Ratio!D65</f>
        <v>0.251724682064712</v>
      </c>
      <c r="E112" s="96" t="n">
        <f aca="false">E37*Ratio!E65</f>
        <v>0.249801098854568</v>
      </c>
      <c r="F112" s="31" t="n">
        <f aca="false">F37*Ratio!F65</f>
        <v>0.232421682591797</v>
      </c>
      <c r="G112" s="96" t="n">
        <f aca="false">G37*Ratio!G65</f>
        <v>0.222398837255277</v>
      </c>
      <c r="H112" s="31" t="n">
        <f aca="false">H37*Ratio!H65</f>
        <v>0.225914966175404</v>
      </c>
      <c r="I112" s="74" t="n">
        <f aca="false">I37*Ratio!I65</f>
        <v>0.224275590312446</v>
      </c>
      <c r="J112" s="75" t="n">
        <f aca="false">J37*Ratio!J65</f>
        <v>0.188245395593758</v>
      </c>
      <c r="K112" s="31" t="n">
        <f aca="false">K37*Ratio!K65</f>
        <v>0.183545313635531</v>
      </c>
      <c r="L112" s="31" t="n">
        <f aca="false">L37*Ratio!L65</f>
        <v>0.182365627074492</v>
      </c>
      <c r="M112" s="96" t="n">
        <f aca="false">M37*Ratio!M65</f>
        <v>0.181604850042029</v>
      </c>
      <c r="N112" s="96" t="n">
        <f aca="false">N37*Ratio!N65</f>
        <v>0.181401720396861</v>
      </c>
      <c r="O112" s="31" t="n">
        <f aca="false">O37*Ratio!O65</f>
        <v>0.167023964976637</v>
      </c>
      <c r="P112" s="76" t="n">
        <f aca="false">P37*Ratio!P65</f>
        <v>0.185531210018109</v>
      </c>
      <c r="Q112" s="75" t="n">
        <f aca="false">Q37*Ratio!Q65</f>
        <v>0.170182213564801</v>
      </c>
      <c r="R112" s="31" t="n">
        <f aca="false">R37*Ratio!R65</f>
        <v>0.159400314211002</v>
      </c>
      <c r="S112" s="96" t="n">
        <f aca="false">S37*Ratio!S65</f>
        <v>0.167328432274018</v>
      </c>
      <c r="T112" s="31" t="n">
        <f aca="false">T37*Ratio!T65</f>
        <v>0.183379455328603</v>
      </c>
      <c r="U112" s="31" t="n">
        <f aca="false">U37*Ratio!U65</f>
        <v>0.206685792512135</v>
      </c>
      <c r="V112" s="96" t="n">
        <f aca="false">V37*Ratio!V65</f>
        <v>0.20135226563636</v>
      </c>
      <c r="W112" s="96" t="n">
        <f aca="false">W37*Ratio!W65</f>
        <v>0.189163315499277</v>
      </c>
      <c r="X112" s="74" t="n">
        <f aca="false">X37*Ratio!X65</f>
        <v>0.209038565783565</v>
      </c>
      <c r="Y112" s="75" t="n">
        <f aca="false">Y37*Ratio!Y65</f>
        <v>0.183993457028369</v>
      </c>
      <c r="Z112" s="31" t="n">
        <f aca="false">Z37*Ratio!Z65</f>
        <v>0.170763012615412</v>
      </c>
      <c r="AA112" s="96" t="n">
        <f aca="false">AA37*Ratio!AA65</f>
        <v>0.179036954470158</v>
      </c>
      <c r="AB112" s="1" t="n">
        <f aca="false">AB37*Ratio!AB65</f>
        <v>0</v>
      </c>
      <c r="AC112" s="42" t="n">
        <f aca="false">AC37*Ratio!AC65</f>
        <v>0</v>
      </c>
      <c r="AD112" s="21" t="n">
        <f aca="false">AD37*Ratio!AD65</f>
        <v>0</v>
      </c>
      <c r="AE112" s="1" t="n">
        <f aca="false">AE37*Ratio!AE65</f>
        <v>0</v>
      </c>
      <c r="AF112" s="40" t="n">
        <f aca="false">AF37*Ratio!AF65</f>
        <v>0</v>
      </c>
      <c r="AG112" s="1" t="n">
        <f aca="false">AG37*Ratio!AG65</f>
        <v>0</v>
      </c>
      <c r="AH112" s="1" t="n">
        <f aca="false">AH37*Ratio!AH65</f>
        <v>0</v>
      </c>
      <c r="AI112" s="41" t="n">
        <f aca="false">AI37*Ratio!AI65</f>
        <v>0</v>
      </c>
      <c r="AJ112" s="21" t="n">
        <f aca="false">AJ37*Ratio!AJ65</f>
        <v>0</v>
      </c>
      <c r="AK112" s="1" t="n">
        <f aca="false">AK37*Ratio!AK65</f>
        <v>0</v>
      </c>
      <c r="AL112" s="40" t="n">
        <f aca="false">AL37*Ratio!AL65</f>
        <v>0</v>
      </c>
      <c r="AM112" s="1" t="n">
        <f aca="false">AM37*Ratio!AM65</f>
        <v>0</v>
      </c>
      <c r="AN112" s="42" t="n">
        <f aca="false">AN37*Ratio!AN65</f>
        <v>0</v>
      </c>
      <c r="AO112" s="21" t="n">
        <f aca="false">AO37*Ratio!AO65</f>
        <v>0</v>
      </c>
      <c r="AP112" s="1" t="n">
        <f aca="false">AP37*Ratio!AP65</f>
        <v>0</v>
      </c>
      <c r="AQ112" s="40" t="n">
        <f aca="false">AQ37*Ratio!AQ65</f>
        <v>0</v>
      </c>
    </row>
    <row r="113" customFormat="false" ht="12.8" hidden="false" customHeight="false" outlineLevel="0" collapsed="false">
      <c r="A113" s="139" t="s">
        <v>30</v>
      </c>
      <c r="B113" s="72" t="n">
        <f aca="false">B38*Ratio!B66</f>
        <v>0.501947006046097</v>
      </c>
      <c r="C113" s="72" t="n">
        <f aca="false">C38*Ratio!C66</f>
        <v>0.455779113912908</v>
      </c>
      <c r="D113" s="31" t="n">
        <f aca="false">D38*Ratio!D66</f>
        <v>0.455779113912908</v>
      </c>
      <c r="E113" s="96" t="n">
        <f aca="false">E38*Ratio!E66</f>
        <v>0.397310249916447</v>
      </c>
      <c r="F113" s="31" t="n">
        <f aca="false">F38*Ratio!F66</f>
        <v>0.395008565391187</v>
      </c>
      <c r="G113" s="96" t="n">
        <f aca="false">G38*Ratio!G66</f>
        <v>0.403172075742605</v>
      </c>
      <c r="H113" s="31" t="n">
        <f aca="false">H38*Ratio!H66</f>
        <v>0.422224306977363</v>
      </c>
      <c r="I113" s="74" t="n">
        <f aca="false">I38*Ratio!I66</f>
        <v>0.3936524014693</v>
      </c>
      <c r="J113" s="75" t="n">
        <f aca="false">J38*Ratio!J66</f>
        <v>0.367905859296606</v>
      </c>
      <c r="K113" s="31" t="n">
        <f aca="false">K38*Ratio!K66</f>
        <v>0.373899984870752</v>
      </c>
      <c r="L113" s="31" t="n">
        <f aca="false">L38*Ratio!L66</f>
        <v>0.362048534911623</v>
      </c>
      <c r="M113" s="96" t="n">
        <f aca="false">M38*Ratio!M66</f>
        <v>0.362662744332355</v>
      </c>
      <c r="N113" s="96" t="n">
        <f aca="false">N38*Ratio!N66</f>
        <v>0.358991447112978</v>
      </c>
      <c r="O113" s="31" t="n">
        <f aca="false">O38*Ratio!O66</f>
        <v>0.345074020011386</v>
      </c>
      <c r="P113" s="76" t="n">
        <f aca="false">P38*Ratio!P66</f>
        <v>0.394030536622272</v>
      </c>
      <c r="Q113" s="75" t="n">
        <f aca="false">Q38*Ratio!Q66</f>
        <v>0.403022183099598</v>
      </c>
      <c r="R113" s="31" t="n">
        <f aca="false">R38*Ratio!R66</f>
        <v>0.404219871608066</v>
      </c>
      <c r="S113" s="96" t="n">
        <f aca="false">S38*Ratio!S66</f>
        <v>0.420840793884336</v>
      </c>
      <c r="T113" s="31" t="n">
        <f aca="false">T38*Ratio!T66</f>
        <v>0.410073574193205</v>
      </c>
      <c r="U113" s="31" t="n">
        <f aca="false">U38*Ratio!U66</f>
        <v>0.480196983352655</v>
      </c>
      <c r="V113" s="96" t="n">
        <f aca="false">V38*Ratio!V66</f>
        <v>0.448824113773615</v>
      </c>
      <c r="W113" s="96" t="n">
        <f aca="false">W38*Ratio!W66</f>
        <v>0.433243322320432</v>
      </c>
      <c r="X113" s="74" t="n">
        <f aca="false">X38*Ratio!X66</f>
        <v>0.480196983352655</v>
      </c>
      <c r="Y113" s="75" t="n">
        <f aca="false">Y38*Ratio!Y66</f>
        <v>0.4396267408858</v>
      </c>
      <c r="Z113" s="31" t="n">
        <f aca="false">Z38*Ratio!Z66</f>
        <v>0.419372032127985</v>
      </c>
      <c r="AA113" s="96" t="n">
        <f aca="false">AA38*Ratio!AA66</f>
        <v>0.430688674368996</v>
      </c>
      <c r="AB113" s="1" t="n">
        <f aca="false">AB38*Ratio!AB66</f>
        <v>0</v>
      </c>
      <c r="AC113" s="42" t="n">
        <f aca="false">AC38*Ratio!AC66</f>
        <v>0</v>
      </c>
      <c r="AD113" s="21" t="n">
        <f aca="false">AD38*Ratio!AD66</f>
        <v>0</v>
      </c>
      <c r="AE113" s="1" t="n">
        <f aca="false">AE38*Ratio!AE66</f>
        <v>0</v>
      </c>
      <c r="AF113" s="40" t="n">
        <f aca="false">AF38*Ratio!AF66</f>
        <v>0</v>
      </c>
      <c r="AG113" s="1" t="n">
        <f aca="false">AG38*Ratio!AG66</f>
        <v>0</v>
      </c>
      <c r="AH113" s="1" t="n">
        <f aca="false">AH38*Ratio!AH66</f>
        <v>0</v>
      </c>
      <c r="AI113" s="41" t="n">
        <f aca="false">AI38*Ratio!AI66</f>
        <v>0</v>
      </c>
      <c r="AJ113" s="21" t="n">
        <f aca="false">AJ38*Ratio!AJ66</f>
        <v>0</v>
      </c>
      <c r="AK113" s="1" t="n">
        <f aca="false">AK38*Ratio!AK66</f>
        <v>0</v>
      </c>
      <c r="AL113" s="40" t="n">
        <f aca="false">AL38*Ratio!AL66</f>
        <v>0</v>
      </c>
      <c r="AM113" s="1" t="n">
        <f aca="false">AM38*Ratio!AM66</f>
        <v>0</v>
      </c>
      <c r="AN113" s="42" t="n">
        <f aca="false">AN38*Ratio!AN66</f>
        <v>0</v>
      </c>
      <c r="AO113" s="21" t="n">
        <f aca="false">AO38*Ratio!AO66</f>
        <v>0</v>
      </c>
      <c r="AP113" s="1" t="n">
        <f aca="false">AP38*Ratio!AP66</f>
        <v>0</v>
      </c>
      <c r="AQ113" s="40" t="n">
        <f aca="false">AQ38*Ratio!AQ66</f>
        <v>0</v>
      </c>
    </row>
    <row r="114" customFormat="false" ht="12.8" hidden="false" customHeight="false" outlineLevel="0" collapsed="false">
      <c r="A114" s="139" t="s">
        <v>182</v>
      </c>
      <c r="B114" s="72" t="n">
        <f aca="false">B39*Ratio!B67</f>
        <v>0.0351619283444347</v>
      </c>
      <c r="C114" s="72" t="n">
        <f aca="false">C39*Ratio!C67</f>
        <v>0.0359852792836295</v>
      </c>
      <c r="D114" s="31" t="n">
        <f aca="false">D39*Ratio!D67</f>
        <v>0.0359852792836295</v>
      </c>
      <c r="E114" s="96" t="n">
        <f aca="false">E39*Ratio!E67</f>
        <v>0.0360337116918174</v>
      </c>
      <c r="F114" s="31" t="n">
        <f aca="false">F39*Ratio!F67</f>
        <v>0.0360337116918174</v>
      </c>
      <c r="G114" s="96" t="n">
        <f aca="false">G39*Ratio!G67</f>
        <v>0.036032810895773</v>
      </c>
      <c r="H114" s="31" t="n">
        <f aca="false">H39*Ratio!H67</f>
        <v>0.036032810895773</v>
      </c>
      <c r="I114" s="74" t="n">
        <f aca="false">I39*Ratio!I67</f>
        <v>0.0351680234342745</v>
      </c>
      <c r="J114" s="75" t="n">
        <f aca="false">J39*Ratio!J67</f>
        <v>0.0338778646717801</v>
      </c>
      <c r="K114" s="31" t="n">
        <f aca="false">K39*Ratio!K67</f>
        <v>0.0322210436448831</v>
      </c>
      <c r="L114" s="31" t="n">
        <f aca="false">L39*Ratio!L67</f>
        <v>0.0322210436448831</v>
      </c>
      <c r="M114" s="96" t="n">
        <f aca="false">M39*Ratio!M67</f>
        <v>0.0322210436448831</v>
      </c>
      <c r="N114" s="96" t="n">
        <f aca="false">N39*Ratio!N67</f>
        <v>0.0322210436448831</v>
      </c>
      <c r="O114" s="31" t="n">
        <f aca="false">O39*Ratio!O67</f>
        <v>0.0364871735297292</v>
      </c>
      <c r="P114" s="76" t="n">
        <f aca="false">P39*Ratio!P67</f>
        <v>0.0418335831417317</v>
      </c>
      <c r="Q114" s="75" t="n">
        <f aca="false">Q39*Ratio!Q67</f>
        <v>0.0369250546953105</v>
      </c>
      <c r="R114" s="31" t="n">
        <f aca="false">R39*Ratio!R67</f>
        <v>0.0362896890990015</v>
      </c>
      <c r="S114" s="96" t="n">
        <f aca="false">S39*Ratio!S67</f>
        <v>0.0359318980517814</v>
      </c>
      <c r="T114" s="31" t="n">
        <f aca="false">T39*Ratio!T67</f>
        <v>0.0421719844761299</v>
      </c>
      <c r="U114" s="31" t="n">
        <f aca="false">U39*Ratio!U67</f>
        <v>0.056260303040266</v>
      </c>
      <c r="V114" s="96" t="n">
        <f aca="false">V39*Ratio!V67</f>
        <v>0.0547508802757711</v>
      </c>
      <c r="W114" s="96" t="n">
        <f aca="false">W39*Ratio!W67</f>
        <v>0.0547508802757711</v>
      </c>
      <c r="X114" s="74" t="n">
        <f aca="false">X39*Ratio!X67</f>
        <v>0.0547508802757711</v>
      </c>
      <c r="Y114" s="75" t="n">
        <f aca="false">Y39*Ratio!Y67</f>
        <v>0.0469211641030885</v>
      </c>
      <c r="Z114" s="31" t="n">
        <f aca="false">Z39*Ratio!Z67</f>
        <v>0.0469131449905292</v>
      </c>
      <c r="AA114" s="96" t="n">
        <f aca="false">AA39*Ratio!AA67</f>
        <v>0.0448214931313178</v>
      </c>
      <c r="AB114" s="1" t="n">
        <f aca="false">AB39*Ratio!AB67</f>
        <v>0</v>
      </c>
      <c r="AC114" s="42" t="n">
        <f aca="false">AC39*Ratio!AC67</f>
        <v>0</v>
      </c>
      <c r="AD114" s="21" t="n">
        <f aca="false">AD39*Ratio!AD67</f>
        <v>0</v>
      </c>
      <c r="AE114" s="1" t="n">
        <f aca="false">AE39*Ratio!AE67</f>
        <v>0</v>
      </c>
      <c r="AF114" s="40" t="n">
        <f aca="false">AF39*Ratio!AF67</f>
        <v>0</v>
      </c>
      <c r="AG114" s="1" t="n">
        <f aca="false">AG39*Ratio!AG67</f>
        <v>0</v>
      </c>
      <c r="AH114" s="1" t="n">
        <f aca="false">AH39*Ratio!AH67</f>
        <v>0</v>
      </c>
      <c r="AI114" s="41" t="n">
        <f aca="false">AI39*Ratio!AI67</f>
        <v>0</v>
      </c>
      <c r="AJ114" s="21" t="n">
        <f aca="false">AJ39*Ratio!AJ67</f>
        <v>0</v>
      </c>
      <c r="AK114" s="1" t="n">
        <f aca="false">AK39*Ratio!AK67</f>
        <v>0</v>
      </c>
      <c r="AL114" s="40" t="n">
        <f aca="false">AL39*Ratio!AL67</f>
        <v>0</v>
      </c>
      <c r="AM114" s="1" t="n">
        <f aca="false">AM39*Ratio!AM67</f>
        <v>0</v>
      </c>
      <c r="AN114" s="42" t="n">
        <f aca="false">AN39*Ratio!AN67</f>
        <v>0</v>
      </c>
      <c r="AO114" s="21" t="n">
        <f aca="false">AO39*Ratio!AO67</f>
        <v>0</v>
      </c>
      <c r="AP114" s="1" t="n">
        <f aca="false">AP39*Ratio!AP67</f>
        <v>0</v>
      </c>
      <c r="AQ114" s="40" t="n">
        <f aca="false">AQ39*Ratio!AQ67</f>
        <v>0</v>
      </c>
    </row>
    <row r="115" customFormat="false" ht="12.8" hidden="false" customHeight="false" outlineLevel="0" collapsed="false">
      <c r="A115" s="139" t="s">
        <v>27</v>
      </c>
      <c r="B115" s="72" t="n">
        <f aca="false">B40*Ratio!B69</f>
        <v>0.118209214883813</v>
      </c>
      <c r="C115" s="72" t="n">
        <f aca="false">C40*Ratio!C69</f>
        <v>0.118209214883813</v>
      </c>
      <c r="D115" s="31" t="n">
        <f aca="false">D40*Ratio!D69</f>
        <v>0.118209214883813</v>
      </c>
      <c r="E115" s="96" t="n">
        <f aca="false">E40*Ratio!E69</f>
        <v>0.106818671597957</v>
      </c>
      <c r="F115" s="31" t="n">
        <f aca="false">F40*Ratio!F69</f>
        <v>0.0978586168154561</v>
      </c>
      <c r="G115" s="96" t="n">
        <f aca="false">G40*Ratio!G69</f>
        <v>0.108149814837055</v>
      </c>
      <c r="H115" s="31" t="n">
        <f aca="false">H40*Ratio!H69</f>
        <v>0.108149814837055</v>
      </c>
      <c r="I115" s="74" t="n">
        <f aca="false">I40*Ratio!I69</f>
        <v>0.102979808142551</v>
      </c>
      <c r="J115" s="75" t="n">
        <f aca="false">J40*Ratio!J69</f>
        <v>0.108710823382585</v>
      </c>
      <c r="K115" s="31" t="n">
        <f aca="false">K40*Ratio!K69</f>
        <v>0.132245954144149</v>
      </c>
      <c r="L115" s="31" t="n">
        <f aca="false">L40*Ratio!L69</f>
        <v>0.132245954144149</v>
      </c>
      <c r="M115" s="96" t="n">
        <f aca="false">M40*Ratio!M69</f>
        <v>0.132845933317687</v>
      </c>
      <c r="N115" s="96" t="n">
        <f aca="false">N40*Ratio!N69</f>
        <v>0.121177057321659</v>
      </c>
      <c r="O115" s="31" t="n">
        <f aca="false">O40*Ratio!O69</f>
        <v>0.0752658711502904</v>
      </c>
      <c r="P115" s="76" t="n">
        <f aca="false">P40*Ratio!P69</f>
        <v>0.0874507059008004</v>
      </c>
      <c r="Q115" s="75" t="n">
        <f aca="false">Q40*Ratio!Q69</f>
        <v>0.0890201418456315</v>
      </c>
      <c r="R115" s="31" t="n">
        <f aca="false">R40*Ratio!R69</f>
        <v>0.0840095795760345</v>
      </c>
      <c r="S115" s="96" t="n">
        <f aca="false">S40*Ratio!S69</f>
        <v>0.0923266042570407</v>
      </c>
      <c r="T115" s="31" t="n">
        <f aca="false">T40*Ratio!T69</f>
        <v>0.0829493164971576</v>
      </c>
      <c r="U115" s="31" t="n">
        <f aca="false">U40*Ratio!U69</f>
        <v>0.118298842382109</v>
      </c>
      <c r="V115" s="96" t="n">
        <f aca="false">V40*Ratio!V69</f>
        <v>0.118721570515965</v>
      </c>
      <c r="W115" s="96" t="n">
        <f aca="false">W40*Ratio!W69</f>
        <v>0.118721570515965</v>
      </c>
      <c r="X115" s="74" t="n">
        <f aca="false">X40*Ratio!X69</f>
        <v>0.118721570515965</v>
      </c>
      <c r="Y115" s="75" t="n">
        <f aca="false">Y40*Ratio!Y69</f>
        <v>0.11719802079354</v>
      </c>
      <c r="Z115" s="31" t="n">
        <f aca="false">Z40*Ratio!Z69</f>
        <v>0.0917912478366301</v>
      </c>
      <c r="AA115" s="96" t="n">
        <f aca="false">AA40*Ratio!AA69</f>
        <v>0.122167438680513</v>
      </c>
      <c r="AB115" s="1" t="n">
        <f aca="false">AB40*Ratio!AB69</f>
        <v>0</v>
      </c>
      <c r="AC115" s="42" t="n">
        <f aca="false">AC40*Ratio!AC69</f>
        <v>0</v>
      </c>
      <c r="AD115" s="21" t="n">
        <f aca="false">AD40*Ratio!AD69</f>
        <v>0</v>
      </c>
      <c r="AE115" s="1" t="n">
        <f aca="false">AE40*Ratio!AE69</f>
        <v>0</v>
      </c>
      <c r="AF115" s="40" t="n">
        <f aca="false">AF40*Ratio!AF69</f>
        <v>0</v>
      </c>
      <c r="AG115" s="1" t="n">
        <f aca="false">AG40*Ratio!AG69</f>
        <v>0</v>
      </c>
      <c r="AH115" s="1" t="n">
        <f aca="false">AH40*Ratio!AH69</f>
        <v>0</v>
      </c>
      <c r="AI115" s="41" t="n">
        <f aca="false">AI40*Ratio!AI69</f>
        <v>0</v>
      </c>
      <c r="AJ115" s="21" t="n">
        <f aca="false">AJ40*Ratio!AJ69</f>
        <v>0</v>
      </c>
      <c r="AK115" s="1" t="n">
        <f aca="false">AK40*Ratio!AK69</f>
        <v>0</v>
      </c>
      <c r="AL115" s="40" t="n">
        <f aca="false">AL40*Ratio!AL69</f>
        <v>0</v>
      </c>
      <c r="AM115" s="1" t="n">
        <f aca="false">AM40*Ratio!AM69</f>
        <v>0</v>
      </c>
      <c r="AN115" s="42" t="n">
        <f aca="false">AN40*Ratio!AN69</f>
        <v>0</v>
      </c>
      <c r="AO115" s="21" t="n">
        <f aca="false">AO40*Ratio!AO69</f>
        <v>0</v>
      </c>
      <c r="AP115" s="1" t="n">
        <f aca="false">AP40*Ratio!AP69</f>
        <v>0</v>
      </c>
      <c r="AQ115" s="40" t="n">
        <f aca="false">AQ40*Ratio!AQ69</f>
        <v>0</v>
      </c>
    </row>
    <row r="116" customFormat="false" ht="12.8" hidden="false" customHeight="false" outlineLevel="0" collapsed="false">
      <c r="A116" s="139" t="s">
        <v>184</v>
      </c>
      <c r="B116" s="72" t="n">
        <f aca="false">B41*Ratio!B71</f>
        <v>0.0498955019812756</v>
      </c>
      <c r="C116" s="72" t="n">
        <f aca="false">C41*Ratio!C71</f>
        <v>0.0498352013875966</v>
      </c>
      <c r="D116" s="31" t="n">
        <f aca="false">D41*Ratio!D71</f>
        <v>0.0511878711395457</v>
      </c>
      <c r="E116" s="96" t="n">
        <f aca="false">E41*Ratio!E71</f>
        <v>0.0494792356633995</v>
      </c>
      <c r="F116" s="31" t="n">
        <f aca="false">F41*Ratio!F71</f>
        <v>0.048055372766611</v>
      </c>
      <c r="G116" s="96" t="n">
        <f aca="false">G41*Ratio!G71</f>
        <v>0.0565605763243342</v>
      </c>
      <c r="H116" s="31" t="n">
        <f aca="false">H41*Ratio!H71</f>
        <v>0.0549552057019111</v>
      </c>
      <c r="I116" s="74" t="n">
        <f aca="false">I41*Ratio!I71</f>
        <v>0.056128513613608</v>
      </c>
      <c r="J116" s="75" t="n">
        <f aca="false">J41*Ratio!J71</f>
        <v>0.0476710223517281</v>
      </c>
      <c r="K116" s="31" t="n">
        <f aca="false">K41*Ratio!K71</f>
        <v>0.0420912622021809</v>
      </c>
      <c r="L116" s="31" t="n">
        <f aca="false">L41*Ratio!L71</f>
        <v>0.0420739277439504</v>
      </c>
      <c r="M116" s="96" t="n">
        <f aca="false">M41*Ratio!M71</f>
        <v>0.0420739277439504</v>
      </c>
      <c r="N116" s="96" t="n">
        <f aca="false">N41*Ratio!N71</f>
        <v>0.0420823425294992</v>
      </c>
      <c r="O116" s="31" t="n">
        <f aca="false">O41*Ratio!O71</f>
        <v>0.0486776854918862</v>
      </c>
      <c r="P116" s="76" t="n">
        <f aca="false">P41*Ratio!P71</f>
        <v>0.0459877094559516</v>
      </c>
      <c r="Q116" s="75" t="n">
        <f aca="false">Q41*Ratio!Q71</f>
        <v>0.0375576729902647</v>
      </c>
      <c r="R116" s="31" t="n">
        <f aca="false">R41*Ratio!R71</f>
        <v>0.0297228438633761</v>
      </c>
      <c r="S116" s="96" t="n">
        <f aca="false">S41*Ratio!S71</f>
        <v>0.0267224306027198</v>
      </c>
      <c r="T116" s="31" t="n">
        <f aca="false">T41*Ratio!T71</f>
        <v>0.0292608353864263</v>
      </c>
      <c r="U116" s="31" t="n">
        <f aca="false">U41*Ratio!U71</f>
        <v>0.0285328482699443</v>
      </c>
      <c r="V116" s="96" t="n">
        <f aca="false">V41*Ratio!V71</f>
        <v>0.0302158712946235</v>
      </c>
      <c r="W116" s="96" t="n">
        <f aca="false">W41*Ratio!W71</f>
        <v>0.0301138793315349</v>
      </c>
      <c r="X116" s="74" t="n">
        <f aca="false">X41*Ratio!X71</f>
        <v>0.0301138793315349</v>
      </c>
      <c r="Y116" s="75" t="n">
        <f aca="false">Y41*Ratio!Y71</f>
        <v>0.0299920054317029</v>
      </c>
      <c r="Z116" s="31" t="n">
        <f aca="false">Z41*Ratio!Z71</f>
        <v>0.03207956449174</v>
      </c>
      <c r="AA116" s="96" t="n">
        <f aca="false">AA41*Ratio!AA71</f>
        <v>0.0321572927546137</v>
      </c>
      <c r="AB116" s="1" t="n">
        <f aca="false">AB41*Ratio!AB71</f>
        <v>0</v>
      </c>
      <c r="AC116" s="42" t="n">
        <f aca="false">AC41*Ratio!AC71</f>
        <v>0</v>
      </c>
      <c r="AD116" s="21" t="n">
        <f aca="false">AD41*Ratio!AD71</f>
        <v>0</v>
      </c>
      <c r="AE116" s="1" t="n">
        <f aca="false">AE41*Ratio!AE71</f>
        <v>0</v>
      </c>
      <c r="AF116" s="40" t="n">
        <f aca="false">AF41*Ratio!AF71</f>
        <v>0</v>
      </c>
      <c r="AG116" s="1" t="n">
        <f aca="false">AG41*Ratio!AG71</f>
        <v>0</v>
      </c>
      <c r="AH116" s="1" t="n">
        <f aca="false">AH41*Ratio!AH71</f>
        <v>0</v>
      </c>
      <c r="AI116" s="41" t="n">
        <f aca="false">AI41*Ratio!AI71</f>
        <v>0</v>
      </c>
      <c r="AJ116" s="21" t="n">
        <f aca="false">AJ41*Ratio!AJ71</f>
        <v>0</v>
      </c>
      <c r="AK116" s="1" t="n">
        <f aca="false">AK41*Ratio!AK71</f>
        <v>0</v>
      </c>
      <c r="AL116" s="40" t="n">
        <f aca="false">AL41*Ratio!AL71</f>
        <v>0</v>
      </c>
      <c r="AM116" s="1" t="n">
        <f aca="false">AM41*Ratio!AM71</f>
        <v>0</v>
      </c>
      <c r="AN116" s="42" t="n">
        <f aca="false">AN41*Ratio!AN71</f>
        <v>0</v>
      </c>
      <c r="AO116" s="21" t="n">
        <f aca="false">AO41*Ratio!AO71</f>
        <v>0</v>
      </c>
      <c r="AP116" s="1" t="n">
        <f aca="false">AP41*Ratio!AP71</f>
        <v>0</v>
      </c>
      <c r="AQ116" s="40" t="n">
        <f aca="false">AQ41*Ratio!AQ71</f>
        <v>0</v>
      </c>
    </row>
    <row r="117" customFormat="false" ht="12.8" hidden="false" customHeight="false" outlineLevel="0" collapsed="false">
      <c r="A117" s="139" t="s">
        <v>229</v>
      </c>
      <c r="B117" s="72" t="n">
        <f aca="false">B42*Ratio!B72</f>
        <v>0.0306204043345372</v>
      </c>
      <c r="C117" s="72" t="n">
        <f aca="false">C42*Ratio!C72</f>
        <v>0.0292167175937673</v>
      </c>
      <c r="D117" s="31" t="n">
        <f aca="false">D42*Ratio!D72</f>
        <v>0.0292167175937673</v>
      </c>
      <c r="E117" s="96" t="n">
        <f aca="false">E42*Ratio!E72</f>
        <v>0.0303945686068307</v>
      </c>
      <c r="F117" s="31" t="n">
        <f aca="false">F42*Ratio!F72</f>
        <v>0.0237226699392924</v>
      </c>
      <c r="G117" s="96" t="n">
        <f aca="false">G42*Ratio!G72</f>
        <v>0.0242919021510032</v>
      </c>
      <c r="H117" s="31" t="n">
        <f aca="false">H42*Ratio!H72</f>
        <v>0.0230842424929479</v>
      </c>
      <c r="I117" s="74" t="n">
        <f aca="false">I42*Ratio!I72</f>
        <v>0.0219721168687923</v>
      </c>
      <c r="J117" s="75" t="n">
        <f aca="false">J42*Ratio!J72</f>
        <v>0.0198772670855799</v>
      </c>
      <c r="K117" s="31" t="n">
        <f aca="false">K42*Ratio!K72</f>
        <v>0.018594862757478</v>
      </c>
      <c r="L117" s="31" t="n">
        <f aca="false">L42*Ratio!L72</f>
        <v>0.0181673946481107</v>
      </c>
      <c r="M117" s="96" t="n">
        <f aca="false">M42*Ratio!M72</f>
        <v>0.0181673946481107</v>
      </c>
      <c r="N117" s="96" t="n">
        <f aca="false">N42*Ratio!N72</f>
        <v>0.0170987243746924</v>
      </c>
      <c r="O117" s="31" t="n">
        <f aca="false">O42*Ratio!O72</f>
        <v>0.0115570997594509</v>
      </c>
      <c r="P117" s="76" t="n">
        <f aca="false">P42*Ratio!P72</f>
        <v>0.0132234938615895</v>
      </c>
      <c r="Q117" s="236" t="n">
        <f aca="false">Q42*Ratio!Q79</f>
        <v>0.0176539385407649</v>
      </c>
      <c r="R117" s="31" t="n">
        <f aca="false">R42*Ratio!R79</f>
        <v>0.0196082222722323</v>
      </c>
      <c r="S117" s="96" t="n">
        <f aca="false">S42*Ratio!S79</f>
        <v>0.0196082222722323</v>
      </c>
      <c r="T117" s="31" t="n">
        <f aca="false">T42*Ratio!T79</f>
        <v>0.0232512632652472</v>
      </c>
      <c r="U117" s="31" t="n">
        <f aca="false">U42*Ratio!U79</f>
        <v>0.0295033165620861</v>
      </c>
      <c r="V117" s="96" t="n">
        <f aca="false">V42*Ratio!V79</f>
        <v>0.0290847563956463</v>
      </c>
      <c r="W117" s="96" t="n">
        <f aca="false">W42*Ratio!W79</f>
        <v>0.0290847563956463</v>
      </c>
      <c r="X117" s="74" t="n">
        <f aca="false">X42*Ratio!X79</f>
        <v>0.0319216211983227</v>
      </c>
      <c r="Y117" s="75" t="n">
        <f aca="false">Y42*Ratio!Y79</f>
        <v>0.0299869774893334</v>
      </c>
      <c r="Z117" s="31" t="n">
        <f aca="false">Z42*Ratio!Z79</f>
        <v>0.0290196556348388</v>
      </c>
      <c r="AA117" s="96" t="n">
        <f aca="false">AA42*Ratio!AA79</f>
        <v>0.0290196556348388</v>
      </c>
      <c r="AB117" s="1" t="n">
        <f aca="false">AB42*Ratio!AB79</f>
        <v>0</v>
      </c>
      <c r="AC117" s="42" t="n">
        <f aca="false">AC42*Ratio!AC79</f>
        <v>0</v>
      </c>
      <c r="AD117" s="21" t="n">
        <f aca="false">AD42*Ratio!AD79</f>
        <v>0</v>
      </c>
      <c r="AE117" s="1" t="n">
        <f aca="false">AE42*Ratio!AE79</f>
        <v>0</v>
      </c>
      <c r="AF117" s="40" t="n">
        <f aca="false">AF42*Ratio!AF79</f>
        <v>0</v>
      </c>
      <c r="AG117" s="1" t="n">
        <f aca="false">AG42*Ratio!AG79</f>
        <v>0</v>
      </c>
      <c r="AH117" s="1" t="n">
        <f aca="false">AH42*Ratio!AH79</f>
        <v>0</v>
      </c>
      <c r="AI117" s="41" t="n">
        <f aca="false">AI42*Ratio!AI79</f>
        <v>0</v>
      </c>
      <c r="AJ117" s="21" t="n">
        <f aca="false">AJ42*Ratio!AJ79</f>
        <v>0</v>
      </c>
      <c r="AK117" s="1" t="n">
        <f aca="false">AK42*Ratio!AK79</f>
        <v>0</v>
      </c>
      <c r="AL117" s="40" t="n">
        <f aca="false">AL42*Ratio!AL79</f>
        <v>0</v>
      </c>
      <c r="AM117" s="1" t="n">
        <f aca="false">AM42*Ratio!AM79</f>
        <v>0</v>
      </c>
      <c r="AN117" s="42" t="n">
        <f aca="false">AN42*Ratio!AN79</f>
        <v>0</v>
      </c>
      <c r="AO117" s="21" t="n">
        <f aca="false">AO42*Ratio!AO79</f>
        <v>0</v>
      </c>
      <c r="AP117" s="1" t="n">
        <f aca="false">AP42*Ratio!AP79</f>
        <v>0</v>
      </c>
      <c r="AQ117" s="40" t="n">
        <f aca="false">AQ42*Ratio!AQ79</f>
        <v>0</v>
      </c>
    </row>
    <row r="118" customFormat="false" ht="12.8" hidden="false" customHeight="false" outlineLevel="0" collapsed="false">
      <c r="A118" s="139" t="s">
        <v>186</v>
      </c>
      <c r="B118" s="72" t="n">
        <f aca="false">B43*Ratio!B74</f>
        <v>0.0610412378776426</v>
      </c>
      <c r="C118" s="72" t="n">
        <f aca="false">C43*Ratio!C74</f>
        <v>0.0575956198634347</v>
      </c>
      <c r="D118" s="31" t="n">
        <f aca="false">D43*Ratio!D74</f>
        <v>0.0559217709374168</v>
      </c>
      <c r="E118" s="96" t="n">
        <f aca="false">E43*Ratio!E74</f>
        <v>0.0608672336733789</v>
      </c>
      <c r="F118" s="31" t="n">
        <f aca="false">F43*Ratio!F74</f>
        <v>0.0494698441680387</v>
      </c>
      <c r="G118" s="96" t="n">
        <f aca="false">G43*Ratio!G74</f>
        <v>0.0422760036692058</v>
      </c>
      <c r="H118" s="31" t="n">
        <f aca="false">H43*Ratio!H74</f>
        <v>0.0405164709777178</v>
      </c>
      <c r="I118" s="74" t="n">
        <f aca="false">I43*Ratio!I74</f>
        <v>0.0393363795900173</v>
      </c>
      <c r="J118" s="75" t="n">
        <f aca="false">J43*Ratio!J74</f>
        <v>0.035561483172379</v>
      </c>
      <c r="K118" s="31" t="n">
        <f aca="false">K43*Ratio!K74</f>
        <v>0.0327747366967038</v>
      </c>
      <c r="L118" s="31" t="n">
        <f aca="false">L43*Ratio!L74</f>
        <v>0.0327747366967038</v>
      </c>
      <c r="M118" s="96" t="n">
        <f aca="false">M43*Ratio!M74</f>
        <v>0.0327747366967038</v>
      </c>
      <c r="N118" s="96" t="n">
        <f aca="false">N43*Ratio!N74</f>
        <v>0.0324022965069685</v>
      </c>
      <c r="O118" s="31" t="n">
        <f aca="false">O43*Ratio!O74</f>
        <v>0.0332206605912902</v>
      </c>
      <c r="P118" s="76" t="n">
        <f aca="false">P43*Ratio!P74</f>
        <v>0.0336962611474711</v>
      </c>
      <c r="Q118" s="75" t="n">
        <f aca="false">Q43*Ratio!Q74</f>
        <v>0.0321489838498832</v>
      </c>
      <c r="R118" s="31" t="n">
        <f aca="false">R43*Ratio!R74</f>
        <v>0.0321489838498832</v>
      </c>
      <c r="S118" s="96" t="n">
        <f aca="false">S43*Ratio!S74</f>
        <v>0.032091042613081</v>
      </c>
      <c r="T118" s="31" t="n">
        <f aca="false">T43*Ratio!T74</f>
        <v>0.0329339129943422</v>
      </c>
      <c r="U118" s="31" t="n">
        <f aca="false">U43*Ratio!U74</f>
        <v>0.036562298999062</v>
      </c>
      <c r="V118" s="96" t="n">
        <f aca="false">V43*Ratio!V74</f>
        <v>0.0373571315859981</v>
      </c>
      <c r="W118" s="96" t="n">
        <f aca="false">W43*Ratio!W74</f>
        <v>0.0373571315859981</v>
      </c>
      <c r="X118" s="74" t="n">
        <f aca="false">X43*Ratio!X74</f>
        <v>0.0373571315859981</v>
      </c>
      <c r="Y118" s="75" t="n">
        <f aca="false">Y43*Ratio!Y74</f>
        <v>0.0384611667811245</v>
      </c>
      <c r="Z118" s="31" t="n">
        <f aca="false">Z43*Ratio!Z74</f>
        <v>0.0372716461590278</v>
      </c>
      <c r="AA118" s="96" t="n">
        <f aca="false">AA43*Ratio!AA74</f>
        <v>0.0396427572657405</v>
      </c>
      <c r="AB118" s="1" t="n">
        <f aca="false">AB43*Ratio!AB74</f>
        <v>0</v>
      </c>
      <c r="AC118" s="42" t="n">
        <f aca="false">AC43*Ratio!AC74</f>
        <v>0</v>
      </c>
      <c r="AD118" s="21" t="n">
        <f aca="false">AD43*Ratio!AD74</f>
        <v>0</v>
      </c>
      <c r="AE118" s="1" t="n">
        <f aca="false">AE43*Ratio!AE74</f>
        <v>0</v>
      </c>
      <c r="AF118" s="40" t="n">
        <f aca="false">AF43*Ratio!AF74</f>
        <v>0</v>
      </c>
      <c r="AG118" s="1" t="n">
        <f aca="false">AG43*Ratio!AG74</f>
        <v>0</v>
      </c>
      <c r="AH118" s="1" t="n">
        <f aca="false">AH43*Ratio!AH74</f>
        <v>0</v>
      </c>
      <c r="AI118" s="41" t="n">
        <f aca="false">AI43*Ratio!AI74</f>
        <v>0</v>
      </c>
      <c r="AJ118" s="21" t="n">
        <f aca="false">AJ43*Ratio!AJ74</f>
        <v>0</v>
      </c>
      <c r="AK118" s="1" t="n">
        <f aca="false">AK43*Ratio!AK74</f>
        <v>0</v>
      </c>
      <c r="AL118" s="40" t="n">
        <f aca="false">AL43*Ratio!AL74</f>
        <v>0</v>
      </c>
      <c r="AM118" s="1" t="n">
        <f aca="false">AM43*Ratio!AM74</f>
        <v>0</v>
      </c>
      <c r="AN118" s="42" t="n">
        <f aca="false">AN43*Ratio!AN74</f>
        <v>0</v>
      </c>
      <c r="AO118" s="21" t="n">
        <f aca="false">AO43*Ratio!AO74</f>
        <v>0</v>
      </c>
      <c r="AP118" s="1" t="n">
        <f aca="false">AP43*Ratio!AP74</f>
        <v>0</v>
      </c>
      <c r="AQ118" s="40" t="n">
        <f aca="false">AQ43*Ratio!AQ74</f>
        <v>0</v>
      </c>
    </row>
    <row r="119" customFormat="false" ht="12.8" hidden="false" customHeight="false" outlineLevel="0" collapsed="false">
      <c r="A119" s="139" t="s">
        <v>189</v>
      </c>
      <c r="B119" s="72" t="n">
        <f aca="false">B44*Ratio!B77</f>
        <v>0.0343568717218628</v>
      </c>
      <c r="C119" s="72" t="n">
        <f aca="false">C44*Ratio!C77</f>
        <v>0.0354377222505032</v>
      </c>
      <c r="D119" s="31" t="n">
        <f aca="false">D44*Ratio!D77</f>
        <v>0.0360874138250957</v>
      </c>
      <c r="E119" s="96" t="n">
        <f aca="false">E44*Ratio!E77</f>
        <v>0.0305158163823777</v>
      </c>
      <c r="F119" s="31" t="n">
        <f aca="false">F44*Ratio!F77</f>
        <v>0.0287931493285338</v>
      </c>
      <c r="G119" s="96" t="n">
        <f aca="false">G44*Ratio!G77</f>
        <v>0.0324398341308268</v>
      </c>
      <c r="H119" s="31" t="n">
        <f aca="false">H44*Ratio!H77</f>
        <v>0.0325516956278296</v>
      </c>
      <c r="I119" s="74" t="n">
        <f aca="false">I44*Ratio!I77</f>
        <v>0.0353874220674192</v>
      </c>
      <c r="J119" s="75" t="n">
        <f aca="false">J44*Ratio!J77</f>
        <v>0.0334051728671853</v>
      </c>
      <c r="K119" s="31" t="n">
        <f aca="false">K44*Ratio!K77</f>
        <v>0.0287982539580467</v>
      </c>
      <c r="L119" s="31" t="n">
        <f aca="false">L44*Ratio!L77</f>
        <v>0.0288010185240771</v>
      </c>
      <c r="M119" s="96" t="n">
        <f aca="false">M44*Ratio!M77</f>
        <v>0.0287975628165391</v>
      </c>
      <c r="N119" s="96" t="n">
        <f aca="false">N44*Ratio!N77</f>
        <v>0.0287964109140264</v>
      </c>
      <c r="O119" s="31" t="n">
        <f aca="false">O44*Ratio!O77</f>
        <v>0.02846949446841</v>
      </c>
      <c r="P119" s="76" t="n">
        <f aca="false">P44*Ratio!P77</f>
        <v>0.0307944651936124</v>
      </c>
      <c r="Q119" s="75" t="n">
        <f aca="false">Q44*Ratio!Q77</f>
        <v>0.0257106425814895</v>
      </c>
      <c r="R119" s="31" t="n">
        <f aca="false">R44*Ratio!R77</f>
        <v>0.026185008680779</v>
      </c>
      <c r="S119" s="96" t="n">
        <f aca="false">S44*Ratio!S77</f>
        <v>0.0258055158013474</v>
      </c>
      <c r="T119" s="31" t="n">
        <f aca="false">T44*Ratio!T77</f>
        <v>0.0282699534749943</v>
      </c>
      <c r="U119" s="31" t="n">
        <f aca="false">U44*Ratio!U77</f>
        <v>0.0276584821396339</v>
      </c>
      <c r="V119" s="96" t="n">
        <f aca="false">V44*Ratio!V77</f>
        <v>0.0268142129924221</v>
      </c>
      <c r="W119" s="96" t="n">
        <f aca="false">W44*Ratio!W77</f>
        <v>0.0252065724373528</v>
      </c>
      <c r="X119" s="74" t="n">
        <f aca="false">X44*Ratio!X77</f>
        <v>0.0252065724373528</v>
      </c>
      <c r="Y119" s="75" t="n">
        <f aca="false">Y44*Ratio!Y77</f>
        <v>0.0326239475714287</v>
      </c>
      <c r="Z119" s="31" t="n">
        <f aca="false">Z44*Ratio!Z77</f>
        <v>0.0321676685844157</v>
      </c>
      <c r="AA119" s="96" t="n">
        <f aca="false">AA44*Ratio!AA77</f>
        <v>0.0330355112177144</v>
      </c>
      <c r="AB119" s="1" t="n">
        <f aca="false">AB44*Ratio!AB77</f>
        <v>0</v>
      </c>
      <c r="AC119" s="42" t="n">
        <f aca="false">AC44*Ratio!AC77</f>
        <v>0</v>
      </c>
      <c r="AD119" s="21" t="n">
        <f aca="false">AD44*Ratio!AD77</f>
        <v>0</v>
      </c>
      <c r="AE119" s="1" t="n">
        <f aca="false">AE44*Ratio!AE77</f>
        <v>0</v>
      </c>
      <c r="AF119" s="40" t="n">
        <f aca="false">AF44*Ratio!AF77</f>
        <v>0</v>
      </c>
      <c r="AG119" s="1" t="n">
        <f aca="false">AG44*Ratio!AG77</f>
        <v>0</v>
      </c>
      <c r="AH119" s="1" t="n">
        <f aca="false">AH44*Ratio!AH77</f>
        <v>0</v>
      </c>
      <c r="AI119" s="41" t="n">
        <f aca="false">AI44*Ratio!AI77</f>
        <v>0</v>
      </c>
      <c r="AJ119" s="21" t="n">
        <f aca="false">AJ44*Ratio!AJ77</f>
        <v>0</v>
      </c>
      <c r="AK119" s="1" t="n">
        <f aca="false">AK44*Ratio!AK77</f>
        <v>0</v>
      </c>
      <c r="AL119" s="40" t="n">
        <f aca="false">AL44*Ratio!AL77</f>
        <v>0</v>
      </c>
      <c r="AM119" s="1" t="n">
        <f aca="false">AM44*Ratio!AM77</f>
        <v>0</v>
      </c>
      <c r="AN119" s="42" t="n">
        <f aca="false">AN44*Ratio!AN77</f>
        <v>0</v>
      </c>
      <c r="AO119" s="21" t="n">
        <f aca="false">AO44*Ratio!AO77</f>
        <v>0</v>
      </c>
      <c r="AP119" s="1" t="n">
        <f aca="false">AP44*Ratio!AP77</f>
        <v>0</v>
      </c>
      <c r="AQ119" s="40" t="n">
        <f aca="false">AQ44*Ratio!AQ77</f>
        <v>0</v>
      </c>
    </row>
    <row r="121" customFormat="false" ht="12.8" hidden="false" customHeight="false" outlineLevel="0" collapsed="false">
      <c r="A121" s="27" t="s">
        <v>103</v>
      </c>
      <c r="B121" s="234" t="s">
        <v>259</v>
      </c>
      <c r="C121" s="234"/>
      <c r="D121" s="234"/>
      <c r="E121" s="234"/>
      <c r="F121" s="234"/>
      <c r="G121" s="234"/>
      <c r="H121" s="234"/>
      <c r="I121" s="234"/>
    </row>
    <row r="122" customFormat="false" ht="12.8" hidden="false" customHeight="false" outlineLevel="0" collapsed="false">
      <c r="A122" s="139" t="s">
        <v>257</v>
      </c>
      <c r="B122" s="230"/>
    </row>
    <row r="123" customFormat="false" ht="12.8" hidden="false" customHeight="false" outlineLevel="0" collapsed="false">
      <c r="A123" s="139" t="s">
        <v>24</v>
      </c>
      <c r="B123" s="72" t="n">
        <f aca="false">B22*Ratio!B93</f>
        <v>7.14877177565647</v>
      </c>
      <c r="C123" s="96" t="n">
        <f aca="false">C22*Ratio!C93</f>
        <v>7.16013012566519</v>
      </c>
      <c r="D123" s="31" t="n">
        <f aca="false">D22*Ratio!D93</f>
        <v>7.38029777730066</v>
      </c>
      <c r="E123" s="96" t="n">
        <f aca="false">E22*Ratio!E93</f>
        <v>7.33749242186166</v>
      </c>
      <c r="F123" s="31" t="n">
        <f aca="false">F22*Ratio!F93</f>
        <v>6.90690187973783</v>
      </c>
      <c r="G123" s="96" t="n">
        <f aca="false">G22*Ratio!G93</f>
        <v>5.65574207096197</v>
      </c>
      <c r="H123" s="31" t="n">
        <f aca="false">H22*Ratio!H93</f>
        <v>5.65566646323272</v>
      </c>
      <c r="I123" s="74" t="n">
        <f aca="false">I22*Ratio!I93</f>
        <v>8.58576841612776</v>
      </c>
      <c r="J123" s="75" t="n">
        <f aca="false">J22*Ratio!J93</f>
        <v>7.73642822304474</v>
      </c>
      <c r="K123" s="73" t="n">
        <f aca="false">K22*Ratio!K93</f>
        <v>6.94383467925004</v>
      </c>
      <c r="L123" s="31" t="n">
        <f aca="false">L22*Ratio!L93</f>
        <v>6.78198927611656</v>
      </c>
      <c r="M123" s="96" t="n">
        <f aca="false">M22*Ratio!M93</f>
        <v>6.75215624686612</v>
      </c>
      <c r="N123" s="96" t="n">
        <f aca="false">N22*Ratio!N93</f>
        <v>6.705562155421</v>
      </c>
      <c r="O123" s="31" t="n">
        <f aca="false">O22*Ratio!O93</f>
        <v>6.40220504384138</v>
      </c>
      <c r="P123" s="76" t="n">
        <f aca="false">P22*Ratio!P93</f>
        <v>6.79127575034596</v>
      </c>
      <c r="Q123" s="75" t="n">
        <f aca="false">Q22*Ratio!Q93</f>
        <v>6.08330519125043</v>
      </c>
      <c r="R123" s="31" t="n">
        <f aca="false">R22*Ratio!R93</f>
        <v>5.87921097204522</v>
      </c>
      <c r="S123" s="96" t="n">
        <f aca="false">S22*Ratio!S93</f>
        <v>5.81342351727729</v>
      </c>
      <c r="T123" s="31" t="n">
        <f aca="false">T22*Ratio!T93</f>
        <v>5.97362344287483</v>
      </c>
      <c r="U123" s="31" t="n">
        <f aca="false">U22*Ratio!U93</f>
        <v>6.25244602101755</v>
      </c>
      <c r="V123" s="96" t="n">
        <f aca="false">V22*Ratio!V93</f>
        <v>6.61681534613619</v>
      </c>
      <c r="W123" s="96" t="n">
        <f aca="false">W22*Ratio!W93</f>
        <v>6.23010323718147</v>
      </c>
      <c r="X123" s="74" t="n">
        <f aca="false">X22*Ratio!X93</f>
        <v>6.56327941813045</v>
      </c>
      <c r="Y123" s="75" t="n">
        <f aca="false">Y22*Ratio!Y93</f>
        <v>6.26058721196521</v>
      </c>
      <c r="Z123" s="31" t="n">
        <f aca="false">Z22*Ratio!Z93</f>
        <v>5.67015497260471</v>
      </c>
      <c r="AA123" s="96" t="n">
        <f aca="false">AA22*Ratio!AA93</f>
        <v>5.72728897920396</v>
      </c>
      <c r="AB123" s="31" t="n">
        <f aca="false">AB22*Ratio!AB93</f>
        <v>5.06618183492424</v>
      </c>
      <c r="AC123" s="76" t="n">
        <f aca="false">AC22*Ratio!AC93</f>
        <v>4.85055704047742</v>
      </c>
      <c r="AD123" s="75" t="n">
        <f aca="false">AD22*Ratio!AD93</f>
        <v>4.0978290709588</v>
      </c>
      <c r="AE123" s="31" t="n">
        <f aca="false">AE22*Ratio!AE93</f>
        <v>3.94065423222628</v>
      </c>
      <c r="AF123" s="96" t="n">
        <f aca="false">AF22*Ratio!AF93</f>
        <v>4.01001367674556</v>
      </c>
      <c r="AG123" s="31" t="n">
        <f aca="false">AG22*Ratio!AG93</f>
        <v>3.42859998754297</v>
      </c>
      <c r="AH123" s="31" t="n">
        <f aca="false">AH22*Ratio!AH93</f>
        <v>3.65279013384334</v>
      </c>
      <c r="AI123" s="74" t="n">
        <f aca="false">AI22*Ratio!AI93</f>
        <v>3.85491122521825</v>
      </c>
      <c r="AJ123" s="75" t="n">
        <f aca="false">AJ22*Ratio!AJ93</f>
        <v>3.29283316987389</v>
      </c>
      <c r="AK123" s="31" t="n">
        <f aca="false">AK22*Ratio!AK93</f>
        <v>2.85172648807133</v>
      </c>
      <c r="AL123" s="96" t="n">
        <f aca="false">AL22*Ratio!AL93</f>
        <v>2.83771858665859</v>
      </c>
      <c r="AM123" s="31" t="n">
        <f aca="false">AM22*Ratio!AM93</f>
        <v>2.95034981467737</v>
      </c>
      <c r="AN123" s="76" t="n">
        <f aca="false">AN22*Ratio!AN93</f>
        <v>5.57288028731772</v>
      </c>
      <c r="AO123" s="75" t="n">
        <f aca="false">AO22*Ratio!AO93</f>
        <v>5.06052284286289</v>
      </c>
      <c r="AP123" s="31" t="n">
        <f aca="false">AP22*Ratio!AP93</f>
        <v>5.29544271778038</v>
      </c>
      <c r="AQ123" s="96" t="n">
        <f aca="false">AQ22*Ratio!AQ93</f>
        <v>5.28530959859403</v>
      </c>
    </row>
    <row r="124" customFormat="false" ht="12.8" hidden="false" customHeight="false" outlineLevel="0" collapsed="false">
      <c r="A124" s="139" t="s">
        <v>180</v>
      </c>
      <c r="B124" s="72" t="n">
        <f aca="false">B23*Ratio!B94</f>
        <v>1.49422794869485</v>
      </c>
      <c r="C124" s="96" t="n">
        <f aca="false">C23*Ratio!C94</f>
        <v>1.5636255544347</v>
      </c>
      <c r="D124" s="31" t="n">
        <f aca="false">D23*Ratio!D94</f>
        <v>1.57759223022878</v>
      </c>
      <c r="E124" s="96" t="n">
        <f aca="false">E23*Ratio!E94</f>
        <v>1.66050517013701</v>
      </c>
      <c r="F124" s="31" t="n">
        <f aca="false">F23*Ratio!F94</f>
        <v>1.75033514131389</v>
      </c>
      <c r="G124" s="96" t="n">
        <f aca="false">G23*Ratio!G94</f>
        <v>2.06484338228265</v>
      </c>
      <c r="H124" s="31" t="n">
        <f aca="false">H23*Ratio!H94</f>
        <v>2.07362158192063</v>
      </c>
      <c r="I124" s="74" t="n">
        <f aca="false">I23*Ratio!I94</f>
        <v>2.19646555337795</v>
      </c>
      <c r="J124" s="75" t="n">
        <f aca="false">J23*Ratio!J94</f>
        <v>2.05460934943466</v>
      </c>
      <c r="K124" s="73" t="n">
        <f aca="false">K23*Ratio!K94</f>
        <v>2.36592375784601</v>
      </c>
      <c r="L124" s="31" t="n">
        <f aca="false">L23*Ratio!L94</f>
        <v>2.30374882674391</v>
      </c>
      <c r="M124" s="96" t="n">
        <f aca="false">M23*Ratio!M94</f>
        <v>2.30546402061197</v>
      </c>
      <c r="N124" s="96" t="n">
        <f aca="false">N23*Ratio!N94</f>
        <v>2.30853939789645</v>
      </c>
      <c r="O124" s="31" t="n">
        <f aca="false">O23*Ratio!O94</f>
        <v>2.38381254017536</v>
      </c>
      <c r="P124" s="76" t="n">
        <f aca="false">P23*Ratio!P94</f>
        <v>2.00647523645248</v>
      </c>
      <c r="Q124" s="75" t="n">
        <f aca="false">Q23*Ratio!Q94</f>
        <v>1.90919817015378</v>
      </c>
      <c r="R124" s="31" t="n">
        <f aca="false">R23*Ratio!R94</f>
        <v>1.81574545650686</v>
      </c>
      <c r="S124" s="96" t="n">
        <f aca="false">S23*Ratio!S94</f>
        <v>1.91524572264299</v>
      </c>
      <c r="T124" s="31" t="n">
        <f aca="false">T23*Ratio!T94</f>
        <v>1.94805848607275</v>
      </c>
      <c r="U124" s="31" t="n">
        <f aca="false">U23*Ratio!U94</f>
        <v>1.77176338335611</v>
      </c>
      <c r="V124" s="96" t="n">
        <f aca="false">V23*Ratio!V94</f>
        <v>1.8168253694914</v>
      </c>
      <c r="W124" s="96" t="n">
        <f aca="false">W23*Ratio!W94</f>
        <v>1.8117550777068</v>
      </c>
      <c r="X124" s="74" t="n">
        <f aca="false">X23*Ratio!X94</f>
        <v>1.80839429544071</v>
      </c>
      <c r="Y124" s="75" t="n">
        <f aca="false">Y23*Ratio!Y94</f>
        <v>1.66481842580622</v>
      </c>
      <c r="Z124" s="31" t="n">
        <f aca="false">Z23*Ratio!Z94</f>
        <v>1.69602508830586</v>
      </c>
      <c r="AA124" s="96" t="n">
        <f aca="false">AA23*Ratio!AA94</f>
        <v>1.81322642808069</v>
      </c>
      <c r="AB124" s="31" t="n">
        <f aca="false">AB23*Ratio!AB94</f>
        <v>2.02470564844657</v>
      </c>
      <c r="AC124" s="76" t="n">
        <f aca="false">AC23*Ratio!AC94</f>
        <v>1.97275570052034</v>
      </c>
      <c r="AD124" s="75" t="n">
        <f aca="false">AD23*Ratio!AD94</f>
        <v>1.9093753755603</v>
      </c>
      <c r="AE124" s="31" t="n">
        <f aca="false">AE23*Ratio!AE94</f>
        <v>2.00997483466932</v>
      </c>
      <c r="AF124" s="96" t="n">
        <f aca="false">AF23*Ratio!AF94</f>
        <v>2.00287611066241</v>
      </c>
      <c r="AG124" s="31" t="n">
        <f aca="false">AG23*Ratio!AG94</f>
        <v>2.2411013901301</v>
      </c>
      <c r="AH124" s="31" t="n">
        <f aca="false">AH23*Ratio!AH94</f>
        <v>1.93210056671409</v>
      </c>
      <c r="AI124" s="74" t="n">
        <f aca="false">AI23*Ratio!AI94</f>
        <v>2.02874936356735</v>
      </c>
      <c r="AJ124" s="75" t="n">
        <f aca="false">AJ23*Ratio!AJ94</f>
        <v>2.14919432348081</v>
      </c>
      <c r="AK124" s="31" t="n">
        <f aca="false">AK23*Ratio!AK94</f>
        <v>2.12020168450809</v>
      </c>
      <c r="AL124" s="96" t="n">
        <f aca="false">AL23*Ratio!AL94</f>
        <v>2.06496077636725</v>
      </c>
      <c r="AM124" s="31" t="n">
        <f aca="false">AM23*Ratio!AM94</f>
        <v>2.14614092713796</v>
      </c>
      <c r="AN124" s="76" t="n">
        <f aca="false">AN23*Ratio!AN94</f>
        <v>2.2026204970926</v>
      </c>
      <c r="AO124" s="75" t="n">
        <f aca="false">AO23*Ratio!AO94</f>
        <v>2.2505643445732</v>
      </c>
      <c r="AP124" s="31" t="n">
        <f aca="false">AP23*Ratio!AP94</f>
        <v>2.21629992589052</v>
      </c>
      <c r="AQ124" s="96" t="n">
        <f aca="false">AQ23*Ratio!AQ94</f>
        <v>2.23592697354245</v>
      </c>
    </row>
    <row r="125" customFormat="false" ht="12.8" hidden="false" customHeight="false" outlineLevel="0" collapsed="false">
      <c r="A125" s="139" t="s">
        <v>181</v>
      </c>
      <c r="B125" s="72" t="n">
        <f aca="false">B24*Ratio!B95</f>
        <v>4.66511913664444</v>
      </c>
      <c r="C125" s="96" t="n">
        <f aca="false">C24*Ratio!C95</f>
        <v>4.54410721539122</v>
      </c>
      <c r="D125" s="31" t="n">
        <f aca="false">D24*Ratio!D95</f>
        <v>4.61697719627387</v>
      </c>
      <c r="E125" s="96" t="n">
        <f aca="false">E24*Ratio!E95</f>
        <v>4.39526561793266</v>
      </c>
      <c r="F125" s="31" t="n">
        <f aca="false">F24*Ratio!F95</f>
        <v>4.25981625674568</v>
      </c>
      <c r="G125" s="96" t="n">
        <f aca="false">G24*Ratio!G95</f>
        <v>5.75949088770612</v>
      </c>
      <c r="H125" s="31" t="n">
        <f aca="false">H24*Ratio!H95</f>
        <v>6.1167136354236</v>
      </c>
      <c r="I125" s="74" t="n">
        <f aca="false">I24*Ratio!I95</f>
        <v>5.19762604281772</v>
      </c>
      <c r="J125" s="75" t="n">
        <f aca="false">J24*Ratio!J95</f>
        <v>4.93281562062437</v>
      </c>
      <c r="K125" s="73" t="n">
        <f aca="false">K24*Ratio!K95</f>
        <v>4.8115791603828</v>
      </c>
      <c r="L125" s="31" t="n">
        <f aca="false">L24*Ratio!L95</f>
        <v>4.82361811237503</v>
      </c>
      <c r="M125" s="96" t="n">
        <f aca="false">M24*Ratio!M95</f>
        <v>4.84667456448211</v>
      </c>
      <c r="N125" s="96" t="n">
        <f aca="false">N24*Ratio!N95</f>
        <v>4.80552819692052</v>
      </c>
      <c r="O125" s="31" t="n">
        <f aca="false">O24*Ratio!O95</f>
        <v>4.4975478536608</v>
      </c>
      <c r="P125" s="76" t="n">
        <f aca="false">P24*Ratio!P95</f>
        <v>4.77748248145662</v>
      </c>
      <c r="Q125" s="75" t="n">
        <f aca="false">Q24*Ratio!Q95</f>
        <v>4.37991735161256</v>
      </c>
      <c r="R125" s="31" t="n">
        <f aca="false">R24*Ratio!R95</f>
        <v>4.29044096977457</v>
      </c>
      <c r="S125" s="96" t="n">
        <f aca="false">S24*Ratio!S95</f>
        <v>4.61112432905153</v>
      </c>
      <c r="T125" s="31" t="n">
        <f aca="false">T24*Ratio!T95</f>
        <v>4.55828599839835</v>
      </c>
      <c r="U125" s="31" t="n">
        <f aca="false">U24*Ratio!U95</f>
        <v>5.4837022436446</v>
      </c>
      <c r="V125" s="96" t="n">
        <f aca="false">V24*Ratio!V95</f>
        <v>5.62659290007928</v>
      </c>
      <c r="W125" s="96" t="n">
        <f aca="false">W24*Ratio!W95</f>
        <v>5.32674247830508</v>
      </c>
      <c r="X125" s="74" t="n">
        <f aca="false">X24*Ratio!X95</f>
        <v>5.10701749226204</v>
      </c>
      <c r="Y125" s="75" t="n">
        <f aca="false">Y24*Ratio!Y95</f>
        <v>5.36748381746088</v>
      </c>
      <c r="Z125" s="31" t="n">
        <f aca="false">Z24*Ratio!Z95</f>
        <v>5.09659427905171</v>
      </c>
      <c r="AA125" s="96" t="n">
        <f aca="false">AA24*Ratio!AA95</f>
        <v>5.073785107715</v>
      </c>
      <c r="AB125" s="31" t="n">
        <f aca="false">AB24*Ratio!AB95</f>
        <v>4.58913826496384</v>
      </c>
      <c r="AC125" s="76" t="n">
        <f aca="false">AC24*Ratio!AC95</f>
        <v>3.50922758275254</v>
      </c>
      <c r="AD125" s="75" t="n">
        <f aca="false">AD24*Ratio!AD95</f>
        <v>3.62320323639399</v>
      </c>
      <c r="AE125" s="31" t="n">
        <f aca="false">AE24*Ratio!AE95</f>
        <v>3.5210803207139</v>
      </c>
      <c r="AF125" s="96" t="n">
        <f aca="false">AF24*Ratio!AF95</f>
        <v>3.43557170792688</v>
      </c>
      <c r="AG125" s="31" t="n">
        <f aca="false">AG24*Ratio!AG95</f>
        <v>3.37119257841498</v>
      </c>
      <c r="AH125" s="31" t="n">
        <f aca="false">AH24*Ratio!AH95</f>
        <v>2.6427762735502</v>
      </c>
      <c r="AI125" s="74" t="n">
        <f aca="false">AI24*Ratio!AI95</f>
        <v>2.84863210488611</v>
      </c>
      <c r="AJ125" s="75" t="n">
        <f aca="false">AJ24*Ratio!AJ95</f>
        <v>2.7377932034401</v>
      </c>
      <c r="AK125" s="31" t="n">
        <f aca="false">AK24*Ratio!AK95</f>
        <v>2.81393567320264</v>
      </c>
      <c r="AL125" s="96" t="n">
        <f aca="false">AL24*Ratio!AL95</f>
        <v>2.81879635411207</v>
      </c>
      <c r="AM125" s="31" t="n">
        <f aca="false">AM24*Ratio!AM95</f>
        <v>2.86961789888257</v>
      </c>
      <c r="AN125" s="76" t="n">
        <f aca="false">AN24*Ratio!AN95</f>
        <v>2.55887726671761</v>
      </c>
      <c r="AO125" s="75" t="n">
        <f aca="false">AO24*Ratio!AO95</f>
        <v>2.40319208454264</v>
      </c>
      <c r="AP125" s="31" t="n">
        <f aca="false">AP24*Ratio!AP95</f>
        <v>2.43557539246027</v>
      </c>
      <c r="AQ125" s="96" t="n">
        <f aca="false">AQ24*Ratio!AQ95</f>
        <v>2.42965660353868</v>
      </c>
    </row>
    <row r="126" customFormat="false" ht="12.8" hidden="false" customHeight="false" outlineLevel="0" collapsed="false">
      <c r="A126" s="139" t="s">
        <v>30</v>
      </c>
      <c r="B126" s="72" t="n">
        <f aca="false">B25*Ratio!B96</f>
        <v>1.95529708708924</v>
      </c>
      <c r="C126" s="96" t="n">
        <f aca="false">C25*Ratio!C96</f>
        <v>1.97742645060299</v>
      </c>
      <c r="D126" s="31" t="n">
        <f aca="false">D25*Ratio!D96</f>
        <v>1.99035290592975</v>
      </c>
      <c r="E126" s="96" t="n">
        <f aca="false">E25*Ratio!E96</f>
        <v>2.04545672608677</v>
      </c>
      <c r="F126" s="31" t="n">
        <f aca="false">F25*Ratio!F96</f>
        <v>1.87862660977915</v>
      </c>
      <c r="G126" s="96" t="n">
        <f aca="false">G25*Ratio!G96</f>
        <v>1.89027601040812</v>
      </c>
      <c r="H126" s="31" t="n">
        <f aca="false">H25*Ratio!H96</f>
        <v>2.06252820545175</v>
      </c>
      <c r="I126" s="74" t="n">
        <f aca="false">I25*Ratio!I96</f>
        <v>2.15534278420449</v>
      </c>
      <c r="J126" s="75" t="n">
        <f aca="false">J25*Ratio!J96</f>
        <v>1.95938876409388</v>
      </c>
      <c r="K126" s="73" t="n">
        <f aca="false">K25*Ratio!K96</f>
        <v>1.88785936964714</v>
      </c>
      <c r="L126" s="31" t="n">
        <f aca="false">L25*Ratio!L96</f>
        <v>1.9139290705603</v>
      </c>
      <c r="M126" s="96" t="n">
        <f aca="false">M25*Ratio!M96</f>
        <v>1.90067962616164</v>
      </c>
      <c r="N126" s="96" t="n">
        <f aca="false">N25*Ratio!N96</f>
        <v>1.90846839692334</v>
      </c>
      <c r="O126" s="31" t="n">
        <f aca="false">O25*Ratio!O96</f>
        <v>2.01603263210076</v>
      </c>
      <c r="P126" s="76" t="n">
        <f aca="false">P25*Ratio!P96</f>
        <v>2.14672214784392</v>
      </c>
      <c r="Q126" s="75" t="n">
        <f aca="false">Q25*Ratio!Q96</f>
        <v>2.08947611252503</v>
      </c>
      <c r="R126" s="31" t="n">
        <f aca="false">R25*Ratio!R96</f>
        <v>1.90783726788138</v>
      </c>
      <c r="S126" s="96" t="n">
        <f aca="false">S25*Ratio!S96</f>
        <v>1.99475243400811</v>
      </c>
      <c r="T126" s="31" t="n">
        <f aca="false">T25*Ratio!T96</f>
        <v>1.96786336030388</v>
      </c>
      <c r="U126" s="31" t="n">
        <f aca="false">U25*Ratio!U96</f>
        <v>2.29196425890622</v>
      </c>
      <c r="V126" s="96" t="n">
        <f aca="false">V25*Ratio!V96</f>
        <v>2.24900095550698</v>
      </c>
      <c r="W126" s="96" t="n">
        <f aca="false">W25*Ratio!W96</f>
        <v>2.092482652991</v>
      </c>
      <c r="X126" s="74" t="n">
        <f aca="false">X25*Ratio!X96</f>
        <v>2.32661903014093</v>
      </c>
      <c r="Y126" s="75" t="n">
        <f aca="false">Y25*Ratio!Y96</f>
        <v>2.44936947857363</v>
      </c>
      <c r="Z126" s="31" t="n">
        <f aca="false">Z25*Ratio!Z96</f>
        <v>2.28750245021186</v>
      </c>
      <c r="AA126" s="96" t="n">
        <f aca="false">AA25*Ratio!AA96</f>
        <v>2.40440229083967</v>
      </c>
      <c r="AB126" s="31" t="n">
        <f aca="false">AB25*Ratio!AB96</f>
        <v>2.04604087556045</v>
      </c>
      <c r="AC126" s="76" t="n">
        <f aca="false">AC25*Ratio!AC96</f>
        <v>2.108996064156</v>
      </c>
      <c r="AD126" s="75" t="n">
        <f aca="false">AD25*Ratio!AD96</f>
        <v>1.89496703420318</v>
      </c>
      <c r="AE126" s="31" t="n">
        <f aca="false">AE25*Ratio!AE96</f>
        <v>1.75728422936304</v>
      </c>
      <c r="AF126" s="96" t="n">
        <f aca="false">AF25*Ratio!AF96</f>
        <v>1.82653719581532</v>
      </c>
      <c r="AG126" s="31" t="n">
        <f aca="false">AG25*Ratio!AG96</f>
        <v>1.72066734210039</v>
      </c>
      <c r="AH126" s="31" t="n">
        <f aca="false">AH25*Ratio!AH96</f>
        <v>1.51807328045209</v>
      </c>
      <c r="AI126" s="74" t="n">
        <f aca="false">AI25*Ratio!AI96</f>
        <v>2.00569545345151</v>
      </c>
      <c r="AJ126" s="75" t="n">
        <f aca="false">AJ25*Ratio!AJ96</f>
        <v>1.78675900968596</v>
      </c>
      <c r="AK126" s="31" t="n">
        <f aca="false">AK25*Ratio!AK96</f>
        <v>1.67916037527408</v>
      </c>
      <c r="AL126" s="96" t="n">
        <f aca="false">AL25*Ratio!AL96</f>
        <v>1.51756693396084</v>
      </c>
      <c r="AM126" s="31" t="n">
        <f aca="false">AM25*Ratio!AM96</f>
        <v>1.2484100755836</v>
      </c>
      <c r="AN126" s="76" t="n">
        <f aca="false">AN25*Ratio!AN96</f>
        <v>1.24366496270313</v>
      </c>
      <c r="AO126" s="75" t="n">
        <f aca="false">AO25*Ratio!AO96</f>
        <v>1.206248705272</v>
      </c>
      <c r="AP126" s="31" t="n">
        <f aca="false">AP25*Ratio!AP96</f>
        <v>1.24578413196116</v>
      </c>
      <c r="AQ126" s="96" t="n">
        <f aca="false">AQ25*Ratio!AQ96</f>
        <v>1.18809083404662</v>
      </c>
    </row>
    <row r="127" customFormat="false" ht="12.8" hidden="false" customHeight="false" outlineLevel="0" collapsed="false">
      <c r="A127" s="139" t="s">
        <v>182</v>
      </c>
      <c r="B127" s="72" t="n">
        <f aca="false">B26*Ratio!B97</f>
        <v>4.00494464728145</v>
      </c>
      <c r="C127" s="96" t="n">
        <f aca="false">C26*Ratio!C97</f>
        <v>3.65433200967905</v>
      </c>
      <c r="D127" s="31" t="n">
        <f aca="false">D26*Ratio!D97</f>
        <v>3.59090741981207</v>
      </c>
      <c r="E127" s="96" t="n">
        <f aca="false">E26*Ratio!E97</f>
        <v>3.14582219797925</v>
      </c>
      <c r="F127" s="31" t="n">
        <f aca="false">F26*Ratio!F97</f>
        <v>3.27596288535967</v>
      </c>
      <c r="G127" s="96" t="n">
        <f aca="false">G26*Ratio!G97</f>
        <v>5.22062149665603</v>
      </c>
      <c r="H127" s="31" t="n">
        <f aca="false">H26*Ratio!H97</f>
        <v>4.91414264644742</v>
      </c>
      <c r="I127" s="74" t="n">
        <f aca="false">I26*Ratio!I97</f>
        <v>4.77006417254375</v>
      </c>
      <c r="J127" s="75" t="n">
        <f aca="false">J26*Ratio!J97</f>
        <v>4.88206559770531</v>
      </c>
      <c r="K127" s="73" t="n">
        <f aca="false">K26*Ratio!K97</f>
        <v>5.02703188942659</v>
      </c>
      <c r="L127" s="31" t="n">
        <f aca="false">L26*Ratio!L97</f>
        <v>4.95735881370167</v>
      </c>
      <c r="M127" s="96" t="n">
        <f aca="false">M26*Ratio!M97</f>
        <v>4.97136036928169</v>
      </c>
      <c r="N127" s="96" t="n">
        <f aca="false">N26*Ratio!N97</f>
        <v>4.94010497266081</v>
      </c>
      <c r="O127" s="31" t="n">
        <f aca="false">O26*Ratio!O97</f>
        <v>4.79281644707949</v>
      </c>
      <c r="P127" s="76" t="n">
        <f aca="false">P26*Ratio!P97</f>
        <v>4.61989602866332</v>
      </c>
      <c r="Q127" s="75" t="n">
        <f aca="false">Q26*Ratio!Q97</f>
        <v>5.01355386069908</v>
      </c>
      <c r="R127" s="31" t="n">
        <f aca="false">R26*Ratio!R97</f>
        <v>5.19103807562132</v>
      </c>
      <c r="S127" s="96" t="n">
        <f aca="false">S26*Ratio!S97</f>
        <v>5.21353010073309</v>
      </c>
      <c r="T127" s="31" t="n">
        <f aca="false">T26*Ratio!T97</f>
        <v>5.04473208203942</v>
      </c>
      <c r="U127" s="31" t="n">
        <f aca="false">U26*Ratio!U97</f>
        <v>6.127272282843</v>
      </c>
      <c r="V127" s="96" t="n">
        <f aca="false">V26*Ratio!V97</f>
        <v>5.80085514457814</v>
      </c>
      <c r="W127" s="96" t="n">
        <f aca="false">W26*Ratio!W97</f>
        <v>5.80946211713277</v>
      </c>
      <c r="X127" s="74" t="n">
        <f aca="false">X26*Ratio!X97</f>
        <v>6.08801605237439</v>
      </c>
      <c r="Y127" s="75" t="n">
        <f aca="false">Y26*Ratio!Y97</f>
        <v>5.59663622851411</v>
      </c>
      <c r="Z127" s="31" t="n">
        <f aca="false">Z26*Ratio!Z97</f>
        <v>5.6753674237242</v>
      </c>
      <c r="AA127" s="96" t="n">
        <f aca="false">AA26*Ratio!AA97</f>
        <v>5.63889441544246</v>
      </c>
      <c r="AB127" s="31" t="n">
        <f aca="false">AB26*Ratio!AB97</f>
        <v>5.48940592866909</v>
      </c>
      <c r="AC127" s="76" t="n">
        <f aca="false">AC26*Ratio!AC97</f>
        <v>4.16377292157622</v>
      </c>
      <c r="AD127" s="75" t="n">
        <f aca="false">AD26*Ratio!AD97</f>
        <v>4.16102926274697</v>
      </c>
      <c r="AE127" s="31" t="n">
        <f aca="false">AE26*Ratio!AE97</f>
        <v>4.29093236027227</v>
      </c>
      <c r="AF127" s="96" t="n">
        <f aca="false">AF26*Ratio!AF97</f>
        <v>4.28624083227111</v>
      </c>
      <c r="AG127" s="31" t="n">
        <f aca="false">AG26*Ratio!AG97</f>
        <v>0.970287581894605</v>
      </c>
      <c r="AH127" s="31" t="n">
        <f aca="false">AH26*Ratio!AH97</f>
        <v>0.8172307523213</v>
      </c>
      <c r="AI127" s="74" t="n">
        <f aca="false">AI26*Ratio!AI97</f>
        <v>1.16164458598193</v>
      </c>
      <c r="AJ127" s="75" t="n">
        <f aca="false">AJ26*Ratio!AJ97</f>
        <v>1.14362456630451</v>
      </c>
      <c r="AK127" s="31" t="n">
        <f aca="false">AK26*Ratio!AK97</f>
        <v>1.20259092312234</v>
      </c>
      <c r="AL127" s="96" t="n">
        <f aca="false">AL26*Ratio!AL97</f>
        <v>1.20259092312234</v>
      </c>
      <c r="AM127" s="31" t="n">
        <f aca="false">AM26*Ratio!AM97</f>
        <v>1.0179272605642</v>
      </c>
      <c r="AN127" s="76" t="n">
        <f aca="false">AN26*Ratio!AN97</f>
        <v>4.90541911055033</v>
      </c>
      <c r="AO127" s="75" t="n">
        <f aca="false">AO26*Ratio!AO97</f>
        <v>5.20189369142468</v>
      </c>
      <c r="AP127" s="31" t="n">
        <f aca="false">AP26*Ratio!AP97</f>
        <v>4.95118443784868</v>
      </c>
      <c r="AQ127" s="96" t="n">
        <f aca="false">AQ26*Ratio!AQ97</f>
        <v>4.93877767798855</v>
      </c>
    </row>
    <row r="128" customFormat="false" ht="12.8" hidden="false" customHeight="false" outlineLevel="0" collapsed="false">
      <c r="A128" s="139" t="s">
        <v>27</v>
      </c>
      <c r="B128" s="72" t="n">
        <f aca="false">B27*Ratio!B99</f>
        <v>0.398429201506837</v>
      </c>
      <c r="C128" s="96" t="n">
        <f aca="false">C27*Ratio!C99</f>
        <v>0.390702610953735</v>
      </c>
      <c r="D128" s="31" t="n">
        <f aca="false">D27*Ratio!D99</f>
        <v>0.385025294409204</v>
      </c>
      <c r="E128" s="96" t="n">
        <f aca="false">E27*Ratio!E99</f>
        <v>0.369694480490349</v>
      </c>
      <c r="F128" s="31" t="n">
        <f aca="false">F27*Ratio!F99</f>
        <v>0.364481517511532</v>
      </c>
      <c r="G128" s="96" t="n">
        <f aca="false">G27*Ratio!G99</f>
        <v>0.22772199287436</v>
      </c>
      <c r="H128" s="31" t="n">
        <f aca="false">H27*Ratio!H99</f>
        <v>0.211347487384943</v>
      </c>
      <c r="I128" s="74" t="n">
        <f aca="false">I27*Ratio!I99</f>
        <v>0.208999776074072</v>
      </c>
      <c r="J128" s="75" t="n">
        <f aca="false">J27*Ratio!J99</f>
        <v>0.225263817673171</v>
      </c>
      <c r="K128" s="73" t="n">
        <f aca="false">K27*Ratio!K99</f>
        <v>0.261699502000475</v>
      </c>
      <c r="L128" s="31" t="n">
        <f aca="false">L27*Ratio!L99</f>
        <v>0.239117535840588</v>
      </c>
      <c r="M128" s="96" t="n">
        <f aca="false">M27*Ratio!M99</f>
        <v>0.2396315381425</v>
      </c>
      <c r="N128" s="96" t="n">
        <f aca="false">N27*Ratio!N99</f>
        <v>0.241111039260574</v>
      </c>
      <c r="O128" s="31" t="n">
        <f aca="false">O27*Ratio!O99</f>
        <v>0.2498511912472</v>
      </c>
      <c r="P128" s="76" t="n">
        <f aca="false">P27*Ratio!P99</f>
        <v>0.232107119558699</v>
      </c>
      <c r="Q128" s="75" t="n">
        <f aca="false">Q27*Ratio!Q99</f>
        <v>0.250540387176404</v>
      </c>
      <c r="R128" s="31" t="n">
        <f aca="false">R27*Ratio!R99</f>
        <v>0.248681006952676</v>
      </c>
      <c r="S128" s="96" t="n">
        <f aca="false">S27*Ratio!S99</f>
        <v>0.263615344981264</v>
      </c>
      <c r="T128" s="31" t="n">
        <f aca="false">T27*Ratio!T99</f>
        <v>0.271679691626461</v>
      </c>
      <c r="U128" s="31" t="n">
        <f aca="false">U27*Ratio!U99</f>
        <v>0.844978230497598</v>
      </c>
      <c r="V128" s="96" t="n">
        <f aca="false">V27*Ratio!V99</f>
        <v>0.78056756223224</v>
      </c>
      <c r="W128" s="96" t="n">
        <f aca="false">W27*Ratio!W99</f>
        <v>0.804993115030472</v>
      </c>
      <c r="X128" s="74" t="n">
        <f aca="false">X27*Ratio!X99</f>
        <v>0.889918555188712</v>
      </c>
      <c r="Y128" s="75" t="n">
        <f aca="false">Y27*Ratio!Y99</f>
        <v>0.962884743351018</v>
      </c>
      <c r="Z128" s="31" t="n">
        <f aca="false">Z27*Ratio!Z99</f>
        <v>0.972923723763733</v>
      </c>
      <c r="AA128" s="96" t="n">
        <f aca="false">AA27*Ratio!AA99</f>
        <v>0.97223457355874</v>
      </c>
      <c r="AB128" s="31" t="n">
        <f aca="false">AB27*Ratio!AB99</f>
        <v>1.06480550614447</v>
      </c>
      <c r="AC128" s="76" t="n">
        <f aca="false">AC27*Ratio!AC99</f>
        <v>0.588214428909083</v>
      </c>
      <c r="AD128" s="75" t="n">
        <f aca="false">AD27*Ratio!AD99</f>
        <v>0.601184358494937</v>
      </c>
      <c r="AE128" s="31" t="n">
        <f aca="false">AE27*Ratio!AE99</f>
        <v>0.596503969722108</v>
      </c>
      <c r="AF128" s="96" t="n">
        <f aca="false">AF27*Ratio!AF99</f>
        <v>0.546680886155708</v>
      </c>
      <c r="AG128" s="31" t="n">
        <f aca="false">AG27*Ratio!AG99</f>
        <v>0.556432212204636</v>
      </c>
      <c r="AH128" s="31" t="n">
        <f aca="false">AH27*Ratio!AH99</f>
        <v>0.469050353210655</v>
      </c>
      <c r="AI128" s="74" t="n">
        <f aca="false">AI27*Ratio!AI99</f>
        <v>0.717221868373259</v>
      </c>
      <c r="AJ128" s="75" t="n">
        <f aca="false">AJ27*Ratio!AJ99</f>
        <v>0.772748723299242</v>
      </c>
      <c r="AK128" s="31" t="n">
        <f aca="false">AK27*Ratio!AK99</f>
        <v>0.729847177441115</v>
      </c>
      <c r="AL128" s="96" t="n">
        <f aca="false">AL27*Ratio!AL99</f>
        <v>0.682932431813287</v>
      </c>
      <c r="AM128" s="31" t="n">
        <f aca="false">AM27*Ratio!AM99</f>
        <v>0.616244938340141</v>
      </c>
      <c r="AN128" s="76" t="n">
        <f aca="false">AN27*Ratio!AN99</f>
        <v>0.832662687303269</v>
      </c>
      <c r="AO128" s="75" t="n">
        <f aca="false">AO27*Ratio!AO99</f>
        <v>0.75749123860685</v>
      </c>
      <c r="AP128" s="31" t="n">
        <f aca="false">AP27*Ratio!AP99</f>
        <v>0.778068633259799</v>
      </c>
      <c r="AQ128" s="96" t="n">
        <f aca="false">AQ27*Ratio!AQ99</f>
        <v>0.748075694587569</v>
      </c>
    </row>
    <row r="129" customFormat="false" ht="12.8" hidden="false" customHeight="false" outlineLevel="0" collapsed="false">
      <c r="A129" s="139" t="s">
        <v>184</v>
      </c>
      <c r="B129" s="72" t="n">
        <f aca="false">B28*Ratio!B101</f>
        <v>0.348744527038958</v>
      </c>
      <c r="C129" s="96" t="n">
        <f aca="false">C28*Ratio!C101</f>
        <v>0.2909748552068</v>
      </c>
      <c r="D129" s="31" t="n">
        <f aca="false">D28*Ratio!D101</f>
        <v>0.285802199229127</v>
      </c>
      <c r="E129" s="96" t="n">
        <f aca="false">E28*Ratio!E101</f>
        <v>0.297908316812504</v>
      </c>
      <c r="F129" s="31" t="n">
        <f aca="false">F28*Ratio!F101</f>
        <v>0.276373173527114</v>
      </c>
      <c r="G129" s="96" t="n">
        <f aca="false">G28*Ratio!G101</f>
        <v>0.398211825789028</v>
      </c>
      <c r="H129" s="31" t="n">
        <f aca="false">H28*Ratio!H101</f>
        <v>0.329377827900676</v>
      </c>
      <c r="I129" s="74" t="n">
        <f aca="false">I28*Ratio!I101</f>
        <v>0.322271676225817</v>
      </c>
      <c r="J129" s="75" t="n">
        <f aca="false">J28*Ratio!J101</f>
        <v>0.361795894489326</v>
      </c>
      <c r="K129" s="73" t="n">
        <f aca="false">K28*Ratio!K101</f>
        <v>0.335285721035853</v>
      </c>
      <c r="L129" s="31" t="n">
        <f aca="false">L28*Ratio!L101</f>
        <v>0.341743717959095</v>
      </c>
      <c r="M129" s="96" t="n">
        <f aca="false">M28*Ratio!M101</f>
        <v>0.339168015299008</v>
      </c>
      <c r="N129" s="96" t="n">
        <f aca="false">N28*Ratio!N101</f>
        <v>0.341259668133209</v>
      </c>
      <c r="O129" s="31" t="n">
        <f aca="false">O28*Ratio!O101</f>
        <v>0.36807148629428</v>
      </c>
      <c r="P129" s="76" t="n">
        <f aca="false">P28*Ratio!P101</f>
        <v>0.31417604423327</v>
      </c>
      <c r="Q129" s="75" t="n">
        <f aca="false">Q28*Ratio!Q101</f>
        <v>0.366462128629626</v>
      </c>
      <c r="R129" s="31" t="n">
        <f aca="false">R28*Ratio!R101</f>
        <v>0.497830558264503</v>
      </c>
      <c r="S129" s="96" t="n">
        <f aca="false">S28*Ratio!S101</f>
        <v>0.416904490667838</v>
      </c>
      <c r="T129" s="31" t="n">
        <f aca="false">T28*Ratio!T101</f>
        <v>0.382530794539573</v>
      </c>
      <c r="U129" s="31" t="n">
        <f aca="false">U28*Ratio!U101</f>
        <v>0.384062923955582</v>
      </c>
      <c r="V129" s="96" t="n">
        <f aca="false">V28*Ratio!V101</f>
        <v>0.337507284896862</v>
      </c>
      <c r="W129" s="96" t="n">
        <f aca="false">W28*Ratio!W101</f>
        <v>0.353300106807808</v>
      </c>
      <c r="X129" s="74" t="n">
        <f aca="false">X28*Ratio!X101</f>
        <v>0.389430376053929</v>
      </c>
      <c r="Y129" s="75" t="n">
        <f aca="false">Y28*Ratio!Y101</f>
        <v>0.441733667335874</v>
      </c>
      <c r="Z129" s="31" t="n">
        <f aca="false">Z28*Ratio!Z101</f>
        <v>0.424514614579877</v>
      </c>
      <c r="AA129" s="96" t="n">
        <f aca="false">AA28*Ratio!AA101</f>
        <v>0.405876322611572</v>
      </c>
      <c r="AB129" s="31" t="n">
        <f aca="false">AB28*Ratio!AB101</f>
        <v>0.396296977339639</v>
      </c>
      <c r="AC129" s="76" t="n">
        <f aca="false">AC28*Ratio!AC101</f>
        <v>0.366590283665402</v>
      </c>
      <c r="AD129" s="75" t="n">
        <f aca="false">AD28*Ratio!AD101</f>
        <v>0.421834534525303</v>
      </c>
      <c r="AE129" s="31" t="n">
        <f aca="false">AE28*Ratio!AE101</f>
        <v>0.378384332219342</v>
      </c>
      <c r="AF129" s="96" t="n">
        <f aca="false">AF28*Ratio!AF101</f>
        <v>0.374285430427257</v>
      </c>
      <c r="AG129" s="31" t="n">
        <f aca="false">AG28*Ratio!AG101</f>
        <v>0.344515331716569</v>
      </c>
      <c r="AH129" s="31" t="n">
        <f aca="false">AH28*Ratio!AH101</f>
        <v>0.376443226605452</v>
      </c>
      <c r="AI129" s="74" t="n">
        <f aca="false">AI28*Ratio!AI101</f>
        <v>0.543698878672282</v>
      </c>
      <c r="AJ129" s="75" t="n">
        <f aca="false">AJ28*Ratio!AJ101</f>
        <v>0.520860330627098</v>
      </c>
      <c r="AK129" s="31" t="n">
        <f aca="false">AK28*Ratio!AK101</f>
        <v>0.472192950966911</v>
      </c>
      <c r="AL129" s="96" t="n">
        <f aca="false">AL28*Ratio!AL101</f>
        <v>0.449554371377394</v>
      </c>
      <c r="AM129" s="31" t="n">
        <f aca="false">AM28*Ratio!AM101</f>
        <v>0.409138042092273</v>
      </c>
      <c r="AN129" s="76" t="n">
        <f aca="false">AN28*Ratio!AN101</f>
        <v>0.208779088169055</v>
      </c>
      <c r="AO129" s="75" t="n">
        <f aca="false">AO28*Ratio!AO101</f>
        <v>0.208658365377071</v>
      </c>
      <c r="AP129" s="31" t="n">
        <f aca="false">AP28*Ratio!AP101</f>
        <v>0.233962622963487</v>
      </c>
      <c r="AQ129" s="96" t="n">
        <f aca="false">AQ28*Ratio!AQ101</f>
        <v>0.21832962325582</v>
      </c>
    </row>
    <row r="130" customFormat="false" ht="12.8" hidden="false" customHeight="false" outlineLevel="0" collapsed="false">
      <c r="A130" s="139" t="s">
        <v>229</v>
      </c>
      <c r="B130" s="72" t="n">
        <f aca="false">B29*Ratio!B102</f>
        <v>0.470913163487971</v>
      </c>
      <c r="C130" s="96" t="n">
        <f aca="false">C29*Ratio!C102</f>
        <v>0.485925808348097</v>
      </c>
      <c r="D130" s="31" t="n">
        <f aca="false">D29*Ratio!D102</f>
        <v>0.492705563209491</v>
      </c>
      <c r="E130" s="96" t="n">
        <f aca="false">E29*Ratio!E102</f>
        <v>0.493565366198624</v>
      </c>
      <c r="F130" s="31" t="n">
        <f aca="false">F29*Ratio!F102</f>
        <v>0.500403677557776</v>
      </c>
      <c r="G130" s="96" t="n">
        <f aca="false">G29*Ratio!G102</f>
        <v>0.738273082135788</v>
      </c>
      <c r="H130" s="31" t="n">
        <f aca="false">H29*Ratio!H102</f>
        <v>0.716524008505153</v>
      </c>
      <c r="I130" s="74" t="n">
        <f aca="false">I29*Ratio!I102</f>
        <v>0.778215478282692</v>
      </c>
      <c r="J130" s="75" t="n">
        <f aca="false">J29*Ratio!J102</f>
        <v>0.666910943784598</v>
      </c>
      <c r="K130" s="73" t="n">
        <f aca="false">K29*Ratio!K102</f>
        <v>0.583607511261256</v>
      </c>
      <c r="L130" s="31" t="n">
        <f aca="false">L29*Ratio!L102</f>
        <v>0.598448907449879</v>
      </c>
      <c r="M130" s="96" t="n">
        <f aca="false">M29*Ratio!M102</f>
        <v>0.598894466394714</v>
      </c>
      <c r="N130" s="96" t="n">
        <f aca="false">N29*Ratio!N102</f>
        <v>0.602725201558899</v>
      </c>
      <c r="O130" s="31" t="n">
        <f aca="false">O29*Ratio!O102</f>
        <v>0.634561866359203</v>
      </c>
      <c r="P130" s="76" t="n">
        <f aca="false">P29*Ratio!P102</f>
        <v>0.622176279301637</v>
      </c>
      <c r="Q130" s="236" t="n">
        <f aca="false">Q29*Ratio!Q109</f>
        <v>0.0895675111309706</v>
      </c>
      <c r="R130" s="31" t="n">
        <f aca="false">R29*Ratio!R109</f>
        <v>0.104030191126832</v>
      </c>
      <c r="S130" s="96" t="n">
        <f aca="false">S29*Ratio!S109</f>
        <v>0.0993618377104108</v>
      </c>
      <c r="T130" s="31" t="n">
        <f aca="false">T29*Ratio!T109</f>
        <v>0.112019757296683</v>
      </c>
      <c r="U130" s="31" t="n">
        <f aca="false">U29*Ratio!U109</f>
        <v>0.208343463054896</v>
      </c>
      <c r="V130" s="96" t="n">
        <f aca="false">V29*Ratio!V109</f>
        <v>0.211264064107072</v>
      </c>
      <c r="W130" s="96" t="n">
        <f aca="false">W29*Ratio!W109</f>
        <v>0.221149645515027</v>
      </c>
      <c r="X130" s="74" t="n">
        <f aca="false">X29*Ratio!X109</f>
        <v>0.226985648785539</v>
      </c>
      <c r="Y130" s="75" t="n">
        <f aca="false">Y29*Ratio!Y109</f>
        <v>0.216759505530389</v>
      </c>
      <c r="Z130" s="31" t="n">
        <f aca="false">Z29*Ratio!Z109</f>
        <v>0.22440003013859</v>
      </c>
      <c r="AA130" s="96" t="n">
        <f aca="false">AA29*Ratio!AA109</f>
        <v>0.215685180442867</v>
      </c>
      <c r="AB130" s="31" t="n">
        <f aca="false">AB29*Ratio!AB109</f>
        <v>0.256025550928006</v>
      </c>
      <c r="AC130" s="76" t="n">
        <f aca="false">AC29*Ratio!AC109</f>
        <v>0.30799366582732</v>
      </c>
      <c r="AD130" s="75" t="n">
        <f aca="false">AD29*Ratio!AD109</f>
        <v>0.308947870357046</v>
      </c>
      <c r="AE130" s="31" t="n">
        <f aca="false">AE29*Ratio!AE109</f>
        <v>0.321470525643502</v>
      </c>
      <c r="AF130" s="96" t="n">
        <f aca="false">AF29*Ratio!AF109</f>
        <v>0.297197516729599</v>
      </c>
      <c r="AG130" s="31" t="n">
        <f aca="false">AG29*Ratio!AG109</f>
        <v>0.301418128666775</v>
      </c>
      <c r="AH130" s="31" t="n">
        <f aca="false">AH29*Ratio!AH109</f>
        <v>0.336931266565218</v>
      </c>
      <c r="AI130" s="74" t="n">
        <f aca="false">AI29*Ratio!AI109</f>
        <v>0.373651316973779</v>
      </c>
      <c r="AJ130" s="75" t="n">
        <f aca="false">AJ29*Ratio!AJ109</f>
        <v>0.379154096739467</v>
      </c>
      <c r="AK130" s="31" t="n">
        <f aca="false">AK29*Ratio!AK109</f>
        <v>0.334081864167858</v>
      </c>
      <c r="AL130" s="96" t="n">
        <f aca="false">AL29*Ratio!AL109</f>
        <v>0.331998806290679</v>
      </c>
      <c r="AM130" s="31" t="n">
        <f aca="false">AM29*Ratio!AM109</f>
        <v>0.328654652607844</v>
      </c>
      <c r="AN130" s="76" t="n">
        <f aca="false">AN29*Ratio!AN109</f>
        <v>0.328343483881187</v>
      </c>
      <c r="AO130" s="75" t="n">
        <f aca="false">AO29*Ratio!AO109</f>
        <v>0.267407430709423</v>
      </c>
      <c r="AP130" s="31" t="n">
        <f aca="false">AP29*Ratio!AP109</f>
        <v>0.309617733624259</v>
      </c>
      <c r="AQ130" s="96" t="n">
        <f aca="false">AQ29*Ratio!AQ109</f>
        <v>0.29563727968511</v>
      </c>
    </row>
    <row r="131" customFormat="false" ht="12.8" hidden="false" customHeight="false" outlineLevel="0" collapsed="false">
      <c r="A131" s="139" t="s">
        <v>186</v>
      </c>
      <c r="B131" s="72" t="n">
        <f aca="false">B30*Ratio!B104</f>
        <v>0.30556102193324</v>
      </c>
      <c r="C131" s="96" t="n">
        <f aca="false">C30*Ratio!C104</f>
        <v>0.280888065735933</v>
      </c>
      <c r="D131" s="31" t="n">
        <f aca="false">D30*Ratio!D104</f>
        <v>0.260094957622303</v>
      </c>
      <c r="E131" s="96" t="n">
        <f aca="false">E30*Ratio!E104</f>
        <v>0.321557524913858</v>
      </c>
      <c r="F131" s="31" t="n">
        <f aca="false">F30*Ratio!F104</f>
        <v>0.222137505788949</v>
      </c>
      <c r="G131" s="96" t="n">
        <f aca="false">G30*Ratio!G104</f>
        <v>0.180884104729248</v>
      </c>
      <c r="H131" s="31" t="n">
        <f aca="false">H30*Ratio!H104</f>
        <v>0.270504016251865</v>
      </c>
      <c r="I131" s="74" t="n">
        <f aca="false">I30*Ratio!I104</f>
        <v>0.270023705121299</v>
      </c>
      <c r="J131" s="75" t="n">
        <f aca="false">J30*Ratio!J104</f>
        <v>0.273787897573332</v>
      </c>
      <c r="K131" s="73" t="n">
        <f aca="false">K30*Ratio!K104</f>
        <v>0.234602748268862</v>
      </c>
      <c r="L131" s="31" t="n">
        <f aca="false">L30*Ratio!L104</f>
        <v>0.240681757014219</v>
      </c>
      <c r="M131" s="96" t="n">
        <f aca="false">M30*Ratio!M104</f>
        <v>0.240860950105494</v>
      </c>
      <c r="N131" s="96" t="n">
        <f aca="false">N30*Ratio!N104</f>
        <v>0.236847172653809</v>
      </c>
      <c r="O131" s="31" t="n">
        <f aca="false">O30*Ratio!O104</f>
        <v>0.250129075064292</v>
      </c>
      <c r="P131" s="76" t="n">
        <f aca="false">P30*Ratio!P104</f>
        <v>0.36872514636472</v>
      </c>
      <c r="Q131" s="75" t="n">
        <f aca="false">Q30*Ratio!Q104</f>
        <v>0.364133302143496</v>
      </c>
      <c r="R131" s="31" t="n">
        <f aca="false">R30*Ratio!R104</f>
        <v>0.375636216042598</v>
      </c>
      <c r="S131" s="96" t="n">
        <f aca="false">S30*Ratio!S104</f>
        <v>0.357501713111603</v>
      </c>
      <c r="T131" s="31" t="n">
        <f aca="false">T30*Ratio!T104</f>
        <v>0.384663865779435</v>
      </c>
      <c r="U131" s="31" t="n">
        <f aca="false">U30*Ratio!U104</f>
        <v>1.45836071626961</v>
      </c>
      <c r="V131" s="96" t="n">
        <f aca="false">V30*Ratio!V104</f>
        <v>1.56910183706972</v>
      </c>
      <c r="W131" s="96" t="n">
        <f aca="false">W30*Ratio!W104</f>
        <v>1.64252409188283</v>
      </c>
      <c r="X131" s="74" t="n">
        <f aca="false">X30*Ratio!X104</f>
        <v>1.51215928834235</v>
      </c>
      <c r="Y131" s="75" t="n">
        <f aca="false">Y30*Ratio!Y104</f>
        <v>1.65358148461111</v>
      </c>
      <c r="Z131" s="31" t="n">
        <f aca="false">Z30*Ratio!Z104</f>
        <v>1.67101000966766</v>
      </c>
      <c r="AA131" s="96" t="n">
        <f aca="false">AA30*Ratio!AA104</f>
        <v>1.81516994127153</v>
      </c>
      <c r="AB131" s="31" t="n">
        <f aca="false">AB30*Ratio!AB104</f>
        <v>1.65235126573422</v>
      </c>
      <c r="AC131" s="76" t="n">
        <f aca="false">AC30*Ratio!AC104</f>
        <v>0.182314156683505</v>
      </c>
      <c r="AD131" s="75" t="n">
        <f aca="false">AD30*Ratio!AD104</f>
        <v>0.190456904029812</v>
      </c>
      <c r="AE131" s="31" t="n">
        <f aca="false">AE30*Ratio!AE104</f>
        <v>0.180506312886908</v>
      </c>
      <c r="AF131" s="96" t="n">
        <f aca="false">AF30*Ratio!AF104</f>
        <v>0.17862438731111</v>
      </c>
      <c r="AG131" s="31" t="n">
        <f aca="false">AG30*Ratio!AG104</f>
        <v>0.242009177279067</v>
      </c>
      <c r="AH131" s="31" t="n">
        <f aca="false">AH30*Ratio!AH104</f>
        <v>0.243751507701325</v>
      </c>
      <c r="AI131" s="74" t="n">
        <f aca="false">AI30*Ratio!AI104</f>
        <v>0.308011851959477</v>
      </c>
      <c r="AJ131" s="75" t="n">
        <f aca="false">AJ30*Ratio!AJ104</f>
        <v>0.318402518681926</v>
      </c>
      <c r="AK131" s="31" t="n">
        <f aca="false">AK30*Ratio!AK104</f>
        <v>0.298871001624264</v>
      </c>
      <c r="AL131" s="96" t="n">
        <f aca="false">AL30*Ratio!AL104</f>
        <v>0.29881540890423</v>
      </c>
      <c r="AM131" s="31" t="n">
        <f aca="false">AM30*Ratio!AM104</f>
        <v>0.335389311510073</v>
      </c>
      <c r="AN131" s="76" t="n">
        <f aca="false">AN30*Ratio!AN104</f>
        <v>0.300050806747993</v>
      </c>
      <c r="AO131" s="75" t="n">
        <f aca="false">AO30*Ratio!AO104</f>
        <v>0.304668495156468</v>
      </c>
      <c r="AP131" s="31" t="n">
        <f aca="false">AP30*Ratio!AP104</f>
        <v>0.289370075582323</v>
      </c>
      <c r="AQ131" s="96" t="n">
        <f aca="false">AQ30*Ratio!AQ104</f>
        <v>0.28049568385716</v>
      </c>
    </row>
    <row r="132" customFormat="false" ht="12.8" hidden="false" customHeight="false" outlineLevel="0" collapsed="false">
      <c r="A132" s="139" t="s">
        <v>189</v>
      </c>
      <c r="B132" s="72" t="n">
        <f aca="false">B31*Ratio!B107</f>
        <v>0.249226927950611</v>
      </c>
      <c r="C132" s="96" t="n">
        <f aca="false">C31*Ratio!C107</f>
        <v>0.267491710018372</v>
      </c>
      <c r="D132" s="31" t="n">
        <f aca="false">D31*Ratio!D107</f>
        <v>0.268782940906769</v>
      </c>
      <c r="E132" s="96" t="n">
        <f aca="false">E31*Ratio!E107</f>
        <v>0.228484963910073</v>
      </c>
      <c r="F132" s="31" t="n">
        <f aca="false">F31*Ratio!F107</f>
        <v>0.223565644562215</v>
      </c>
      <c r="G132" s="96" t="n">
        <f aca="false">G31*Ratio!G107</f>
        <v>0.233183403216539</v>
      </c>
      <c r="H132" s="31" t="n">
        <f aca="false">H31*Ratio!H107</f>
        <v>0.235137379911523</v>
      </c>
      <c r="I132" s="74" t="n">
        <f aca="false">I31*Ratio!I107</f>
        <v>0.369317667569764</v>
      </c>
      <c r="J132" s="75" t="n">
        <f aca="false">J31*Ratio!J107</f>
        <v>0.411219529611222</v>
      </c>
      <c r="K132" s="73" t="n">
        <f aca="false">K31*Ratio!K107</f>
        <v>0.348233375942571</v>
      </c>
      <c r="L132" s="31" t="n">
        <f aca="false">L31*Ratio!L107</f>
        <v>0.357296993590534</v>
      </c>
      <c r="M132" s="96" t="n">
        <f aca="false">M31*Ratio!M107</f>
        <v>0.357512696353186</v>
      </c>
      <c r="N132" s="96" t="n">
        <f aca="false">N31*Ratio!N107</f>
        <v>0.359700606989215</v>
      </c>
      <c r="O132" s="31" t="n">
        <f aca="false">O31*Ratio!O107</f>
        <v>0.365893887297294</v>
      </c>
      <c r="P132" s="76" t="n">
        <f aca="false">P31*Ratio!P107</f>
        <v>0.395898712476791</v>
      </c>
      <c r="Q132" s="75" t="n">
        <f aca="false">Q31*Ratio!Q107</f>
        <v>0.494980517748906</v>
      </c>
      <c r="R132" s="31" t="n">
        <f aca="false">R31*Ratio!R107</f>
        <v>0.521672487377946</v>
      </c>
      <c r="S132" s="96" t="n">
        <f aca="false">S31*Ratio!S107</f>
        <v>0.489810322328171</v>
      </c>
      <c r="T132" s="31" t="n">
        <f aca="false">T31*Ratio!T107</f>
        <v>0.515295335835575</v>
      </c>
      <c r="U132" s="31" t="n">
        <f aca="false">U31*Ratio!U107</f>
        <v>0.475667840885111</v>
      </c>
      <c r="V132" s="96" t="n">
        <f aca="false">V31*Ratio!V107</f>
        <v>0.33984394753884</v>
      </c>
      <c r="W132" s="96" t="n">
        <f aca="false">W31*Ratio!W107</f>
        <v>0.330889278333969</v>
      </c>
      <c r="X132" s="74" t="n">
        <f aca="false">X31*Ratio!X107</f>
        <v>0.304627066426799</v>
      </c>
      <c r="Y132" s="75" t="n">
        <f aca="false">Y31*Ratio!Y107</f>
        <v>0.346893528463238</v>
      </c>
      <c r="Z132" s="31" t="n">
        <f aca="false">Z31*Ratio!Z107</f>
        <v>0.366948566597345</v>
      </c>
      <c r="AA132" s="96" t="n">
        <f aca="false">AA31*Ratio!AA107</f>
        <v>0.363949262047633</v>
      </c>
      <c r="AB132" s="31" t="n">
        <f aca="false">AB31*Ratio!AB107</f>
        <v>0.412197135938806</v>
      </c>
      <c r="AC132" s="76" t="n">
        <f aca="false">AC31*Ratio!AC107</f>
        <v>0.423261034042087</v>
      </c>
      <c r="AD132" s="75" t="n">
        <f aca="false">AD31*Ratio!AD107</f>
        <v>0.35249101144413</v>
      </c>
      <c r="AE132" s="31" t="n">
        <f aca="false">AE31*Ratio!AE107</f>
        <v>0.345301920142987</v>
      </c>
      <c r="AF132" s="96" t="n">
        <f aca="false">AF31*Ratio!AF107</f>
        <v>0.352520296773481</v>
      </c>
      <c r="AG132" s="31" t="n">
        <f aca="false">AG31*Ratio!AG107</f>
        <v>0.327381674472959</v>
      </c>
      <c r="AH132" s="31" t="n">
        <f aca="false">AH31*Ratio!AH107</f>
        <v>0.374428209206348</v>
      </c>
      <c r="AI132" s="74" t="n">
        <f aca="false">AI31*Ratio!AI107</f>
        <v>0.433642548563099</v>
      </c>
      <c r="AJ132" s="75" t="n">
        <f aca="false">AJ31*Ratio!AJ107</f>
        <v>0.400286970394585</v>
      </c>
      <c r="AK132" s="31" t="n">
        <f aca="false">AK31*Ratio!AK107</f>
        <v>0.38050450963834</v>
      </c>
      <c r="AL132" s="96" t="n">
        <f aca="false">AL31*Ratio!AL107</f>
        <v>0.383135386863105</v>
      </c>
      <c r="AM132" s="31" t="n">
        <f aca="false">AM31*Ratio!AM107</f>
        <v>0.374365708127645</v>
      </c>
      <c r="AN132" s="76" t="n">
        <f aca="false">AN31*Ratio!AN107</f>
        <v>0.402432002481584</v>
      </c>
      <c r="AO132" s="75" t="n">
        <f aca="false">AO31*Ratio!AO107</f>
        <v>0.365436155962503</v>
      </c>
      <c r="AP132" s="31" t="n">
        <f aca="false">AP31*Ratio!AP107</f>
        <v>0.339586207267411</v>
      </c>
      <c r="AQ132" s="96" t="n">
        <f aca="false">AQ31*Ratio!AQ107</f>
        <v>0.317431169125121</v>
      </c>
    </row>
    <row r="133" customFormat="false" ht="12.8" hidden="false" customHeight="false" outlineLevel="0" collapsed="false">
      <c r="A133" s="27" t="s">
        <v>103</v>
      </c>
      <c r="B133" s="234" t="s">
        <v>260</v>
      </c>
      <c r="C133" s="234"/>
      <c r="D133" s="234"/>
      <c r="E133" s="234"/>
      <c r="F133" s="234"/>
      <c r="G133" s="234"/>
      <c r="H133" s="234"/>
      <c r="I133" s="234"/>
    </row>
    <row r="134" customFormat="false" ht="12.8" hidden="false" customHeight="false" outlineLevel="0" collapsed="false">
      <c r="A134" s="139" t="s">
        <v>103</v>
      </c>
      <c r="B134" s="230"/>
    </row>
    <row r="135" customFormat="false" ht="12.8" hidden="false" customHeight="false" outlineLevel="0" collapsed="false">
      <c r="A135" s="139" t="s">
        <v>24</v>
      </c>
      <c r="B135" s="72" t="n">
        <f aca="false">B35*Ratio!B93</f>
        <v>5.82369220420994</v>
      </c>
      <c r="C135" s="96" t="n">
        <f aca="false">C35*Ratio!C93</f>
        <v>5.77255287493839</v>
      </c>
      <c r="D135" s="31" t="n">
        <f aca="false">D35*Ratio!D93</f>
        <v>5.8512577237591</v>
      </c>
      <c r="E135" s="96" t="n">
        <f aca="false">E35*Ratio!E93</f>
        <v>5.7733510243466</v>
      </c>
      <c r="F135" s="31" t="n">
        <f aca="false">F35*Ratio!F93</f>
        <v>5.60307562038213</v>
      </c>
      <c r="G135" s="96" t="n">
        <f aca="false">G35*Ratio!G93</f>
        <v>5.24740426184302</v>
      </c>
      <c r="H135" s="31" t="n">
        <f aca="false">H35*Ratio!H93</f>
        <v>5.24186631806017</v>
      </c>
      <c r="I135" s="74" t="n">
        <f aca="false">I35*Ratio!I93</f>
        <v>8.06955863291629</v>
      </c>
      <c r="J135" s="75" t="n">
        <f aca="false">J35*Ratio!J93</f>
        <v>7.67606850690036</v>
      </c>
      <c r="K135" s="73" t="n">
        <f aca="false">K35*Ratio!K93</f>
        <v>7.47893268196628</v>
      </c>
      <c r="L135" s="31" t="n">
        <f aca="false">L35*Ratio!L93</f>
        <v>7.40085955879667</v>
      </c>
      <c r="M135" s="96" t="n">
        <f aca="false">M35*Ratio!M93</f>
        <v>7.39282397176425</v>
      </c>
      <c r="N135" s="96" t="n">
        <f aca="false">N35*Ratio!N93</f>
        <v>7.37256142028498</v>
      </c>
      <c r="O135" s="31" t="n">
        <f aca="false">O35*Ratio!O93</f>
        <v>7.27550503518732</v>
      </c>
      <c r="P135" s="76" t="n">
        <f aca="false">P35*Ratio!P93</f>
        <v>7.38559844292349</v>
      </c>
      <c r="Q135" s="75" t="n">
        <f aca="false">Q35*Ratio!Q93</f>
        <v>6.65373243201034</v>
      </c>
      <c r="R135" s="31" t="n">
        <f aca="false">R35*Ratio!R93</f>
        <v>6.56612064713393</v>
      </c>
      <c r="S135" s="96" t="n">
        <f aca="false">S35*Ratio!S93</f>
        <v>6.61219445588902</v>
      </c>
      <c r="T135" s="31" t="n">
        <f aca="false">T35*Ratio!T93</f>
        <v>6.64986912322233</v>
      </c>
      <c r="U135" s="31" t="n">
        <f aca="false">U35*Ratio!U93</f>
        <v>6.79149612728806</v>
      </c>
      <c r="V135" s="96" t="n">
        <f aca="false">V35*Ratio!V93</f>
        <v>7.23472968589082</v>
      </c>
      <c r="W135" s="96" t="n">
        <f aca="false">W35*Ratio!W93</f>
        <v>7.06978366686799</v>
      </c>
      <c r="X135" s="74" t="n">
        <f aca="false">X35*Ratio!X93</f>
        <v>7.28165157133118</v>
      </c>
      <c r="Y135" s="75" t="n">
        <f aca="false">Y35*Ratio!Y93</f>
        <v>7.16254532086068</v>
      </c>
      <c r="Z135" s="31" t="n">
        <f aca="false">Z35*Ratio!Z93</f>
        <v>6.90849192585353</v>
      </c>
      <c r="AA135" s="96" t="n">
        <f aca="false">AA35*Ratio!AA93</f>
        <v>6.97888926189033</v>
      </c>
      <c r="AB135" s="1" t="n">
        <f aca="false">AB35*Ratio!AB93</f>
        <v>0</v>
      </c>
      <c r="AC135" s="42" t="n">
        <f aca="false">AC35*Ratio!AC93</f>
        <v>0</v>
      </c>
      <c r="AD135" s="21" t="n">
        <f aca="false">AD35*Ratio!AD93</f>
        <v>0</v>
      </c>
      <c r="AE135" s="1" t="n">
        <f aca="false">AE35*Ratio!AE93</f>
        <v>0</v>
      </c>
      <c r="AF135" s="40" t="n">
        <f aca="false">AF35*Ratio!AF93</f>
        <v>0</v>
      </c>
      <c r="AG135" s="1" t="n">
        <f aca="false">AG35*Ratio!AG93</f>
        <v>0</v>
      </c>
      <c r="AH135" s="1" t="n">
        <f aca="false">AH35*Ratio!AH93</f>
        <v>0</v>
      </c>
      <c r="AI135" s="41" t="n">
        <f aca="false">AI35*Ratio!AI93</f>
        <v>0</v>
      </c>
      <c r="AJ135" s="21" t="n">
        <f aca="false">AJ35*Ratio!AJ93</f>
        <v>0</v>
      </c>
      <c r="AK135" s="1" t="n">
        <f aca="false">AK35*Ratio!AK93</f>
        <v>0</v>
      </c>
      <c r="AL135" s="40" t="n">
        <f aca="false">AL35*Ratio!AL93</f>
        <v>0</v>
      </c>
      <c r="AM135" s="1" t="n">
        <f aca="false">AM35*Ratio!AM93</f>
        <v>0</v>
      </c>
      <c r="AN135" s="42" t="n">
        <f aca="false">AN35*Ratio!AN93</f>
        <v>0</v>
      </c>
      <c r="AO135" s="21" t="n">
        <f aca="false">AO35*Ratio!AO93</f>
        <v>0</v>
      </c>
      <c r="AP135" s="1" t="n">
        <f aca="false">AP35*Ratio!AP93</f>
        <v>0</v>
      </c>
      <c r="AQ135" s="40" t="n">
        <f aca="false">AQ35*Ratio!AQ93</f>
        <v>0</v>
      </c>
    </row>
    <row r="136" customFormat="false" ht="12.8" hidden="false" customHeight="false" outlineLevel="0" collapsed="false">
      <c r="A136" s="139" t="s">
        <v>180</v>
      </c>
      <c r="B136" s="72" t="n">
        <f aca="false">B36*Ratio!B94</f>
        <v>0.430800574583744</v>
      </c>
      <c r="C136" s="96" t="n">
        <f aca="false">C36*Ratio!C94</f>
        <v>0.43342110530019</v>
      </c>
      <c r="D136" s="31" t="n">
        <f aca="false">D36*Ratio!D94</f>
        <v>0.438965287823418</v>
      </c>
      <c r="E136" s="96" t="n">
        <f aca="false">E36*Ratio!E94</f>
        <v>0.441028466857635</v>
      </c>
      <c r="F136" s="31" t="n">
        <f aca="false">F36*Ratio!F94</f>
        <v>0.442064945424588</v>
      </c>
      <c r="G136" s="96" t="n">
        <f aca="false">G36*Ratio!G94</f>
        <v>0.55661882801209</v>
      </c>
      <c r="H136" s="31" t="n">
        <f aca="false">H36*Ratio!H94</f>
        <v>0.55661882801209</v>
      </c>
      <c r="I136" s="74" t="n">
        <f aca="false">I36*Ratio!I94</f>
        <v>0.55661882801209</v>
      </c>
      <c r="J136" s="75" t="n">
        <f aca="false">J36*Ratio!J94</f>
        <v>0.53460566846391</v>
      </c>
      <c r="K136" s="73" t="n">
        <f aca="false">K36*Ratio!K94</f>
        <v>0.569489492670715</v>
      </c>
      <c r="L136" s="31" t="n">
        <f aca="false">L36*Ratio!L94</f>
        <v>0.555382063763551</v>
      </c>
      <c r="M136" s="96" t="n">
        <f aca="false">M36*Ratio!M94</f>
        <v>0.555382063763551</v>
      </c>
      <c r="N136" s="96" t="n">
        <f aca="false">N36*Ratio!N94</f>
        <v>0.554099570226536</v>
      </c>
      <c r="O136" s="31" t="n">
        <f aca="false">O36*Ratio!O94</f>
        <v>0.520366228874075</v>
      </c>
      <c r="P136" s="76" t="n">
        <f aca="false">P36*Ratio!P94</f>
        <v>0.463569512546082</v>
      </c>
      <c r="Q136" s="75" t="n">
        <f aca="false">Q36*Ratio!Q94</f>
        <v>0.415479424911667</v>
      </c>
      <c r="R136" s="31" t="n">
        <f aca="false">R36*Ratio!R94</f>
        <v>0.399458108377038</v>
      </c>
      <c r="S136" s="96" t="n">
        <f aca="false">S36*Ratio!S94</f>
        <v>0.419110923326183</v>
      </c>
      <c r="T136" s="31" t="n">
        <f aca="false">T36*Ratio!T94</f>
        <v>0.382278977452417</v>
      </c>
      <c r="U136" s="31" t="n">
        <f aca="false">U36*Ratio!U94</f>
        <v>0.379071247704103</v>
      </c>
      <c r="V136" s="96" t="n">
        <f aca="false">V36*Ratio!V94</f>
        <v>0.378071693032908</v>
      </c>
      <c r="W136" s="96" t="n">
        <f aca="false">W36*Ratio!W94</f>
        <v>0.369245625286255</v>
      </c>
      <c r="X136" s="74" t="n">
        <f aca="false">X36*Ratio!X94</f>
        <v>0.384069021060079</v>
      </c>
      <c r="Y136" s="75" t="n">
        <f aca="false">Y36*Ratio!Y94</f>
        <v>0.386399830176237</v>
      </c>
      <c r="Z136" s="31" t="n">
        <f aca="false">Z36*Ratio!Z94</f>
        <v>0.376343084514439</v>
      </c>
      <c r="AA136" s="96" t="n">
        <f aca="false">AA36*Ratio!AA94</f>
        <v>0.396339883641539</v>
      </c>
      <c r="AB136" s="1" t="n">
        <f aca="false">AB36*Ratio!AB94</f>
        <v>0</v>
      </c>
      <c r="AC136" s="42" t="n">
        <f aca="false">AC36*Ratio!AC94</f>
        <v>0</v>
      </c>
      <c r="AD136" s="21" t="n">
        <f aca="false">AD36*Ratio!AD94</f>
        <v>0</v>
      </c>
      <c r="AE136" s="1" t="n">
        <f aca="false">AE36*Ratio!AE94</f>
        <v>0</v>
      </c>
      <c r="AF136" s="40" t="n">
        <f aca="false">AF36*Ratio!AF94</f>
        <v>0</v>
      </c>
      <c r="AG136" s="1" t="n">
        <f aca="false">AG36*Ratio!AG94</f>
        <v>0</v>
      </c>
      <c r="AH136" s="1" t="n">
        <f aca="false">AH36*Ratio!AH94</f>
        <v>0</v>
      </c>
      <c r="AI136" s="41" t="n">
        <f aca="false">AI36*Ratio!AI94</f>
        <v>0</v>
      </c>
      <c r="AJ136" s="21" t="n">
        <f aca="false">AJ36*Ratio!AJ94</f>
        <v>0</v>
      </c>
      <c r="AK136" s="1" t="n">
        <f aca="false">AK36*Ratio!AK94</f>
        <v>0</v>
      </c>
      <c r="AL136" s="40" t="n">
        <f aca="false">AL36*Ratio!AL94</f>
        <v>0</v>
      </c>
      <c r="AM136" s="1" t="n">
        <f aca="false">AM36*Ratio!AM94</f>
        <v>0</v>
      </c>
      <c r="AN136" s="42" t="n">
        <f aca="false">AN36*Ratio!AN94</f>
        <v>0</v>
      </c>
      <c r="AO136" s="21" t="n">
        <f aca="false">AO36*Ratio!AO94</f>
        <v>0</v>
      </c>
      <c r="AP136" s="1" t="n">
        <f aca="false">AP36*Ratio!AP94</f>
        <v>0</v>
      </c>
      <c r="AQ136" s="40" t="n">
        <f aca="false">AQ36*Ratio!AQ94</f>
        <v>0</v>
      </c>
    </row>
    <row r="137" customFormat="false" ht="12.8" hidden="false" customHeight="false" outlineLevel="0" collapsed="false">
      <c r="A137" s="139" t="s">
        <v>181</v>
      </c>
      <c r="B137" s="72" t="n">
        <f aca="false">B37*Ratio!B95</f>
        <v>3.5639354171755</v>
      </c>
      <c r="C137" s="96" t="n">
        <f aca="false">C37*Ratio!C95</f>
        <v>3.51230142556802</v>
      </c>
      <c r="D137" s="31" t="n">
        <f aca="false">D37*Ratio!D95</f>
        <v>3.54127240308365</v>
      </c>
      <c r="E137" s="96" t="n">
        <f aca="false">E37*Ratio!E95</f>
        <v>3.46404258624024</v>
      </c>
      <c r="F137" s="31" t="n">
        <f aca="false">F37*Ratio!F95</f>
        <v>3.40022028174865</v>
      </c>
      <c r="G137" s="96" t="n">
        <f aca="false">G37*Ratio!G95</f>
        <v>4.06226085821643</v>
      </c>
      <c r="H137" s="31" t="n">
        <f aca="false">H37*Ratio!H95</f>
        <v>4.11550630776853</v>
      </c>
      <c r="I137" s="74" t="n">
        <f aca="false">I37*Ratio!I95</f>
        <v>3.91647008802817</v>
      </c>
      <c r="J137" s="75" t="n">
        <f aca="false">J37*Ratio!J95</f>
        <v>3.54771054385493</v>
      </c>
      <c r="K137" s="73" t="n">
        <f aca="false">K37*Ratio!K95</f>
        <v>3.52377728561512</v>
      </c>
      <c r="L137" s="31" t="n">
        <f aca="false">L37*Ratio!L95</f>
        <v>3.50797731107466</v>
      </c>
      <c r="M137" s="96" t="n">
        <f aca="false">M37*Ratio!M95</f>
        <v>3.51071387968071</v>
      </c>
      <c r="N137" s="96" t="n">
        <f aca="false">N37*Ratio!N95</f>
        <v>3.50077183966152</v>
      </c>
      <c r="O137" s="31" t="n">
        <f aca="false">O37*Ratio!O95</f>
        <v>3.10962509855874</v>
      </c>
      <c r="P137" s="76" t="n">
        <f aca="false">P37*Ratio!P95</f>
        <v>3.29019425294268</v>
      </c>
      <c r="Q137" s="75" t="n">
        <f aca="false">Q37*Ratio!Q95</f>
        <v>3.0708899928181</v>
      </c>
      <c r="R137" s="31" t="n">
        <f aca="false">R37*Ratio!R95</f>
        <v>3.04329149965011</v>
      </c>
      <c r="S137" s="96" t="n">
        <f aca="false">S37*Ratio!S95</f>
        <v>3.10773829781335</v>
      </c>
      <c r="T137" s="31" t="n">
        <f aca="false">T37*Ratio!T95</f>
        <v>3.42281012196482</v>
      </c>
      <c r="U137" s="31" t="n">
        <f aca="false">U37*Ratio!U95</f>
        <v>3.82336620502362</v>
      </c>
      <c r="V137" s="96" t="n">
        <f aca="false">V37*Ratio!V95</f>
        <v>3.86013319232716</v>
      </c>
      <c r="W137" s="96" t="n">
        <f aca="false">W37*Ratio!W95</f>
        <v>3.6778711292859</v>
      </c>
      <c r="X137" s="74" t="n">
        <f aca="false">X37*Ratio!X95</f>
        <v>3.54596966931368</v>
      </c>
      <c r="Y137" s="75" t="n">
        <f aca="false">Y37*Ratio!Y95</f>
        <v>3.0769006747332</v>
      </c>
      <c r="Z137" s="31" t="n">
        <f aca="false">Z37*Ratio!Z95</f>
        <v>3.05014420060581</v>
      </c>
      <c r="AA137" s="96" t="n">
        <f aca="false">AA37*Ratio!AA95</f>
        <v>3.043524438735</v>
      </c>
      <c r="AB137" s="1" t="n">
        <f aca="false">AB37*Ratio!AB95</f>
        <v>0</v>
      </c>
      <c r="AC137" s="42" t="n">
        <f aca="false">AC37*Ratio!AC95</f>
        <v>0</v>
      </c>
      <c r="AD137" s="21" t="n">
        <f aca="false">AD37*Ratio!AD95</f>
        <v>0</v>
      </c>
      <c r="AE137" s="1" t="n">
        <f aca="false">AE37*Ratio!AE95</f>
        <v>0</v>
      </c>
      <c r="AF137" s="40" t="n">
        <f aca="false">AF37*Ratio!AF95</f>
        <v>0</v>
      </c>
      <c r="AG137" s="1" t="n">
        <f aca="false">AG37*Ratio!AG95</f>
        <v>0</v>
      </c>
      <c r="AH137" s="1" t="n">
        <f aca="false">AH37*Ratio!AH95</f>
        <v>0</v>
      </c>
      <c r="AI137" s="41" t="n">
        <f aca="false">AI37*Ratio!AI95</f>
        <v>0</v>
      </c>
      <c r="AJ137" s="21" t="n">
        <f aca="false">AJ37*Ratio!AJ95</f>
        <v>0</v>
      </c>
      <c r="AK137" s="1" t="n">
        <f aca="false">AK37*Ratio!AK95</f>
        <v>0</v>
      </c>
      <c r="AL137" s="40" t="n">
        <f aca="false">AL37*Ratio!AL95</f>
        <v>0</v>
      </c>
      <c r="AM137" s="1" t="n">
        <f aca="false">AM37*Ratio!AM95</f>
        <v>0</v>
      </c>
      <c r="AN137" s="42" t="n">
        <f aca="false">AN37*Ratio!AN95</f>
        <v>0</v>
      </c>
      <c r="AO137" s="21" t="n">
        <f aca="false">AO37*Ratio!AO95</f>
        <v>0</v>
      </c>
      <c r="AP137" s="1" t="n">
        <f aca="false">AP37*Ratio!AP95</f>
        <v>0</v>
      </c>
      <c r="AQ137" s="40" t="n">
        <f aca="false">AQ37*Ratio!AQ95</f>
        <v>0</v>
      </c>
    </row>
    <row r="138" customFormat="false" ht="12.8" hidden="false" customHeight="false" outlineLevel="0" collapsed="false">
      <c r="A138" s="139" t="s">
        <v>30</v>
      </c>
      <c r="B138" s="72" t="n">
        <f aca="false">B38*Ratio!B96</f>
        <v>2.73236639308702</v>
      </c>
      <c r="C138" s="96" t="n">
        <f aca="false">C38*Ratio!C96</f>
        <v>2.7054952770971</v>
      </c>
      <c r="D138" s="31" t="n">
        <f aca="false">D38*Ratio!D96</f>
        <v>2.73548103993325</v>
      </c>
      <c r="E138" s="96" t="n">
        <f aca="false">E38*Ratio!E96</f>
        <v>2.71774254318866</v>
      </c>
      <c r="F138" s="31" t="n">
        <f aca="false">F38*Ratio!F96</f>
        <v>2.55747668248947</v>
      </c>
      <c r="G138" s="96" t="n">
        <f aca="false">G38*Ratio!G96</f>
        <v>2.5042591102725</v>
      </c>
      <c r="H138" s="31" t="n">
        <f aca="false">H38*Ratio!H96</f>
        <v>2.67854568234492</v>
      </c>
      <c r="I138" s="74" t="n">
        <f aca="false">I38*Ratio!I96</f>
        <v>2.66185021016029</v>
      </c>
      <c r="J138" s="75" t="n">
        <f aca="false">J38*Ratio!J96</f>
        <v>2.42578300190433</v>
      </c>
      <c r="K138" s="73" t="n">
        <f aca="false">K38*Ratio!K96</f>
        <v>2.37464973412157</v>
      </c>
      <c r="L138" s="31" t="n">
        <f aca="false">L38*Ratio!L96</f>
        <v>2.36181565391586</v>
      </c>
      <c r="M138" s="96" t="n">
        <f aca="false">M38*Ratio!M96</f>
        <v>2.35353898638758</v>
      </c>
      <c r="N138" s="96" t="n">
        <f aca="false">N38*Ratio!N96</f>
        <v>2.351329092468</v>
      </c>
      <c r="O138" s="31" t="n">
        <f aca="false">O38*Ratio!O96</f>
        <v>2.39125608858305</v>
      </c>
      <c r="P138" s="76" t="n">
        <f aca="false">P38*Ratio!P96</f>
        <v>2.57182302242544</v>
      </c>
      <c r="Q138" s="75" t="n">
        <f aca="false">Q38*Ratio!Q96</f>
        <v>2.47686980827426</v>
      </c>
      <c r="R138" s="31" t="n">
        <f aca="false">R38*Ratio!R96</f>
        <v>2.34058832551529</v>
      </c>
      <c r="S138" s="96" t="n">
        <f aca="false">S38*Ratio!S96</f>
        <v>2.4407984693556</v>
      </c>
      <c r="T138" s="31" t="n">
        <f aca="false">T38*Ratio!T96</f>
        <v>2.42610965746963</v>
      </c>
      <c r="U138" s="31" t="n">
        <f aca="false">U38*Ratio!U96</f>
        <v>2.77661930159526</v>
      </c>
      <c r="V138" s="96" t="n">
        <f aca="false">V38*Ratio!V96</f>
        <v>2.71262676575246</v>
      </c>
      <c r="W138" s="96" t="n">
        <f aca="false">W38*Ratio!W96</f>
        <v>2.56638173001896</v>
      </c>
      <c r="X138" s="74" t="n">
        <f aca="false">X38*Ratio!X96</f>
        <v>2.8048482636702</v>
      </c>
      <c r="Y138" s="75" t="n">
        <f aca="false">Y38*Ratio!Y96</f>
        <v>2.83726128420399</v>
      </c>
      <c r="Z138" s="31" t="n">
        <f aca="false">Z38*Ratio!Z96</f>
        <v>2.65458173743906</v>
      </c>
      <c r="AA138" s="96" t="n">
        <f aca="false">AA38*Ratio!AA96</f>
        <v>2.76882430562552</v>
      </c>
      <c r="AB138" s="1" t="n">
        <f aca="false">AB38*Ratio!AB96</f>
        <v>0</v>
      </c>
      <c r="AC138" s="42" t="n">
        <f aca="false">AC38*Ratio!AC96</f>
        <v>0</v>
      </c>
      <c r="AD138" s="21" t="n">
        <f aca="false">AD38*Ratio!AD96</f>
        <v>0</v>
      </c>
      <c r="AE138" s="1" t="n">
        <f aca="false">AE38*Ratio!AE96</f>
        <v>0</v>
      </c>
      <c r="AF138" s="40" t="n">
        <f aca="false">AF38*Ratio!AF96</f>
        <v>0</v>
      </c>
      <c r="AG138" s="1" t="n">
        <f aca="false">AG38*Ratio!AG96</f>
        <v>0</v>
      </c>
      <c r="AH138" s="1" t="n">
        <f aca="false">AH38*Ratio!AH96</f>
        <v>0</v>
      </c>
      <c r="AI138" s="41" t="n">
        <f aca="false">AI38*Ratio!AI96</f>
        <v>0</v>
      </c>
      <c r="AJ138" s="21" t="n">
        <f aca="false">AJ38*Ratio!AJ96</f>
        <v>0</v>
      </c>
      <c r="AK138" s="1" t="n">
        <f aca="false">AK38*Ratio!AK96</f>
        <v>0</v>
      </c>
      <c r="AL138" s="40" t="n">
        <f aca="false">AL38*Ratio!AL96</f>
        <v>0</v>
      </c>
      <c r="AM138" s="1" t="n">
        <f aca="false">AM38*Ratio!AM96</f>
        <v>0</v>
      </c>
      <c r="AN138" s="42" t="n">
        <f aca="false">AN38*Ratio!AN96</f>
        <v>0</v>
      </c>
      <c r="AO138" s="21" t="n">
        <f aca="false">AO38*Ratio!AO96</f>
        <v>0</v>
      </c>
      <c r="AP138" s="1" t="n">
        <f aca="false">AP38*Ratio!AP96</f>
        <v>0</v>
      </c>
      <c r="AQ138" s="40" t="n">
        <f aca="false">AQ38*Ratio!AQ96</f>
        <v>0</v>
      </c>
    </row>
    <row r="139" customFormat="false" ht="12.8" hidden="false" customHeight="false" outlineLevel="0" collapsed="false">
      <c r="A139" s="139" t="s">
        <v>182</v>
      </c>
      <c r="B139" s="72" t="n">
        <f aca="false">B39*Ratio!B97</f>
        <v>1.13903837580503</v>
      </c>
      <c r="C139" s="96" t="n">
        <f aca="false">C39*Ratio!C97</f>
        <v>1.10766911980759</v>
      </c>
      <c r="D139" s="31" t="n">
        <f aca="false">D39*Ratio!D97</f>
        <v>1.10766911980759</v>
      </c>
      <c r="E139" s="96" t="n">
        <f aca="false">E39*Ratio!E97</f>
        <v>1.06794184013683</v>
      </c>
      <c r="F139" s="31" t="n">
        <f aca="false">F39*Ratio!F97</f>
        <v>1.06637793657178</v>
      </c>
      <c r="G139" s="96" t="n">
        <f aca="false">G39*Ratio!G97</f>
        <v>1.62295807597722</v>
      </c>
      <c r="H139" s="31" t="n">
        <f aca="false">H39*Ratio!H97</f>
        <v>1.60158338890001</v>
      </c>
      <c r="I139" s="74" t="n">
        <f aca="false">I39*Ratio!I97</f>
        <v>1.57420559821812</v>
      </c>
      <c r="J139" s="75" t="n">
        <f aca="false">J39*Ratio!J97</f>
        <v>1.49833899628683</v>
      </c>
      <c r="K139" s="73" t="n">
        <f aca="false">K39*Ratio!K97</f>
        <v>1.50389284055663</v>
      </c>
      <c r="L139" s="31" t="n">
        <f aca="false">L39*Ratio!L97</f>
        <v>1.49291190486715</v>
      </c>
      <c r="M139" s="96" t="n">
        <f aca="false">M39*Ratio!M97</f>
        <v>1.49348099929629</v>
      </c>
      <c r="N139" s="96" t="n">
        <f aca="false">N39*Ratio!N97</f>
        <v>1.49007936668576</v>
      </c>
      <c r="O139" s="31" t="n">
        <f aca="false">O39*Ratio!O97</f>
        <v>1.65552307176721</v>
      </c>
      <c r="P139" s="76" t="n">
        <f aca="false">P39*Ratio!P97</f>
        <v>1.51947193909451</v>
      </c>
      <c r="Q139" s="75" t="n">
        <f aca="false">Q39*Ratio!Q97</f>
        <v>1.38800297241762</v>
      </c>
      <c r="R139" s="31" t="n">
        <f aca="false">R39*Ratio!R97</f>
        <v>1.38900292250932</v>
      </c>
      <c r="S139" s="96" t="n">
        <f aca="false">S39*Ratio!S97</f>
        <v>1.40287972990693</v>
      </c>
      <c r="T139" s="31" t="n">
        <f aca="false">T39*Ratio!T97</f>
        <v>1.31905043745057</v>
      </c>
      <c r="U139" s="31" t="n">
        <f aca="false">U39*Ratio!U97</f>
        <v>1.54441969410074</v>
      </c>
      <c r="V139" s="96" t="n">
        <f aca="false">V39*Ratio!V97</f>
        <v>1.51729916491042</v>
      </c>
      <c r="W139" s="96" t="n">
        <f aca="false">W39*Ratio!W97</f>
        <v>1.50383022454621</v>
      </c>
      <c r="X139" s="74" t="n">
        <f aca="false">X39*Ratio!X97</f>
        <v>1.54441969410074</v>
      </c>
      <c r="Y139" s="75" t="n">
        <f aca="false">Y39*Ratio!Y97</f>
        <v>1.47009822664458</v>
      </c>
      <c r="Z139" s="31" t="n">
        <f aca="false">Z39*Ratio!Z97</f>
        <v>1.45304420668677</v>
      </c>
      <c r="AA139" s="96" t="n">
        <f aca="false">AA39*Ratio!AA97</f>
        <v>1.46257257092746</v>
      </c>
      <c r="AB139" s="1" t="n">
        <f aca="false">AB39*Ratio!AB97</f>
        <v>0</v>
      </c>
      <c r="AC139" s="42" t="n">
        <f aca="false">AC39*Ratio!AC97</f>
        <v>0</v>
      </c>
      <c r="AD139" s="21" t="n">
        <f aca="false">AD39*Ratio!AD97</f>
        <v>0</v>
      </c>
      <c r="AE139" s="1" t="n">
        <f aca="false">AE39*Ratio!AE97</f>
        <v>0</v>
      </c>
      <c r="AF139" s="40" t="n">
        <f aca="false">AF39*Ratio!AF97</f>
        <v>0</v>
      </c>
      <c r="AG139" s="1" t="n">
        <f aca="false">AG39*Ratio!AG97</f>
        <v>0</v>
      </c>
      <c r="AH139" s="1" t="n">
        <f aca="false">AH39*Ratio!AH97</f>
        <v>0</v>
      </c>
      <c r="AI139" s="41" t="n">
        <f aca="false">AI39*Ratio!AI97</f>
        <v>0</v>
      </c>
      <c r="AJ139" s="21" t="n">
        <f aca="false">AJ39*Ratio!AJ97</f>
        <v>0</v>
      </c>
      <c r="AK139" s="1" t="n">
        <f aca="false">AK39*Ratio!AK97</f>
        <v>0</v>
      </c>
      <c r="AL139" s="40" t="n">
        <f aca="false">AL39*Ratio!AL97</f>
        <v>0</v>
      </c>
      <c r="AM139" s="1" t="n">
        <f aca="false">AM39*Ratio!AM97</f>
        <v>0</v>
      </c>
      <c r="AN139" s="42" t="n">
        <f aca="false">AN39*Ratio!AN97</f>
        <v>0</v>
      </c>
      <c r="AO139" s="21" t="n">
        <f aca="false">AO39*Ratio!AO97</f>
        <v>0</v>
      </c>
      <c r="AP139" s="1" t="n">
        <f aca="false">AP39*Ratio!AP97</f>
        <v>0</v>
      </c>
      <c r="AQ139" s="40" t="n">
        <f aca="false">AQ39*Ratio!AQ97</f>
        <v>0</v>
      </c>
    </row>
    <row r="140" customFormat="false" ht="12.8" hidden="false" customHeight="false" outlineLevel="0" collapsed="false">
      <c r="A140" s="139" t="s">
        <v>27</v>
      </c>
      <c r="B140" s="72" t="n">
        <f aca="false">B40*Ratio!B99</f>
        <v>1.6746116446555</v>
      </c>
      <c r="C140" s="96" t="n">
        <f aca="false">C40*Ratio!C99</f>
        <v>1.63232528175337</v>
      </c>
      <c r="D140" s="31" t="n">
        <f aca="false">D40*Ratio!D99</f>
        <v>1.63461425789273</v>
      </c>
      <c r="E140" s="96" t="n">
        <f aca="false">E40*Ratio!E99</f>
        <v>1.5704182063867</v>
      </c>
      <c r="F140" s="31" t="n">
        <f aca="false">F40*Ratio!F99</f>
        <v>1.5236573270317</v>
      </c>
      <c r="G140" s="96" t="n">
        <f aca="false">G40*Ratio!G99</f>
        <v>0.994545530278487</v>
      </c>
      <c r="H140" s="31" t="n">
        <f aca="false">H40*Ratio!H99</f>
        <v>0.959371332057237</v>
      </c>
      <c r="I140" s="74" t="n">
        <f aca="false">I40*Ratio!I99</f>
        <v>0.929839365404609</v>
      </c>
      <c r="J140" s="75" t="n">
        <f aca="false">J40*Ratio!J99</f>
        <v>0.950112385735949</v>
      </c>
      <c r="K140" s="73" t="n">
        <f aca="false">K40*Ratio!K99</f>
        <v>1.01285206456132</v>
      </c>
      <c r="L140" s="31" t="n">
        <f aca="false">L40*Ratio!L99</f>
        <v>0.960821051517697</v>
      </c>
      <c r="M140" s="96" t="n">
        <f aca="false">M40*Ratio!M99</f>
        <v>0.961433325147299</v>
      </c>
      <c r="N140" s="96" t="n">
        <f aca="false">N40*Ratio!N99</f>
        <v>0.961436386515447</v>
      </c>
      <c r="O140" s="31" t="n">
        <f aca="false">O40*Ratio!O99</f>
        <v>1.01464361892897</v>
      </c>
      <c r="P140" s="76" t="n">
        <f aca="false">P40*Ratio!P99</f>
        <v>0.946384324241484</v>
      </c>
      <c r="Q140" s="75" t="n">
        <f aca="false">Q40*Ratio!Q99</f>
        <v>0.931689714830778</v>
      </c>
      <c r="R140" s="31" t="n">
        <f aca="false">R40*Ratio!R99</f>
        <v>0.915390650568613</v>
      </c>
      <c r="S140" s="96" t="n">
        <f aca="false">S40*Ratio!S99</f>
        <v>0.960199543551013</v>
      </c>
      <c r="T140" s="31" t="n">
        <f aca="false">T40*Ratio!T99</f>
        <v>0.973347857388122</v>
      </c>
      <c r="U140" s="31" t="n">
        <f aca="false">U40*Ratio!U99</f>
        <v>3.08742188149371</v>
      </c>
      <c r="V140" s="96" t="n">
        <f aca="false">V40*Ratio!V99</f>
        <v>2.94712745583287</v>
      </c>
      <c r="W140" s="96" t="n">
        <f aca="false">W40*Ratio!W99</f>
        <v>2.9286719033765</v>
      </c>
      <c r="X140" s="74" t="n">
        <f aca="false">X40*Ratio!X99</f>
        <v>3.16508613363219</v>
      </c>
      <c r="Y140" s="75" t="n">
        <f aca="false">Y40*Ratio!Y99</f>
        <v>3.24604973177625</v>
      </c>
      <c r="Z140" s="31" t="n">
        <f aca="false">Z40*Ratio!Z99</f>
        <v>3.16040104001609</v>
      </c>
      <c r="AA140" s="96" t="n">
        <f aca="false">AA40*Ratio!AA99</f>
        <v>3.21344723085205</v>
      </c>
      <c r="AB140" s="1" t="n">
        <f aca="false">AB40*Ratio!AB99</f>
        <v>0</v>
      </c>
      <c r="AC140" s="42" t="n">
        <f aca="false">AC40*Ratio!AC99</f>
        <v>0</v>
      </c>
      <c r="AD140" s="21" t="n">
        <f aca="false">AD40*Ratio!AD99</f>
        <v>0</v>
      </c>
      <c r="AE140" s="1" t="n">
        <f aca="false">AE40*Ratio!AE99</f>
        <v>0</v>
      </c>
      <c r="AF140" s="40" t="n">
        <f aca="false">AF40*Ratio!AF99</f>
        <v>0</v>
      </c>
      <c r="AG140" s="1" t="n">
        <f aca="false">AG40*Ratio!AG99</f>
        <v>0</v>
      </c>
      <c r="AH140" s="1" t="n">
        <f aca="false">AH40*Ratio!AH99</f>
        <v>0</v>
      </c>
      <c r="AI140" s="41" t="n">
        <f aca="false">AI40*Ratio!AI99</f>
        <v>0</v>
      </c>
      <c r="AJ140" s="21" t="n">
        <f aca="false">AJ40*Ratio!AJ99</f>
        <v>0</v>
      </c>
      <c r="AK140" s="1" t="n">
        <f aca="false">AK40*Ratio!AK99</f>
        <v>0</v>
      </c>
      <c r="AL140" s="40" t="n">
        <f aca="false">AL40*Ratio!AL99</f>
        <v>0</v>
      </c>
      <c r="AM140" s="1" t="n">
        <f aca="false">AM40*Ratio!AM99</f>
        <v>0</v>
      </c>
      <c r="AN140" s="42" t="n">
        <f aca="false">AN40*Ratio!AN99</f>
        <v>0</v>
      </c>
      <c r="AO140" s="21" t="n">
        <f aca="false">AO40*Ratio!AO99</f>
        <v>0</v>
      </c>
      <c r="AP140" s="1" t="n">
        <f aca="false">AP40*Ratio!AP99</f>
        <v>0</v>
      </c>
      <c r="AQ140" s="40" t="n">
        <f aca="false">AQ40*Ratio!AQ99</f>
        <v>0</v>
      </c>
    </row>
    <row r="141" customFormat="false" ht="12.8" hidden="false" customHeight="false" outlineLevel="0" collapsed="false">
      <c r="A141" s="139" t="s">
        <v>184</v>
      </c>
      <c r="B141" s="72" t="n">
        <f aca="false">B41*Ratio!B101</f>
        <v>1.28743826221667</v>
      </c>
      <c r="C141" s="96" t="n">
        <f aca="false">C41*Ratio!C101</f>
        <v>1.17660413933038</v>
      </c>
      <c r="D141" s="31" t="n">
        <f aca="false">D41*Ratio!D101</f>
        <v>1.17639408255629</v>
      </c>
      <c r="E141" s="96" t="n">
        <f aca="false">E41*Ratio!E101</f>
        <v>1.17639408255629</v>
      </c>
      <c r="F141" s="31" t="n">
        <f aca="false">F41*Ratio!F101</f>
        <v>1.11804497864143</v>
      </c>
      <c r="G141" s="96" t="n">
        <f aca="false">G41*Ratio!G101</f>
        <v>1.57208962628834</v>
      </c>
      <c r="H141" s="31" t="n">
        <f aca="false">H41*Ratio!H101</f>
        <v>1.45274402124927</v>
      </c>
      <c r="I141" s="74" t="n">
        <f aca="false">I41*Ratio!I101</f>
        <v>1.40728130210306</v>
      </c>
      <c r="J141" s="75" t="n">
        <f aca="false">J41*Ratio!J101</f>
        <v>1.49913190149137</v>
      </c>
      <c r="K141" s="73" t="n">
        <f aca="false">K41*Ratio!K101</f>
        <v>1.44909432179505</v>
      </c>
      <c r="L141" s="31" t="n">
        <f aca="false">L41*Ratio!L101</f>
        <v>1.44537845089777</v>
      </c>
      <c r="M141" s="96" t="n">
        <f aca="false">M41*Ratio!M101</f>
        <v>1.44064916066487</v>
      </c>
      <c r="N141" s="96" t="n">
        <f aca="false">N41*Ratio!N101</f>
        <v>1.44064916066487</v>
      </c>
      <c r="O141" s="31" t="n">
        <f aca="false">O41*Ratio!O101</f>
        <v>1.65556790194645</v>
      </c>
      <c r="P141" s="76" t="n">
        <f aca="false">P41*Ratio!P101</f>
        <v>1.37103423625594</v>
      </c>
      <c r="Q141" s="75" t="n">
        <f aca="false">Q41*Ratio!Q101</f>
        <v>1.42605470121265</v>
      </c>
      <c r="R141" s="31" t="n">
        <f aca="false">R41*Ratio!R101</f>
        <v>1.59677447121609</v>
      </c>
      <c r="S141" s="96" t="n">
        <f aca="false">S41*Ratio!S101</f>
        <v>1.51219777418472</v>
      </c>
      <c r="T141" s="31" t="n">
        <f aca="false">T41*Ratio!T101</f>
        <v>1.46997345328273</v>
      </c>
      <c r="U141" s="31" t="n">
        <f aca="false">U41*Ratio!U101</f>
        <v>1.58227140012227</v>
      </c>
      <c r="V141" s="96" t="n">
        <f aca="false">V41*Ratio!V101</f>
        <v>1.48052521576575</v>
      </c>
      <c r="W141" s="96" t="n">
        <f aca="false">W41*Ratio!W101</f>
        <v>1.48052521576575</v>
      </c>
      <c r="X141" s="74" t="n">
        <f aca="false">X41*Ratio!X101</f>
        <v>1.5958123682623</v>
      </c>
      <c r="Y141" s="75" t="n">
        <f aca="false">Y41*Ratio!Y101</f>
        <v>1.78065858765584</v>
      </c>
      <c r="Z141" s="31" t="n">
        <f aca="false">Z41*Ratio!Z101</f>
        <v>1.69810971572159</v>
      </c>
      <c r="AA141" s="96" t="n">
        <f aca="false">AA41*Ratio!AA101</f>
        <v>1.69434809020624</v>
      </c>
      <c r="AB141" s="1" t="n">
        <f aca="false">AB41*Ratio!AB101</f>
        <v>0</v>
      </c>
      <c r="AC141" s="42" t="n">
        <f aca="false">AC41*Ratio!AC101</f>
        <v>0</v>
      </c>
      <c r="AD141" s="21" t="n">
        <f aca="false">AD41*Ratio!AD101</f>
        <v>0</v>
      </c>
      <c r="AE141" s="1" t="n">
        <f aca="false">AE41*Ratio!AE101</f>
        <v>0</v>
      </c>
      <c r="AF141" s="40" t="n">
        <f aca="false">AF41*Ratio!AF101</f>
        <v>0</v>
      </c>
      <c r="AG141" s="1" t="n">
        <f aca="false">AG41*Ratio!AG101</f>
        <v>0</v>
      </c>
      <c r="AH141" s="1" t="n">
        <f aca="false">AH41*Ratio!AH101</f>
        <v>0</v>
      </c>
      <c r="AI141" s="41" t="n">
        <f aca="false">AI41*Ratio!AI101</f>
        <v>0</v>
      </c>
      <c r="AJ141" s="21" t="n">
        <f aca="false">AJ41*Ratio!AJ101</f>
        <v>0</v>
      </c>
      <c r="AK141" s="1" t="n">
        <f aca="false">AK41*Ratio!AK101</f>
        <v>0</v>
      </c>
      <c r="AL141" s="40" t="n">
        <f aca="false">AL41*Ratio!AL101</f>
        <v>0</v>
      </c>
      <c r="AM141" s="1" t="n">
        <f aca="false">AM41*Ratio!AM101</f>
        <v>0</v>
      </c>
      <c r="AN141" s="42" t="n">
        <f aca="false">AN41*Ratio!AN101</f>
        <v>0</v>
      </c>
      <c r="AO141" s="21" t="n">
        <f aca="false">AO41*Ratio!AO101</f>
        <v>0</v>
      </c>
      <c r="AP141" s="1" t="n">
        <f aca="false">AP41*Ratio!AP101</f>
        <v>0</v>
      </c>
      <c r="AQ141" s="40" t="n">
        <f aca="false">AQ41*Ratio!AQ101</f>
        <v>0</v>
      </c>
    </row>
    <row r="142" customFormat="false" ht="12.8" hidden="false" customHeight="false" outlineLevel="0" collapsed="false">
      <c r="A142" s="139" t="s">
        <v>229</v>
      </c>
      <c r="B142" s="72" t="n">
        <f aca="false">B42*Ratio!B102</f>
        <v>0.83046661263457</v>
      </c>
      <c r="C142" s="96" t="n">
        <f aca="false">C42*Ratio!C102</f>
        <v>0.83029658315965</v>
      </c>
      <c r="D142" s="31" t="n">
        <f aca="false">D42*Ratio!D102</f>
        <v>0.834110703612395</v>
      </c>
      <c r="E142" s="96" t="n">
        <f aca="false">E42*Ratio!E102</f>
        <v>0.829292867251033</v>
      </c>
      <c r="F142" s="31" t="n">
        <f aca="false">F42*Ratio!F102</f>
        <v>0.825278003616565</v>
      </c>
      <c r="G142" s="96" t="n">
        <f aca="false">G42*Ratio!G102</f>
        <v>1.05712245411188</v>
      </c>
      <c r="H142" s="31" t="n">
        <f aca="false">H42*Ratio!H102</f>
        <v>1.0514814383535</v>
      </c>
      <c r="I142" s="74" t="n">
        <f aca="false">I42*Ratio!I102</f>
        <v>1.055604254809</v>
      </c>
      <c r="J142" s="75" t="n">
        <f aca="false">J42*Ratio!J102</f>
        <v>0.97457222259833</v>
      </c>
      <c r="K142" s="73" t="n">
        <f aca="false">K42*Ratio!K102</f>
        <v>0.956857128507876</v>
      </c>
      <c r="L142" s="31" t="n">
        <f aca="false">L42*Ratio!L102</f>
        <v>0.956802093604882</v>
      </c>
      <c r="M142" s="96" t="n">
        <f aca="false">M42*Ratio!M102</f>
        <v>0.956802093604882</v>
      </c>
      <c r="N142" s="96" t="n">
        <f aca="false">N42*Ratio!N102</f>
        <v>0.956828809577209</v>
      </c>
      <c r="O142" s="31" t="n">
        <f aca="false">O42*Ratio!O102</f>
        <v>0.649657661908374</v>
      </c>
      <c r="P142" s="76" t="n">
        <f aca="false">P42*Ratio!P102</f>
        <v>0.678701412663512</v>
      </c>
      <c r="Q142" s="236" t="n">
        <f aca="false">Q42*Ratio!Q109</f>
        <v>0.471395133973892</v>
      </c>
      <c r="R142" s="31" t="n">
        <f aca="false">R42*Ratio!R109</f>
        <v>0.477848598646642</v>
      </c>
      <c r="S142" s="96" t="n">
        <f aca="false">S42*Ratio!S109</f>
        <v>0.477848598646642</v>
      </c>
      <c r="T142" s="31" t="n">
        <f aca="false">T42*Ratio!T109</f>
        <v>0.517579153995336</v>
      </c>
      <c r="U142" s="31" t="n">
        <f aca="false">U42*Ratio!U109</f>
        <v>0.99948127442876</v>
      </c>
      <c r="V142" s="96" t="n">
        <f aca="false">V42*Ratio!V109</f>
        <v>0.997157186160295</v>
      </c>
      <c r="W142" s="96" t="n">
        <f aca="false">W42*Ratio!W109</f>
        <v>0.997157186160295</v>
      </c>
      <c r="X142" s="74" t="n">
        <f aca="false">X42*Ratio!X109</f>
        <v>1.01290910126297</v>
      </c>
      <c r="Y142" s="75" t="n">
        <f aca="false">Y42*Ratio!Y109</f>
        <v>1.0021668397956</v>
      </c>
      <c r="Z142" s="31" t="n">
        <f aca="false">Z42*Ratio!Z109</f>
        <v>0.996795709061918</v>
      </c>
      <c r="AA142" s="96" t="n">
        <f aca="false">AA42*Ratio!AA109</f>
        <v>0.996795709061918</v>
      </c>
      <c r="AB142" s="1" t="n">
        <f aca="false">AB42*Ratio!AA109</f>
        <v>0</v>
      </c>
      <c r="AC142" s="42" t="n">
        <f aca="false">AB42*Ratio!AB109</f>
        <v>0</v>
      </c>
      <c r="AD142" s="21" t="n">
        <f aca="false">AC42*Ratio!AC109</f>
        <v>0</v>
      </c>
      <c r="AE142" s="1" t="n">
        <f aca="false">AD42*Ratio!AD109</f>
        <v>0</v>
      </c>
      <c r="AF142" s="40" t="n">
        <f aca="false">AE42*Ratio!AE109</f>
        <v>0</v>
      </c>
      <c r="AG142" s="1" t="n">
        <f aca="false">AF42*Ratio!AF109</f>
        <v>0</v>
      </c>
      <c r="AH142" s="1" t="n">
        <f aca="false">AG42*Ratio!AG109</f>
        <v>0</v>
      </c>
      <c r="AI142" s="41" t="n">
        <f aca="false">AH42*Ratio!AH109</f>
        <v>0</v>
      </c>
      <c r="AJ142" s="21" t="n">
        <f aca="false">AI42*Ratio!AI109</f>
        <v>0</v>
      </c>
      <c r="AK142" s="1" t="n">
        <f aca="false">AJ42*Ratio!AJ109</f>
        <v>0</v>
      </c>
      <c r="AL142" s="40" t="n">
        <f aca="false">AK42*Ratio!AK109</f>
        <v>0</v>
      </c>
      <c r="AM142" s="1" t="n">
        <f aca="false">AK42*Ratio!AK109</f>
        <v>0</v>
      </c>
      <c r="AN142" s="42" t="n">
        <f aca="false">AM42*Ratio!AM109</f>
        <v>0</v>
      </c>
      <c r="AO142" s="21" t="n">
        <f aca="false">AN42*Ratio!AN109</f>
        <v>0</v>
      </c>
      <c r="AP142" s="1" t="n">
        <f aca="false">AO42*Ratio!AO109</f>
        <v>0</v>
      </c>
      <c r="AQ142" s="40" t="n">
        <f aca="false">AP42*Ratio!AP109</f>
        <v>0</v>
      </c>
    </row>
    <row r="143" customFormat="false" ht="12.8" hidden="false" customHeight="false" outlineLevel="0" collapsed="false">
      <c r="A143" s="139" t="s">
        <v>186</v>
      </c>
      <c r="B143" s="72" t="n">
        <f aca="false">B43*Ratio!B104</f>
        <v>0.907783124006448</v>
      </c>
      <c r="C143" s="96" t="n">
        <f aca="false">C43*Ratio!C104</f>
        <v>0.855870531914156</v>
      </c>
      <c r="D143" s="31" t="n">
        <f aca="false">D43*Ratio!D104</f>
        <v>0.830651881395676</v>
      </c>
      <c r="E143" s="96" t="n">
        <f aca="false">E43*Ratio!E104</f>
        <v>0.905161530654823</v>
      </c>
      <c r="F143" s="31" t="n">
        <f aca="false">F43*Ratio!F104</f>
        <v>0.733445446669897</v>
      </c>
      <c r="G143" s="96" t="n">
        <f aca="false">G43*Ratio!G104</f>
        <v>0.625404788745233</v>
      </c>
      <c r="H143" s="31" t="n">
        <f aca="false">H43*Ratio!H104</f>
        <v>1.03474360610733</v>
      </c>
      <c r="I143" s="74" t="n">
        <f aca="false">I43*Ratio!I104</f>
        <v>1.00439203098853</v>
      </c>
      <c r="J143" s="75" t="n">
        <f aca="false">J43*Ratio!J104</f>
        <v>0.907692637346081</v>
      </c>
      <c r="K143" s="73" t="n">
        <f aca="false">K43*Ratio!K104</f>
        <v>0.836018404422216</v>
      </c>
      <c r="L143" s="31" t="n">
        <f aca="false">L43*Ratio!L104</f>
        <v>0.836018404422216</v>
      </c>
      <c r="M143" s="96" t="n">
        <f aca="false">M43*Ratio!M104</f>
        <v>0.836018404422216</v>
      </c>
      <c r="N143" s="96" t="n">
        <f aca="false">N43*Ratio!N104</f>
        <v>0.826439361210964</v>
      </c>
      <c r="O143" s="31" t="n">
        <f aca="false">O43*Ratio!O104</f>
        <v>0.847440656171544</v>
      </c>
      <c r="P143" s="76" t="n">
        <f aca="false">P43*Ratio!P104</f>
        <v>1.23305873588383</v>
      </c>
      <c r="Q143" s="75" t="n">
        <f aca="false">Q43*Ratio!Q104</f>
        <v>1.17729489918856</v>
      </c>
      <c r="R143" s="31" t="n">
        <f aca="false">R43*Ratio!R104</f>
        <v>1.17729489918856</v>
      </c>
      <c r="S143" s="96" t="n">
        <f aca="false">S43*Ratio!S104</f>
        <v>1.17521990064475</v>
      </c>
      <c r="T143" s="31" t="n">
        <f aca="false">T43*Ratio!T104</f>
        <v>1.20511107952967</v>
      </c>
      <c r="U143" s="31" t="n">
        <f aca="false">U43*Ratio!U104</f>
        <v>4.78091065064588</v>
      </c>
      <c r="V143" s="96" t="n">
        <f aca="false">V43*Ratio!V104</f>
        <v>4.88308828474321</v>
      </c>
      <c r="W143" s="96" t="n">
        <f aca="false">W43*Ratio!W104</f>
        <v>4.88308828474321</v>
      </c>
      <c r="X143" s="74" t="n">
        <f aca="false">X43*Ratio!X104</f>
        <v>4.88308828474321</v>
      </c>
      <c r="Y143" s="75" t="n">
        <f aca="false">Y43*Ratio!Y104</f>
        <v>5.02482989667664</v>
      </c>
      <c r="Z143" s="31" t="n">
        <f aca="false">Z43*Ratio!Z104</f>
        <v>4.87191416967515</v>
      </c>
      <c r="AA143" s="96" t="n">
        <f aca="false">AA43*Ratio!AA104</f>
        <v>5.17672618549813</v>
      </c>
      <c r="AB143" s="1" t="n">
        <f aca="false">AB43*Ratio!AB104</f>
        <v>0</v>
      </c>
      <c r="AC143" s="42" t="n">
        <f aca="false">AC43*Ratio!AC104</f>
        <v>0</v>
      </c>
      <c r="AD143" s="21" t="n">
        <f aca="false">AD43*Ratio!AD104</f>
        <v>0</v>
      </c>
      <c r="AE143" s="1" t="n">
        <f aca="false">AE43*Ratio!AE104</f>
        <v>0</v>
      </c>
      <c r="AF143" s="40" t="n">
        <f aca="false">AF43*Ratio!AF104</f>
        <v>0</v>
      </c>
      <c r="AG143" s="1" t="n">
        <f aca="false">AG43*Ratio!AG104</f>
        <v>0</v>
      </c>
      <c r="AH143" s="1" t="n">
        <f aca="false">AH43*Ratio!AH104</f>
        <v>0</v>
      </c>
      <c r="AI143" s="41" t="n">
        <f aca="false">AI43*Ratio!AI104</f>
        <v>0</v>
      </c>
      <c r="AJ143" s="21" t="n">
        <f aca="false">AJ43*Ratio!AJ104</f>
        <v>0</v>
      </c>
      <c r="AK143" s="1" t="n">
        <f aca="false">AK43*Ratio!AK104</f>
        <v>0</v>
      </c>
      <c r="AL143" s="40" t="n">
        <f aca="false">AL43*Ratio!AL104</f>
        <v>0</v>
      </c>
      <c r="AM143" s="1" t="n">
        <f aca="false">AM43*Ratio!AM104</f>
        <v>0</v>
      </c>
      <c r="AN143" s="42" t="n">
        <f aca="false">AN43*Ratio!AN104</f>
        <v>0</v>
      </c>
      <c r="AO143" s="21" t="n">
        <f aca="false">AO43*Ratio!AO104</f>
        <v>0</v>
      </c>
      <c r="AP143" s="1" t="n">
        <f aca="false">AP43*Ratio!AP104</f>
        <v>0</v>
      </c>
      <c r="AQ143" s="40" t="n">
        <f aca="false">AQ43*Ratio!AQ104</f>
        <v>0</v>
      </c>
    </row>
    <row r="144" customFormat="false" ht="12.8" hidden="false" customHeight="false" outlineLevel="0" collapsed="false">
      <c r="A144" s="139" t="s">
        <v>189</v>
      </c>
      <c r="B144" s="72" t="n">
        <f aca="false">B44*Ratio!B107</f>
        <v>0.924890962535288</v>
      </c>
      <c r="C144" s="96" t="n">
        <f aca="false">C44*Ratio!C107</f>
        <v>0.931344751939563</v>
      </c>
      <c r="D144" s="31" t="n">
        <f aca="false">D44*Ratio!D107</f>
        <v>0.935224078903881</v>
      </c>
      <c r="E144" s="96" t="n">
        <f aca="false">E44*Ratio!E107</f>
        <v>0.901955911300788</v>
      </c>
      <c r="F144" s="31" t="n">
        <f aca="false">F44*Ratio!F107</f>
        <v>0.891669817077217</v>
      </c>
      <c r="G144" s="96" t="n">
        <f aca="false">G44*Ratio!G107</f>
        <v>1.01159133527873</v>
      </c>
      <c r="H144" s="31" t="n">
        <f aca="false">H44*Ratio!H107</f>
        <v>1.01225926347506</v>
      </c>
      <c r="I144" s="74" t="n">
        <f aca="false">I44*Ratio!I107</f>
        <v>1.50719652692806</v>
      </c>
      <c r="J144" s="75" t="n">
        <f aca="false">J44*Ratio!J107</f>
        <v>1.42197994057856</v>
      </c>
      <c r="K144" s="73" t="n">
        <f aca="false">K44*Ratio!K107</f>
        <v>1.38374230846644</v>
      </c>
      <c r="L144" s="31" t="n">
        <f aca="false">L44*Ratio!L107</f>
        <v>1.38376525448761</v>
      </c>
      <c r="M144" s="96" t="n">
        <f aca="false">M44*Ratio!M107</f>
        <v>1.38373657196115</v>
      </c>
      <c r="N144" s="96" t="n">
        <f aca="false">N44*Ratio!N107</f>
        <v>1.38372701111899</v>
      </c>
      <c r="O144" s="31" t="n">
        <f aca="false">O44*Ratio!O107</f>
        <v>1.36887879658324</v>
      </c>
      <c r="P144" s="76" t="n">
        <f aca="false">P44*Ratio!P107</f>
        <v>1.38817615714354</v>
      </c>
      <c r="Q144" s="75" t="n">
        <f aca="false">Q44*Ratio!Q107</f>
        <v>1.32359750024142</v>
      </c>
      <c r="R144" s="31" t="n">
        <f aca="false">R44*Ratio!R107</f>
        <v>1.32775796984023</v>
      </c>
      <c r="S144" s="96" t="n">
        <f aca="false">S44*Ratio!S107</f>
        <v>1.32442959416118</v>
      </c>
      <c r="T144" s="31" t="n">
        <f aca="false">T44*Ratio!T107</f>
        <v>1.39949150901689</v>
      </c>
      <c r="U144" s="31" t="n">
        <f aca="false">U44*Ratio!U107</f>
        <v>1.39412854588541</v>
      </c>
      <c r="V144" s="96" t="n">
        <f aca="false">V44*Ratio!V107</f>
        <v>0.963626234962835</v>
      </c>
      <c r="W144" s="96" t="n">
        <f aca="false">W44*Ratio!W107</f>
        <v>0.953459857550214</v>
      </c>
      <c r="X144" s="74" t="n">
        <f aca="false">X44*Ratio!X107</f>
        <v>0.953459857550214</v>
      </c>
      <c r="Y144" s="75" t="n">
        <f aca="false">Y44*Ratio!Y107</f>
        <v>1.14778597040008</v>
      </c>
      <c r="Z144" s="31" t="n">
        <f aca="false">Z44*Ratio!Z107</f>
        <v>1.14490055899839</v>
      </c>
      <c r="AA144" s="96" t="n">
        <f aca="false">AA44*Ratio!AA107</f>
        <v>1.15038861148441</v>
      </c>
      <c r="AB144" s="1" t="n">
        <f aca="false">AB44*Ratio!AB107</f>
        <v>0</v>
      </c>
      <c r="AC144" s="42" t="n">
        <f aca="false">AC44*Ratio!AC107</f>
        <v>0</v>
      </c>
      <c r="AD144" s="21" t="n">
        <f aca="false">AD44*Ratio!AD107</f>
        <v>0</v>
      </c>
      <c r="AE144" s="1" t="n">
        <f aca="false">AE44*Ratio!AE107</f>
        <v>0</v>
      </c>
      <c r="AF144" s="40" t="n">
        <f aca="false">AF44*Ratio!AF107</f>
        <v>0</v>
      </c>
      <c r="AG144" s="1" t="n">
        <f aca="false">AG44*Ratio!AG107</f>
        <v>0</v>
      </c>
      <c r="AH144" s="1" t="n">
        <f aca="false">AH44*Ratio!AH107</f>
        <v>0</v>
      </c>
      <c r="AI144" s="41" t="n">
        <f aca="false">AI44*Ratio!AI107</f>
        <v>0</v>
      </c>
      <c r="AJ144" s="21" t="n">
        <f aca="false">AJ44*Ratio!AJ107</f>
        <v>0</v>
      </c>
      <c r="AK144" s="1" t="n">
        <f aca="false">AK44*Ratio!AK107</f>
        <v>0</v>
      </c>
      <c r="AL144" s="40" t="n">
        <f aca="false">AL44*Ratio!AL107</f>
        <v>0</v>
      </c>
      <c r="AM144" s="1" t="n">
        <f aca="false">AM44*Ratio!AM107</f>
        <v>0</v>
      </c>
      <c r="AN144" s="42" t="n">
        <f aca="false">AN44*Ratio!AN107</f>
        <v>0</v>
      </c>
      <c r="AO144" s="21" t="n">
        <f aca="false">AO44*Ratio!AO107</f>
        <v>0</v>
      </c>
      <c r="AP144" s="1" t="n">
        <f aca="false">AP44*Ratio!AP107</f>
        <v>0</v>
      </c>
      <c r="AQ144" s="40" t="n">
        <f aca="false">AQ44*Ratio!AQ107</f>
        <v>0</v>
      </c>
    </row>
  </sheetData>
  <mergeCells count="8">
    <mergeCell ref="B46:I46"/>
    <mergeCell ref="B58:I58"/>
    <mergeCell ref="B71:I71"/>
    <mergeCell ref="B83:I83"/>
    <mergeCell ref="B96:I96"/>
    <mergeCell ref="B108:I108"/>
    <mergeCell ref="B121:I121"/>
    <mergeCell ref="B133:I13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AQ142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B15" activePane="bottomRight" state="frozen"/>
      <selection pane="topLeft" activeCell="A1" activeCellId="0" sqref="A1"/>
      <selection pane="topRight" activeCell="B1" activeCellId="0" sqref="B1"/>
      <selection pane="bottomLeft" activeCell="A15" activeCellId="0" sqref="A15"/>
      <selection pane="bottomRight" activeCell="G37" activeCellId="0" sqref="G37"/>
    </sheetView>
  </sheetViews>
  <sheetFormatPr defaultColWidth="11.53515625" defaultRowHeight="12.8" zeroHeight="false" outlineLevelRow="0" outlineLevelCol="0"/>
  <cols>
    <col collapsed="false" customWidth="false" hidden="false" outlineLevel="0" max="2" min="2" style="38" width="11.53"/>
    <col collapsed="false" customWidth="false" hidden="false" outlineLevel="0" max="3" min="3" style="40" width="11.53"/>
    <col collapsed="false" customWidth="false" hidden="false" outlineLevel="0" max="5" min="5" style="40" width="11.53"/>
    <col collapsed="false" customWidth="false" hidden="false" outlineLevel="0" max="7" min="7" style="40" width="11.53"/>
    <col collapsed="false" customWidth="false" hidden="false" outlineLevel="0" max="9" min="9" style="40" width="11.53"/>
    <col collapsed="false" customWidth="false" hidden="false" outlineLevel="0" max="10" min="10" style="21" width="11.53"/>
    <col collapsed="false" customWidth="true" hidden="false" outlineLevel="0" max="11" min="11" style="39" width="13.02"/>
    <col collapsed="false" customWidth="false" hidden="false" outlineLevel="0" max="14" min="13" style="40" width="11.53"/>
    <col collapsed="false" customWidth="false" hidden="false" outlineLevel="0" max="16" min="16" style="42" width="11.53"/>
    <col collapsed="false" customWidth="false" hidden="false" outlineLevel="0" max="17" min="17" style="21" width="11.53"/>
    <col collapsed="false" customWidth="false" hidden="false" outlineLevel="0" max="19" min="19" style="40" width="11.53"/>
    <col collapsed="false" customWidth="false" hidden="false" outlineLevel="0" max="23" min="22" style="40" width="11.53"/>
    <col collapsed="false" customWidth="false" hidden="false" outlineLevel="0" max="24" min="24" style="41" width="11.53"/>
    <col collapsed="false" customWidth="false" hidden="false" outlineLevel="0" max="25" min="25" style="21" width="11.53"/>
    <col collapsed="false" customWidth="false" hidden="false" outlineLevel="0" max="27" min="27" style="40" width="11.53"/>
    <col collapsed="false" customWidth="false" hidden="false" outlineLevel="0" max="29" min="29" style="42" width="11.53"/>
    <col collapsed="false" customWidth="false" hidden="false" outlineLevel="0" max="30" min="30" style="21" width="11.53"/>
    <col collapsed="false" customWidth="false" hidden="false" outlineLevel="0" max="32" min="32" style="40" width="11.53"/>
    <col collapsed="false" customWidth="false" hidden="false" outlineLevel="0" max="35" min="35" style="41" width="11.53"/>
    <col collapsed="false" customWidth="false" hidden="false" outlineLevel="0" max="36" min="36" style="21" width="11.53"/>
    <col collapsed="false" customWidth="false" hidden="false" outlineLevel="0" max="38" min="38" style="40" width="11.53"/>
    <col collapsed="false" customWidth="false" hidden="false" outlineLevel="0" max="40" min="40" style="42" width="11.53"/>
    <col collapsed="false" customWidth="false" hidden="false" outlineLevel="0" max="41" min="41" style="21" width="11.53"/>
    <col collapsed="false" customWidth="false" hidden="false" outlineLevel="0" max="43" min="43" style="40" width="11.53"/>
  </cols>
  <sheetData>
    <row r="1" customFormat="false" ht="12.8" hidden="false" customHeight="false" outlineLevel="0" collapsed="false">
      <c r="A1" s="1" t="s">
        <v>99</v>
      </c>
      <c r="B1" s="203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47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24" t="s">
        <v>79</v>
      </c>
    </row>
    <row r="2" customFormat="false" ht="12.8" hidden="false" customHeight="false" outlineLevel="0" collapsed="false">
      <c r="A2" s="16" t="s">
        <v>99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</row>
    <row r="3" customFormat="false" ht="12.8" hidden="false" customHeight="false" outlineLevel="0" collapsed="false">
      <c r="A3" s="139" t="s">
        <v>24</v>
      </c>
      <c r="B3" s="65" t="n">
        <f aca="false">Capitalization!C2/'Ratio (data)'!B3</f>
        <v>6.32998164526275</v>
      </c>
      <c r="C3" s="65" t="n">
        <f aca="false">Capitalization!D2/'Ratio (data)'!C3</f>
        <v>6.1898366310409</v>
      </c>
      <c r="D3" s="63" t="n">
        <f aca="false">Capitalization!E2/'Ratio (data)'!D3</f>
        <v>6.40552370231121</v>
      </c>
      <c r="E3" s="65" t="n">
        <f aca="false">Capitalization!F2/'Ratio (data)'!E3</f>
        <v>6.19202392332176</v>
      </c>
      <c r="F3" s="63" t="n">
        <f aca="false">Capitalization!G2/'Ratio (data)'!F3</f>
        <v>5.72539189567974</v>
      </c>
      <c r="G3" s="65" t="n">
        <f aca="false">Capitalization!H2/'Ratio (data)'!G3</f>
        <v>4.75069065671558</v>
      </c>
      <c r="H3" s="63" t="n">
        <f aca="false">Capitalization!I2/'Ratio (data)'!H3</f>
        <v>4.73551417275963</v>
      </c>
      <c r="I3" s="66" t="n">
        <f aca="false">Capitalization!J2/'Ratio (data)'!I3</f>
        <v>5.71959730574543</v>
      </c>
      <c r="J3" s="67" t="n">
        <f aca="false">Capitalization!K2/'Ratio (data)'!J3</f>
        <v>4.86992301995197</v>
      </c>
      <c r="K3" s="65" t="n">
        <f aca="false">Capitalization!L2/'Ratio (data)'!K3</f>
        <v>4.44424209384814</v>
      </c>
      <c r="L3" s="63" t="n">
        <f aca="false">Capitalization!M2/'Ratio (data)'!L3</f>
        <v>4.27565660520968</v>
      </c>
      <c r="M3" s="65" t="n">
        <f aca="false">Capitalization!N2/'Ratio (data)'!M3</f>
        <v>4.25830513633844</v>
      </c>
      <c r="N3" s="65" t="n">
        <f aca="false">Capitalization!O2/'Ratio (data)'!N3</f>
        <v>4.2145516395714</v>
      </c>
      <c r="O3" s="63" t="n">
        <f aca="false">Capitalization!P2/'Ratio (data)'!O3</f>
        <v>4.00497506004064</v>
      </c>
      <c r="P3" s="68" t="n">
        <f aca="false">Capitalization!Q2/'Ratio (data)'!P3</f>
        <v>4.24270284888232</v>
      </c>
      <c r="Q3" s="67" t="n">
        <f aca="false">Capitalization!R2/'Ratio (data)'!Q3</f>
        <v>4.12326975561679</v>
      </c>
      <c r="R3" s="63" t="n">
        <f aca="false">Capitalization!S2/'Ratio (data)'!R3</f>
        <v>3.91444869286754</v>
      </c>
      <c r="S3" s="65" t="n">
        <f aca="false">Capitalization!T2/'Ratio (data)'!S3</f>
        <v>4.02426476067983</v>
      </c>
      <c r="T3" s="63" t="n">
        <f aca="false">Capitalization!U2/'Ratio (data)'!T3</f>
        <v>4.11406163084251</v>
      </c>
      <c r="U3" s="63" t="n">
        <f aca="false">Capitalization!V2/'Ratio (data)'!U3</f>
        <v>4.45162696574258</v>
      </c>
      <c r="V3" s="65" t="n">
        <f aca="false">Capitalization!W2/'Ratio (data)'!V3</f>
        <v>4.41273886567074</v>
      </c>
      <c r="W3" s="65" t="n">
        <f aca="false">Capitalization!X2/'Ratio (data)'!W3</f>
        <v>4.06172038739632</v>
      </c>
      <c r="X3" s="66" t="n">
        <f aca="false">Capitalization!Y2/'Ratio (data)'!X3</f>
        <v>4.51259243547871</v>
      </c>
      <c r="Y3" s="67" t="n">
        <f aca="false">Capitalization!Z2/'Ratio (data)'!Y3</f>
        <v>4.25912469469411</v>
      </c>
      <c r="Z3" s="63" t="n">
        <f aca="false">Capitalization!AA2/'Ratio (data)'!Z3</f>
        <v>3.71847850848019</v>
      </c>
      <c r="AA3" s="65" t="n">
        <f aca="false">Capitalization!AB2/'Ratio (data)'!AA3</f>
        <v>3.86828973712701</v>
      </c>
      <c r="AB3" s="63" t="n">
        <f aca="false">Capitalization!AC2/'Ratio (data)'!AB3</f>
        <v>3.19590628695888</v>
      </c>
      <c r="AC3" s="68" t="n">
        <f aca="false">Capitalization!AD2/'Ratio (data)'!AC3</f>
        <v>2.89668337470467</v>
      </c>
      <c r="AD3" s="67" t="n">
        <f aca="false">Capitalization!AE2/'Ratio (data)'!AD3</f>
        <v>3.1041906576162</v>
      </c>
      <c r="AE3" s="63" t="n">
        <f aca="false">Capitalization!AF2/'Ratio (data)'!AE3</f>
        <v>2.93909082667733</v>
      </c>
      <c r="AF3" s="65" t="n">
        <f aca="false">Capitalization!AG2/'Ratio (data)'!AF3</f>
        <v>3.00787958788862</v>
      </c>
      <c r="AG3" s="63" t="n">
        <f aca="false">Capitalization!AH2/'Ratio (data)'!AG3</f>
        <v>2.46696331456302</v>
      </c>
      <c r="AH3" s="63" t="n">
        <f aca="false">Capitalization!AI2/'Ratio (data)'!AH3</f>
        <v>2.32424202906845</v>
      </c>
      <c r="AI3" s="66" t="n">
        <f aca="false">Capitalization!AJ2/'Ratio (data)'!AI3</f>
        <v>3.05081518939658</v>
      </c>
      <c r="AJ3" s="67" t="n">
        <f aca="false">Capitalization!AK2/'Ratio (data)'!AJ3</f>
        <v>2.56366811554539</v>
      </c>
      <c r="AK3" s="63" t="n">
        <f aca="false">Capitalization!AL2/'Ratio (data)'!AK3</f>
        <v>2.17875926233099</v>
      </c>
      <c r="AL3" s="65" t="n">
        <f aca="false">Capitalization!AM2/'Ratio (data)'!AL3</f>
        <v>2.123903397494</v>
      </c>
      <c r="AM3" s="63" t="n">
        <f aca="false">Capitalization!AN2/'Ratio (data)'!AM3</f>
        <v>2.05033676596533</v>
      </c>
      <c r="AN3" s="68" t="n">
        <f aca="false">Capitalization!AO2/'Ratio (data)'!AN3</f>
        <v>2.14777484756788</v>
      </c>
      <c r="AO3" s="67" t="n">
        <f aca="false">Capitalization!AP2/'Ratio (data)'!AO3</f>
        <v>1.91998394399537</v>
      </c>
      <c r="AP3" s="63" t="n">
        <f aca="false">Capitalization!AQ2/'Ratio (data)'!AP3</f>
        <v>1.99835870438941</v>
      </c>
      <c r="AQ3" s="65" t="n">
        <f aca="false">Capitalization!AR2/'Ratio (data)'!AQ3</f>
        <v>1.95974917457946</v>
      </c>
    </row>
    <row r="4" customFormat="false" ht="12.8" hidden="false" customHeight="false" outlineLevel="0" collapsed="false">
      <c r="A4" s="139" t="s">
        <v>180</v>
      </c>
      <c r="B4" s="65" t="n">
        <f aca="false">Capitalization!C3/'Ratio (data)'!B4</f>
        <v>3.29291050342223</v>
      </c>
      <c r="C4" s="65" t="n">
        <f aca="false">Capitalization!D3/'Ratio (data)'!C4</f>
        <v>3.31450600115665</v>
      </c>
      <c r="D4" s="63" t="n">
        <f aca="false">Capitalization!E3/'Ratio (data)'!D4</f>
        <v>3.36019498330373</v>
      </c>
      <c r="E4" s="65" t="n">
        <f aca="false">Capitalization!F3/'Ratio (data)'!E4</f>
        <v>3.37719740875881</v>
      </c>
      <c r="F4" s="63" t="n">
        <f aca="false">Capitalization!G3/'Ratio (data)'!F4</f>
        <v>3.38573891159407</v>
      </c>
      <c r="G4" s="65" t="n">
        <f aca="false">Capitalization!H3/'Ratio (data)'!G4</f>
        <v>3.42061780530561</v>
      </c>
      <c r="H4" s="63" t="n">
        <f aca="false">Capitalization!I3/'Ratio (data)'!H4</f>
        <v>3.42061780530561</v>
      </c>
      <c r="I4" s="66" t="n">
        <f aca="false">Capitalization!J3/'Ratio (data)'!I4</f>
        <v>3.42061780530561</v>
      </c>
      <c r="J4" s="67" t="n">
        <f aca="false">Capitalization!K3/'Ratio (data)'!J4</f>
        <v>3.12579312780069</v>
      </c>
      <c r="K4" s="65" t="n">
        <f aca="false">Capitalization!L3/'Ratio (data)'!K4</f>
        <v>3.34731885233477</v>
      </c>
      <c r="L4" s="63" t="n">
        <f aca="false">Capitalization!M3/'Ratio (data)'!L4</f>
        <v>3.2577312431482</v>
      </c>
      <c r="M4" s="65" t="n">
        <f aca="false">Capitalization!N3/'Ratio (data)'!M4</f>
        <v>3.2577312431482</v>
      </c>
      <c r="N4" s="65" t="n">
        <f aca="false">Capitalization!O3/'Ratio (data)'!N4</f>
        <v>3.24958691504033</v>
      </c>
      <c r="O4" s="63" t="n">
        <f aca="false">Capitalization!P3/'Ratio (data)'!O4</f>
        <v>3.27353123967746</v>
      </c>
      <c r="P4" s="68" t="n">
        <f aca="false">Capitalization!Q3/'Ratio (data)'!P4</f>
        <v>3.29591858363766</v>
      </c>
      <c r="Q4" s="67" t="n">
        <f aca="false">Capitalization!R3/'Ratio (data)'!Q4</f>
        <v>3.1247020338383</v>
      </c>
      <c r="R4" s="63" t="n">
        <f aca="false">Capitalization!S3/'Ratio (data)'!R4</f>
        <v>2.99628962148879</v>
      </c>
      <c r="S4" s="65" t="n">
        <f aca="false">Capitalization!T3/'Ratio (data)'!S4</f>
        <v>3.1538088473042</v>
      </c>
      <c r="T4" s="63" t="n">
        <f aca="false">Capitalization!U3/'Ratio (data)'!T4</f>
        <v>3.18248761939559</v>
      </c>
      <c r="U4" s="63" t="n">
        <f aca="false">Capitalization!V3/'Ratio (data)'!U4</f>
        <v>3.11270649345805</v>
      </c>
      <c r="V4" s="65" t="n">
        <f aca="false">Capitalization!W3/'Ratio (data)'!V4</f>
        <v>3.10406008653178</v>
      </c>
      <c r="W4" s="65" t="n">
        <f aca="false">Capitalization!X3/'Ratio (data)'!W4</f>
        <v>3.0277123133728</v>
      </c>
      <c r="X4" s="66" t="n">
        <f aca="false">Capitalization!Y3/'Ratio (data)'!X4</f>
        <v>3.15593852808942</v>
      </c>
      <c r="Y4" s="67" t="n">
        <f aca="false">Capitalization!Z3/'Ratio (data)'!Y4</f>
        <v>2.98301038956397</v>
      </c>
      <c r="Z4" s="63" t="n">
        <f aca="false">Capitalization!AA3/'Ratio (data)'!Z4</f>
        <v>2.90104245190291</v>
      </c>
      <c r="AA4" s="65" t="n">
        <f aca="false">Capitalization!AB3/'Ratio (data)'!AA4</f>
        <v>3.06402722246314</v>
      </c>
      <c r="AB4" s="63" t="n">
        <f aca="false">Capitalization!AC3/'Ratio (data)'!AB4</f>
        <v>3.04357841157989</v>
      </c>
      <c r="AC4" s="68" t="n">
        <f aca="false">Capitalization!AD3/'Ratio (data)'!AC4</f>
        <v>2.88644482847042</v>
      </c>
      <c r="AD4" s="67" t="n">
        <f aca="false">Capitalization!AE3/'Ratio (data)'!AD4</f>
        <v>2.77815006173281</v>
      </c>
      <c r="AE4" s="63" t="n">
        <f aca="false">Capitalization!AF3/'Ratio (data)'!AE4</f>
        <v>2.81354050837909</v>
      </c>
      <c r="AF4" s="65" t="n">
        <f aca="false">Capitalization!AG3/'Ratio (data)'!AF4</f>
        <v>2.82371526178989</v>
      </c>
      <c r="AG4" s="63" t="n">
        <f aca="false">Capitalization!AH3/'Ratio (data)'!AG4</f>
        <v>2.85632956545492</v>
      </c>
      <c r="AH4" s="63" t="n">
        <f aca="false">Capitalization!AI3/'Ratio (data)'!AH4</f>
        <v>2.45411191499008</v>
      </c>
      <c r="AI4" s="66" t="n">
        <f aca="false">Capitalization!AJ3/'Ratio (data)'!AI4</f>
        <v>2.92123577278141</v>
      </c>
      <c r="AJ4" s="67" t="n">
        <f aca="false">Capitalization!AK3/'Ratio (data)'!AJ4</f>
        <v>2.92123577278141</v>
      </c>
      <c r="AK4" s="63" t="n">
        <f aca="false">Capitalization!AL3/'Ratio (data)'!AK4</f>
        <v>2.82081829309205</v>
      </c>
      <c r="AL4" s="65" t="n">
        <f aca="false">Capitalization!AM3/'Ratio (data)'!AL4</f>
        <v>2.73865853698257</v>
      </c>
      <c r="AM4" s="63" t="n">
        <f aca="false">Capitalization!AN3/'Ratio (data)'!AM4</f>
        <v>2.68388536624292</v>
      </c>
      <c r="AN4" s="68" t="n">
        <f aca="false">Capitalization!AO3/'Ratio (data)'!AN4</f>
        <v>2.72031780752423</v>
      </c>
      <c r="AO4" s="67" t="n">
        <f aca="false">Capitalization!AP3/'Ratio (data)'!AO4</f>
        <v>2.70016248916064</v>
      </c>
      <c r="AP4" s="63" t="n">
        <f aca="false">Capitalization!AQ3/'Ratio (data)'!AP4</f>
        <v>2.68037869740284</v>
      </c>
      <c r="AQ4" s="65" t="n">
        <f aca="false">Capitalization!AR3/'Ratio (data)'!AQ4</f>
        <v>2.66310271023405</v>
      </c>
    </row>
    <row r="5" customFormat="false" ht="12.8" hidden="false" customHeight="false" outlineLevel="0" collapsed="false">
      <c r="A5" s="139" t="s">
        <v>181</v>
      </c>
      <c r="B5" s="65" t="n">
        <f aca="false">Capitalization!C5/'Ratio (data)'!B5</f>
        <v>4.19581057954807</v>
      </c>
      <c r="C5" s="65" t="n">
        <f aca="false">Capitalization!D5/'Ratio (data)'!C5</f>
        <v>4.14717511653514</v>
      </c>
      <c r="D5" s="63" t="n">
        <f aca="false">Capitalization!E5/'Ratio (data)'!D5</f>
        <v>4.20144794464839</v>
      </c>
      <c r="E5" s="65" t="n">
        <f aca="false">Capitalization!F5/'Ratio (data)'!E5</f>
        <v>4.16934209528023</v>
      </c>
      <c r="F5" s="63" t="n">
        <f aca="false">Capitalization!G5/'Ratio (data)'!F5</f>
        <v>3.87926838404345</v>
      </c>
      <c r="G5" s="65" t="n">
        <f aca="false">Capitalization!H5/'Ratio (data)'!G5</f>
        <v>4.38026667162539</v>
      </c>
      <c r="H5" s="63" t="n">
        <f aca="false">Capitalization!I5/'Ratio (data)'!H5</f>
        <v>4.44951875276056</v>
      </c>
      <c r="I5" s="66" t="n">
        <f aca="false">Capitalization!J5/'Ratio (data)'!I5</f>
        <v>4.41723034899279</v>
      </c>
      <c r="J5" s="67" t="n">
        <f aca="false">Capitalization!K5/'Ratio (data)'!J5</f>
        <v>3.96068540960987</v>
      </c>
      <c r="K5" s="65" t="n">
        <f aca="false">Capitalization!L5/'Ratio (data)'!K5</f>
        <v>3.86179562812435</v>
      </c>
      <c r="L5" s="63" t="n">
        <f aca="false">Capitalization!M5/'Ratio (data)'!L5</f>
        <v>3.83697500855232</v>
      </c>
      <c r="M5" s="65" t="n">
        <f aca="false">Capitalization!N5/'Ratio (data)'!M5</f>
        <v>3.82096825054934</v>
      </c>
      <c r="N5" s="65" t="n">
        <f aca="false">Capitalization!O5/'Ratio (data)'!N5</f>
        <v>3.81669440034791</v>
      </c>
      <c r="O5" s="63" t="n">
        <f aca="false">Capitalization!P5/'Ratio (data)'!O5</f>
        <v>3.89391168162877</v>
      </c>
      <c r="P5" s="68" t="n">
        <f aca="false">Capitalization!Q5/'Ratio (data)'!P5</f>
        <v>4.03510522674222</v>
      </c>
      <c r="Q5" s="67" t="n">
        <f aca="false">Capitalization!R5/'Ratio (data)'!Q5</f>
        <v>3.86451696515697</v>
      </c>
      <c r="R5" s="63" t="n">
        <f aca="false">Capitalization!S5/'Ratio (data)'!R5</f>
        <v>3.61968037444297</v>
      </c>
      <c r="S5" s="65" t="n">
        <f aca="false">Capitalization!T5/'Ratio (data)'!S5</f>
        <v>3.79971297664333</v>
      </c>
      <c r="T5" s="63" t="n">
        <f aca="false">Capitalization!U5/'Ratio (data)'!T5</f>
        <v>3.77332378164053</v>
      </c>
      <c r="U5" s="63" t="n">
        <f aca="false">Capitalization!V5/'Ratio (data)'!U5</f>
        <v>4.65371686211576</v>
      </c>
      <c r="V5" s="65" t="n">
        <f aca="false">Capitalization!W5/'Ratio (data)'!V5</f>
        <v>4.53362769848886</v>
      </c>
      <c r="W5" s="65" t="n">
        <f aca="false">Capitalization!X5/'Ratio (data)'!W5</f>
        <v>4.25918250274036</v>
      </c>
      <c r="X5" s="66" t="n">
        <f aca="false">Capitalization!Y5/'Ratio (data)'!X5</f>
        <v>4.70669167239618</v>
      </c>
      <c r="Y5" s="67" t="n">
        <f aca="false">Capitalization!Z5/'Ratio (data)'!Y5</f>
        <v>4.76751833718229</v>
      </c>
      <c r="Z5" s="63" t="n">
        <f aca="false">Capitalization!AA5/'Ratio (data)'!Z5</f>
        <v>4.42469969913627</v>
      </c>
      <c r="AA5" s="65" t="n">
        <f aca="false">Capitalization!AB5/'Ratio (data)'!AA5</f>
        <v>4.63908867877917</v>
      </c>
      <c r="AB5" s="63" t="n">
        <f aca="false">Capitalization!AC5/'Ratio (data)'!AB5</f>
        <v>4.00736729793302</v>
      </c>
      <c r="AC5" s="68" t="n">
        <f aca="false">Capitalization!AD5/'Ratio (data)'!AC5</f>
        <v>3.68078718373255</v>
      </c>
      <c r="AD5" s="67" t="n">
        <f aca="false">Capitalization!AE5/'Ratio (data)'!AD5</f>
        <v>3.40084473334574</v>
      </c>
      <c r="AE5" s="63" t="n">
        <f aca="false">Capitalization!AF5/'Ratio (data)'!AE5</f>
        <v>3.21880772205746</v>
      </c>
      <c r="AF5" s="65" t="n">
        <f aca="false">Capitalization!AG5/'Ratio (data)'!AF5</f>
        <v>3.30494782223167</v>
      </c>
      <c r="AG5" s="63" t="n">
        <f aca="false">Capitalization!AH5/'Ratio (data)'!AG5</f>
        <v>3.06559308734607</v>
      </c>
      <c r="AH5" s="63" t="n">
        <f aca="false">Capitalization!AI5/'Ratio (data)'!AH5</f>
        <v>2.34500396326727</v>
      </c>
      <c r="AI5" s="66" t="n">
        <f aca="false">Capitalization!AJ5/'Ratio (data)'!AI5</f>
        <v>3.14940955278135</v>
      </c>
      <c r="AJ5" s="67" t="n">
        <f aca="false">Capitalization!AK5/'Ratio (data)'!AJ5</f>
        <v>2.87555793841988</v>
      </c>
      <c r="AK5" s="63" t="n">
        <f aca="false">Capitalization!AL5/'Ratio (data)'!AK5</f>
        <v>2.70669928835742</v>
      </c>
      <c r="AL5" s="65" t="n">
        <f aca="false">Capitalization!AM5/'Ratio (data)'!AL5</f>
        <v>2.41569842042565</v>
      </c>
      <c r="AM5" s="63" t="n">
        <f aca="false">Capitalization!AN5/'Ratio (data)'!AM5</f>
        <v>2.18587860803096</v>
      </c>
      <c r="AN5" s="68" t="n">
        <f aca="false">Capitalization!AO5/'Ratio (data)'!AN5</f>
        <v>2.19961758138942</v>
      </c>
      <c r="AO5" s="67" t="n">
        <f aca="false">Capitalization!AP5/'Ratio (data)'!AO5</f>
        <v>2.12214963795827</v>
      </c>
      <c r="AP5" s="63" t="n">
        <f aca="false">Capitalization!AQ5/'Ratio (data)'!AP5</f>
        <v>2.1614063423226</v>
      </c>
      <c r="AQ5" s="65" t="n">
        <f aca="false">Capitalization!AR5/'Ratio (data)'!AQ5</f>
        <v>2.08256169706404</v>
      </c>
    </row>
    <row r="6" customFormat="false" ht="12.8" hidden="false" customHeight="false" outlineLevel="0" collapsed="false">
      <c r="A6" s="139" t="s">
        <v>30</v>
      </c>
      <c r="B6" s="65" t="n">
        <f aca="false">Capitalization!C6/'Ratio (data)'!B6</f>
        <v>2.09603856192825</v>
      </c>
      <c r="C6" s="65" t="n">
        <f aca="false">Capitalization!D6/'Ratio (data)'!C6</f>
        <v>1.90324991876773</v>
      </c>
      <c r="D6" s="63" t="n">
        <f aca="false">Capitalization!E6/'Ratio (data)'!D6</f>
        <v>1.90324991876773</v>
      </c>
      <c r="E6" s="65" t="n">
        <f aca="false">Capitalization!F6/'Ratio (data)'!E6</f>
        <v>1.65909467502181</v>
      </c>
      <c r="F6" s="63" t="n">
        <f aca="false">Capitalization!G6/'Ratio (data)'!F6</f>
        <v>1.64948326293204</v>
      </c>
      <c r="G6" s="65" t="n">
        <f aca="false">Capitalization!H6/'Ratio (data)'!G6</f>
        <v>1.6835725836993</v>
      </c>
      <c r="H6" s="63" t="n">
        <f aca="false">Capitalization!I6/'Ratio (data)'!H6</f>
        <v>1.84796937870924</v>
      </c>
      <c r="I6" s="66" t="n">
        <f aca="false">Capitalization!J6/'Ratio (data)'!I6</f>
        <v>1.72291734926011</v>
      </c>
      <c r="J6" s="67" t="n">
        <f aca="false">Capitalization!K6/'Ratio (data)'!J6</f>
        <v>1.61023122305531</v>
      </c>
      <c r="K6" s="65" t="n">
        <f aca="false">Capitalization!L6/'Ratio (data)'!K6</f>
        <v>1.63646599999759</v>
      </c>
      <c r="L6" s="63" t="n">
        <f aca="false">Capitalization!M6/'Ratio (data)'!L6</f>
        <v>1.58459519044008</v>
      </c>
      <c r="M6" s="65" t="n">
        <f aca="false">Capitalization!N6/'Ratio (data)'!M6</f>
        <v>1.5872834302758</v>
      </c>
      <c r="N6" s="65" t="n">
        <f aca="false">Capitalization!O6/'Ratio (data)'!N6</f>
        <v>1.57121508762136</v>
      </c>
      <c r="O6" s="63" t="n">
        <f aca="false">Capitalization!P6/'Ratio (data)'!O6</f>
        <v>1.51030201679822</v>
      </c>
      <c r="P6" s="68" t="n">
        <f aca="false">Capitalization!Q6/'Ratio (data)'!P6</f>
        <v>1.79590040875312</v>
      </c>
      <c r="Q6" s="67" t="n">
        <f aca="false">Capitalization!R6/'Ratio (data)'!Q6</f>
        <v>1.83688226189177</v>
      </c>
      <c r="R6" s="63" t="n">
        <f aca="false">Capitalization!S6/'Ratio (data)'!R6</f>
        <v>1.84234105018862</v>
      </c>
      <c r="S6" s="65" t="n">
        <f aca="false">Capitalization!T6/'Ratio (data)'!S6</f>
        <v>1.91809538477823</v>
      </c>
      <c r="T6" s="63" t="n">
        <f aca="false">Capitalization!U6/'Ratio (data)'!T6</f>
        <v>1.8690208779895</v>
      </c>
      <c r="U6" s="63" t="n">
        <f aca="false">Capitalization!V6/'Ratio (data)'!U6</f>
        <v>2.15871760161436</v>
      </c>
      <c r="V6" s="65" t="n">
        <f aca="false">Capitalization!W6/'Ratio (data)'!V6</f>
        <v>2.01768138497555</v>
      </c>
      <c r="W6" s="65" t="n">
        <f aca="false">Capitalization!X6/'Ratio (data)'!W6</f>
        <v>1.94763819452851</v>
      </c>
      <c r="X6" s="66" t="n">
        <f aca="false">Capitalization!Y6/'Ratio (data)'!X6</f>
        <v>2.15871760161436</v>
      </c>
      <c r="Y6" s="67" t="n">
        <f aca="false">Capitalization!Z6/'Ratio (data)'!Y6</f>
        <v>1.9763347471793</v>
      </c>
      <c r="Z6" s="63" t="n">
        <f aca="false">Capitalization!AA6/'Ratio (data)'!Z6</f>
        <v>1.88528003874321</v>
      </c>
      <c r="AA6" s="65" t="n">
        <f aca="false">Capitalization!AB6/'Ratio (data)'!AA6</f>
        <v>1.93615381688792</v>
      </c>
      <c r="AB6" s="63" t="n">
        <f aca="false">Capitalization!AC6/'Ratio (data)'!AB6</f>
        <v>1.72697408129149</v>
      </c>
      <c r="AC6" s="68" t="n">
        <f aca="false">Capitalization!AD6/'Ratio (data)'!AC6</f>
        <v>1.8745289126679</v>
      </c>
      <c r="AD6" s="67" t="n">
        <f aca="false">Capitalization!AE6/'Ratio (data)'!AD6</f>
        <v>1.80058566646518</v>
      </c>
      <c r="AE6" s="63" t="n">
        <f aca="false">Capitalization!AF6/'Ratio (data)'!AE6</f>
        <v>1.79080414814572</v>
      </c>
      <c r="AF6" s="65" t="n">
        <f aca="false">Capitalization!AG6/'Ratio (data)'!AF6</f>
        <v>1.85930622820932</v>
      </c>
      <c r="AG6" s="63" t="n">
        <f aca="false">Capitalization!AH6/'Ratio (data)'!AG6</f>
        <v>1.65122093817223</v>
      </c>
      <c r="AH6" s="63" t="n">
        <f aca="false">Capitalization!AI6/'Ratio (data)'!AH6</f>
        <v>1.5811503910281</v>
      </c>
      <c r="AI6" s="66" t="n">
        <f aca="false">Capitalization!AJ6/'Ratio (data)'!AI6</f>
        <v>2.23086854651519</v>
      </c>
      <c r="AJ6" s="67" t="n">
        <f aca="false">Capitalization!AK6/'Ratio (data)'!AJ6</f>
        <v>2.14448931639412</v>
      </c>
      <c r="AK6" s="63" t="n">
        <f aca="false">Capitalization!AL6/'Ratio (data)'!AK6</f>
        <v>2.14163380465458</v>
      </c>
      <c r="AL6" s="65" t="n">
        <f aca="false">Capitalization!AM6/'Ratio (data)'!AL6</f>
        <v>2.14163380465458</v>
      </c>
      <c r="AM6" s="63" t="n">
        <f aca="false">Capitalization!AN6/'Ratio (data)'!AM6</f>
        <v>1.84692714618574</v>
      </c>
      <c r="AN6" s="68" t="n">
        <f aca="false">Capitalization!AO6/'Ratio (data)'!AN6</f>
        <v>2.26231102188773</v>
      </c>
      <c r="AO6" s="67" t="n">
        <f aca="false">Capitalization!AP6/'Ratio (data)'!AO6</f>
        <v>2.30377904469219</v>
      </c>
      <c r="AP6" s="63" t="n">
        <f aca="false">Capitalization!AQ6/'Ratio (data)'!AP6</f>
        <v>2.21871200346693</v>
      </c>
      <c r="AQ6" s="65" t="n">
        <f aca="false">Capitalization!AR6/'Ratio (data)'!AQ6</f>
        <v>2.17797351069329</v>
      </c>
    </row>
    <row r="7" customFormat="false" ht="12.8" hidden="false" customHeight="false" outlineLevel="0" collapsed="false">
      <c r="A7" s="139" t="s">
        <v>182</v>
      </c>
      <c r="B7" s="65" t="n">
        <f aca="false">Capitalization!C7/'Ratio (data)'!B7</f>
        <v>2.3956830134474</v>
      </c>
      <c r="C7" s="65" t="n">
        <f aca="false">Capitalization!D7/'Ratio (data)'!C7</f>
        <v>2.45178027409287</v>
      </c>
      <c r="D7" s="63" t="n">
        <f aca="false">Capitalization!E7/'Ratio (data)'!D7</f>
        <v>2.45178027409287</v>
      </c>
      <c r="E7" s="65" t="n">
        <f aca="false">Capitalization!F7/'Ratio (data)'!E7</f>
        <v>2.45508011295437</v>
      </c>
      <c r="F7" s="63" t="n">
        <f aca="false">Capitalization!G7/'Ratio (data)'!F7</f>
        <v>2.45508011295437</v>
      </c>
      <c r="G7" s="65" t="n">
        <f aca="false">Capitalization!H7/'Ratio (data)'!G7</f>
        <v>2.62990437455878</v>
      </c>
      <c r="H7" s="63" t="n">
        <f aca="false">Capitalization!I7/'Ratio (data)'!H7</f>
        <v>2.62990437455878</v>
      </c>
      <c r="I7" s="66" t="n">
        <f aca="false">Capitalization!J7/'Ratio (data)'!I7</f>
        <v>2.56678666956937</v>
      </c>
      <c r="J7" s="67" t="n">
        <f aca="false">Capitalization!K7/'Ratio (data)'!J7</f>
        <v>2.55710862147099</v>
      </c>
      <c r="K7" s="65" t="n">
        <f aca="false">Capitalization!L7/'Ratio (data)'!K7</f>
        <v>2.43205140865197</v>
      </c>
      <c r="L7" s="63" t="n">
        <f aca="false">Capitalization!M7/'Ratio (data)'!L7</f>
        <v>2.43205140865197</v>
      </c>
      <c r="M7" s="65" t="n">
        <f aca="false">Capitalization!N7/'Ratio (data)'!M7</f>
        <v>2.43205140865197</v>
      </c>
      <c r="N7" s="65" t="n">
        <f aca="false">Capitalization!O7/'Ratio (data)'!N7</f>
        <v>2.43205140865197</v>
      </c>
      <c r="O7" s="63" t="n">
        <f aca="false">Capitalization!P7/'Ratio (data)'!O7</f>
        <v>2.45738264758772</v>
      </c>
      <c r="P7" s="68" t="n">
        <f aca="false">Capitalization!Q7/'Ratio (data)'!P7</f>
        <v>2.74726339059439</v>
      </c>
      <c r="Q7" s="67" t="n">
        <f aca="false">Capitalization!R7/'Ratio (data)'!Q7</f>
        <v>2.66903310979019</v>
      </c>
      <c r="R7" s="63" t="n">
        <f aca="false">Capitalization!S7/'Ratio (data)'!R7</f>
        <v>2.62310733317691</v>
      </c>
      <c r="S7" s="65" t="n">
        <f aca="false">Capitalization!T7/'Ratio (data)'!S7</f>
        <v>2.59724532269929</v>
      </c>
      <c r="T7" s="63" t="n">
        <f aca="false">Capitalization!U7/'Ratio (data)'!T7</f>
        <v>3.22124685664334</v>
      </c>
      <c r="U7" s="63" t="n">
        <f aca="false">Capitalization!V7/'Ratio (data)'!U7</f>
        <v>3.97772353748288</v>
      </c>
      <c r="V7" s="65" t="n">
        <f aca="false">Capitalization!W7/'Ratio (data)'!V7</f>
        <v>3.87100412550163</v>
      </c>
      <c r="W7" s="65" t="n">
        <f aca="false">Capitalization!X7/'Ratio (data)'!W7</f>
        <v>3.87100412550163</v>
      </c>
      <c r="X7" s="66" t="n">
        <f aca="false">Capitalization!Y7/'Ratio (data)'!X7</f>
        <v>3.87100412550163</v>
      </c>
      <c r="Y7" s="67" t="n">
        <f aca="false">Capitalization!Z7/'Ratio (data)'!Y7</f>
        <v>3.40599854220516</v>
      </c>
      <c r="Z7" s="63" t="n">
        <f aca="false">Capitalization!AA7/'Ratio (data)'!Z7</f>
        <v>3.40541643632162</v>
      </c>
      <c r="AA7" s="65" t="n">
        <f aca="false">Capitalization!AB7/'Ratio (data)'!AA7</f>
        <v>3.25358381836648</v>
      </c>
      <c r="AB7" s="63" t="n">
        <f aca="false">Capitalization!AC7/'Ratio (data)'!AB7</f>
        <v>2.81360878806197</v>
      </c>
      <c r="AC7" s="68" t="n">
        <f aca="false">Capitalization!AD7/'Ratio (data)'!AC7</f>
        <v>2.68633768293711</v>
      </c>
      <c r="AD7" s="67" t="n">
        <f aca="false">Capitalization!AE7/'Ratio (data)'!AD7</f>
        <v>2.40853331358786</v>
      </c>
      <c r="AE7" s="63" t="n">
        <f aca="false">Capitalization!AF7/'Ratio (data)'!AE7</f>
        <v>2.31590097969347</v>
      </c>
      <c r="AF7" s="65" t="n">
        <f aca="false">Capitalization!AG7/'Ratio (data)'!AF7</f>
        <v>2.31580834735958</v>
      </c>
      <c r="AG7" s="63" t="n">
        <f aca="false">Capitalization!AH7/'Ratio (data)'!AF7</f>
        <v>2.26949218041239</v>
      </c>
      <c r="AH7" s="63" t="n">
        <f aca="false">Capitalization!AI7/'Ratio (data)'!AH7</f>
        <v>2.07583415141275</v>
      </c>
      <c r="AI7" s="66" t="n">
        <f aca="false">Capitalization!AJ7/'Ratio (data)'!AI7</f>
        <v>2.16998645633644</v>
      </c>
      <c r="AJ7" s="67" t="n">
        <f aca="false">Capitalization!AK7/'Ratio (data)'!AJ7</f>
        <v>2.25068843198531</v>
      </c>
      <c r="AK7" s="63" t="n">
        <f aca="false">Capitalization!AL7/'Ratio (data)'!AK7</f>
        <v>2.06695693409137</v>
      </c>
      <c r="AL7" s="65" t="n">
        <f aca="false">Capitalization!AM7/'Ratio (data)'!AL7</f>
        <v>2.06686726522954</v>
      </c>
      <c r="AM7" s="63" t="n">
        <f aca="false">Capitalization!AN7/'Ratio (data)'!AM7</f>
        <v>2.06247349099977</v>
      </c>
      <c r="AN7" s="68" t="n">
        <f aca="false">Capitalization!AO7/'Ratio (data)'!AN7</f>
        <v>2.20813377956695</v>
      </c>
      <c r="AO7" s="67" t="n">
        <f aca="false">Capitalization!AP7/'Ratio (data)'!AO7</f>
        <v>2.16115220978893</v>
      </c>
      <c r="AP7" s="63" t="n">
        <f aca="false">Capitalization!AQ7/'Ratio (data)'!AP7</f>
        <v>2.23632272143376</v>
      </c>
      <c r="AQ7" s="65" t="n">
        <f aca="false">Capitalization!AR7/'Ratio (data)'!AQ7</f>
        <v>2.23632272143376</v>
      </c>
    </row>
    <row r="8" customFormat="false" ht="12.8" hidden="false" customHeight="false" outlineLevel="0" collapsed="false">
      <c r="A8" s="139" t="s">
        <v>183</v>
      </c>
      <c r="B8" s="65" t="n">
        <f aca="false">Capitalization!C8/'Ratio (data)'!B8</f>
        <v>1.62358505865529</v>
      </c>
      <c r="C8" s="65" t="n">
        <f aca="false">Capitalization!D8/'Ratio (data)'!C8</f>
        <v>1.58064505782377</v>
      </c>
      <c r="D8" s="63" t="n">
        <f aca="false">Capitalization!E8/'Ratio (data)'!D8</f>
        <v>1.58296941562099</v>
      </c>
      <c r="E8" s="65" t="n">
        <f aca="false">Capitalization!F8/'Ratio (data)'!E8</f>
        <v>1.51778105900045</v>
      </c>
      <c r="F8" s="63" t="n">
        <f aca="false">Capitalization!G8/'Ratio (data)'!F8</f>
        <v>1.470297377251</v>
      </c>
      <c r="G8" s="65" t="n">
        <f aca="false">Capitalization!H8/'Ratio (data)'!F8</f>
        <v>1.32182732358938</v>
      </c>
      <c r="H8" s="63" t="n">
        <f aca="false">Capitalization!I8/'Ratio (data)'!H8</f>
        <v>1.24331201385288</v>
      </c>
      <c r="I8" s="66" t="n">
        <f aca="false">Capitalization!J8/'Ratio (data)'!I8</f>
        <v>1.19760273125968</v>
      </c>
      <c r="J8" s="67" t="n">
        <f aca="false">Capitalization!K8/'Ratio (data)'!J8</f>
        <v>1.17704200130332</v>
      </c>
      <c r="K8" s="65" t="n">
        <f aca="false">Capitalization!L8/'Ratio (data)'!K8</f>
        <v>1.27072010389946</v>
      </c>
      <c r="L8" s="63" t="n">
        <f aca="false">Capitalization!M8/'Ratio (data)'!L8</f>
        <v>1.19303136418423</v>
      </c>
      <c r="M8" s="65" t="n">
        <f aca="false">Capitalization!N8/'Ratio (data)'!M8</f>
        <v>1.1939455644633</v>
      </c>
      <c r="N8" s="65" t="n">
        <f aca="false">Capitalization!O8/'Ratio (data)'!N8</f>
        <v>1.19395013546469</v>
      </c>
      <c r="O8" s="63" t="n">
        <f aca="false">Capitalization!P8/'Ratio (data)'!O8</f>
        <v>1.20550288439128</v>
      </c>
      <c r="P8" s="68" t="n">
        <f aca="false">Capitalization!Q8/'Ratio (data)'!P8</f>
        <v>1.53082523954723</v>
      </c>
      <c r="Q8" s="67" t="n">
        <f aca="false">Capitalization!R8/'Ratio (data)'!Q8</f>
        <v>1.54972178429735</v>
      </c>
      <c r="R8" s="63" t="n">
        <f aca="false">Capitalization!S8/'Ratio (data)'!R8</f>
        <v>1.51766662002132</v>
      </c>
      <c r="S8" s="65" t="n">
        <f aca="false">Capitalization!T8/'Ratio (data)'!S8</f>
        <v>1.60579170514734</v>
      </c>
      <c r="T8" s="63" t="n">
        <f aca="false">Capitalization!U8/'Ratio (data)'!T8</f>
        <v>1.63264012711375</v>
      </c>
      <c r="U8" s="63" t="n">
        <f aca="false">Capitalization!V8/'Ratio (data)'!U8</f>
        <v>1.80584732396585</v>
      </c>
      <c r="V8" s="65" t="n">
        <f aca="false">Capitalization!W8/'Ratio (data)'!V8</f>
        <v>1.69504358670689</v>
      </c>
      <c r="W8" s="65" t="n">
        <f aca="false">Capitalization!X8/'Ratio (data)'!W8</f>
        <v>1.68046749663266</v>
      </c>
      <c r="X8" s="66" t="n">
        <f aca="false">Capitalization!Y8/'Ratio (data)'!X8</f>
        <v>1.86718610736962</v>
      </c>
      <c r="Y8" s="67" t="n">
        <f aca="false">Capitalization!Z8/'Ratio (data)'!Y8</f>
        <v>1.92320169059071</v>
      </c>
      <c r="Z8" s="63" t="n">
        <f aca="false">Capitalization!AA8/'Ratio (data)'!Z8</f>
        <v>1.85576605318161</v>
      </c>
      <c r="AA8" s="65" t="n">
        <f aca="false">Capitalization!AB8/'Ratio (data)'!AA8</f>
        <v>1.89753205821488</v>
      </c>
      <c r="AB8" s="63" t="n">
        <f aca="false">Capitalization!AC8/'Ratio (data)'!AB8</f>
        <v>1.87202408484677</v>
      </c>
      <c r="AC8" s="68" t="n">
        <f aca="false">Capitalization!AD8/'Ratio (data)'!AC8</f>
        <v>1.78851226985589</v>
      </c>
      <c r="AD8" s="67" t="n">
        <f aca="false">Capitalization!AE8/'Ratio (data)'!AD8</f>
        <v>1.82890977149924</v>
      </c>
      <c r="AE8" s="63" t="n">
        <f aca="false">Capitalization!AF8/'Ratio (data)'!AE8</f>
        <v>1.73783207039589</v>
      </c>
      <c r="AF8" s="65" t="n">
        <f aca="false">Capitalization!AG8/'Ratio (data)'!AF8</f>
        <v>1.67018212818086</v>
      </c>
      <c r="AG8" s="63" t="n">
        <f aca="false">Capitalization!AH8/'Ratio (data)'!AG8</f>
        <v>1.6146282354931</v>
      </c>
      <c r="AH8" s="63" t="n">
        <f aca="false">Capitalization!AI8/'Ratio (data)'!AH8</f>
        <v>1.36002524427987</v>
      </c>
      <c r="AI8" s="66" t="n">
        <f aca="false">Capitalization!AJ8/'Ratio (data)'!AI8</f>
        <v>2.0761752288855</v>
      </c>
      <c r="AJ8" s="67" t="n">
        <f aca="false">Capitalization!AK8/'Ratio (data)'!AJ8</f>
        <v>2.09674754446869</v>
      </c>
      <c r="AK8" s="63" t="n">
        <f aca="false">Capitalization!AL8/'Ratio (data)'!AK8</f>
        <v>1.96611577796166</v>
      </c>
      <c r="AL8" s="65" t="n">
        <f aca="false">Capitalization!AM8/'Ratio (data)'!AL8</f>
        <v>1.78588265383082</v>
      </c>
      <c r="AM8" s="63" t="n">
        <f aca="false">Capitalization!AN8/'Ratio (data)'!AM8</f>
        <v>1.66934040390606</v>
      </c>
      <c r="AN8" s="68" t="n">
        <f aca="false">Capitalization!AO8/'Ratio (data)'!AN8</f>
        <v>1.3947739425444</v>
      </c>
      <c r="AO8" s="67" t="n">
        <f aca="false">Capitalization!AP8/'Ratio (data)'!AO8</f>
        <v>1.2863146957928</v>
      </c>
      <c r="AP8" s="63" t="n">
        <f aca="false">Capitalization!AQ8/'Ratio (data)'!AP8</f>
        <v>1.30927592484578</v>
      </c>
      <c r="AQ8" s="65" t="n">
        <f aca="false">Capitalization!AR8/'Ratio (data)'!AQ8</f>
        <v>1.26079439509261</v>
      </c>
    </row>
    <row r="9" customFormat="false" ht="12.8" hidden="false" customHeight="false" outlineLevel="0" collapsed="false">
      <c r="A9" s="139" t="s">
        <v>27</v>
      </c>
      <c r="B9" s="65" t="n">
        <f aca="false">Capitalization!C9/'Ratio (data)'!B9</f>
        <v>0.165769527399419</v>
      </c>
      <c r="C9" s="65" t="n">
        <f aca="false">Capitalization!D9/'Ratio (data)'!C9</f>
        <v>0.165769527399419</v>
      </c>
      <c r="D9" s="63" t="n">
        <f aca="false">Capitalization!E9/'Ratio (data)'!D9</f>
        <v>0.165769527399419</v>
      </c>
      <c r="E9" s="65" t="n">
        <f aca="false">Capitalization!F9/'Ratio (data)'!E9</f>
        <v>0.149796111289898</v>
      </c>
      <c r="F9" s="63" t="n">
        <f aca="false">Capitalization!G9/'Ratio (data)'!F9</f>
        <v>0.137231066777691</v>
      </c>
      <c r="G9" s="65" t="n">
        <f aca="false">Capitalization!H9/'Ratio (data)'!G9</f>
        <v>0.116568627878171</v>
      </c>
      <c r="H9" s="63" t="n">
        <f aca="false">Capitalization!I9/'Ratio (data)'!H9</f>
        <v>0.116568627878171</v>
      </c>
      <c r="I9" s="66" t="n">
        <f aca="false">Capitalization!J9/'Ratio (data)'!I9</f>
        <v>0.110996167237279</v>
      </c>
      <c r="J9" s="67" t="n">
        <f aca="false">Capitalization!K9/'Ratio (data)'!J9</f>
        <v>0.1130348723498</v>
      </c>
      <c r="K9" s="65" t="n">
        <f aca="false">Capitalization!L9/'Ratio (data)'!K9</f>
        <v>0.137506129383766</v>
      </c>
      <c r="L9" s="63" t="n">
        <f aca="false">Capitalization!M9/'Ratio (data)'!L9</f>
        <v>0.137506129383766</v>
      </c>
      <c r="M9" s="65" t="n">
        <f aca="false">Capitalization!N9/'Ratio (data)'!M9</f>
        <v>0.138129973148198</v>
      </c>
      <c r="N9" s="65" t="n">
        <f aca="false">Capitalization!O9/'Ratio (data)'!N9</f>
        <v>0.125996959455212</v>
      </c>
      <c r="O9" s="63" t="n">
        <f aca="false">Capitalization!P9/'Ratio (data)'!O9</f>
        <v>0.0747525207924532</v>
      </c>
      <c r="P9" s="68" t="n">
        <f aca="false">Capitalization!Q9/'Ratio (data)'!P9</f>
        <v>0.131894819529682</v>
      </c>
      <c r="Q9" s="67" t="n">
        <f aca="false">Capitalization!R9/'Ratio (data)'!Q9</f>
        <v>0.137800557717578</v>
      </c>
      <c r="R9" s="63" t="n">
        <f aca="false">Capitalization!S9/'Ratio (data)'!R9</f>
        <v>0.130044354897475</v>
      </c>
      <c r="S9" s="65" t="n">
        <f aca="false">Capitalization!T9/'Ratio (data)'!S9</f>
        <v>0.142918864147088</v>
      </c>
      <c r="T9" s="63" t="n">
        <f aca="false">Capitalization!U9/'Ratio (data)'!T9</f>
        <v>0.128469491380702</v>
      </c>
      <c r="U9" s="63" t="n">
        <f aca="false">Capitalization!V9/'Ratio (data)'!U9</f>
        <v>0.184152372270354</v>
      </c>
      <c r="V9" s="65" t="n">
        <f aca="false">Capitalization!W9/'Ratio (data)'!V9</f>
        <v>0.184810420879346</v>
      </c>
      <c r="W9" s="65" t="n">
        <f aca="false">Capitalization!X9/'Ratio (data)'!W9</f>
        <v>0.184810420879346</v>
      </c>
      <c r="X9" s="66" t="n">
        <f aca="false">Capitalization!Y9/'Ratio (data)'!X9</f>
        <v>0.184810420879346</v>
      </c>
      <c r="Y9" s="67" t="n">
        <f aca="false">Capitalization!Z9/'Ratio (data)'!Y9</f>
        <v>0.181874511700764</v>
      </c>
      <c r="Z9" s="63" t="n">
        <f aca="false">Capitalization!AA9/'Ratio (data)'!Z9</f>
        <v>0.182211128873826</v>
      </c>
      <c r="AA9" s="65" t="n">
        <f aca="false">Capitalization!AB9/'Ratio (data)'!AA9</f>
        <v>0.189586335206918</v>
      </c>
      <c r="AB9" s="63" t="n">
        <f aca="false">Capitalization!AC9/'Ratio (data)'!AB9</f>
        <v>0.172105020813414</v>
      </c>
      <c r="AC9" s="68" t="n">
        <f aca="false">Capitalization!AD9/'Ratio (data)'!AC9</f>
        <v>0.127216668810637</v>
      </c>
      <c r="AD9" s="67" t="n">
        <f aca="false">Capitalization!AE9/'Ratio (data)'!AD9</f>
        <v>0.127189728810183</v>
      </c>
      <c r="AE9" s="63" t="n">
        <f aca="false">Capitalization!AF9/'Ratio (data)'!AE9</f>
        <v>0.134417880598665</v>
      </c>
      <c r="AF9" s="65" t="n">
        <f aca="false">Capitalization!AG9/'Ratio (data)'!AF9</f>
        <v>0.117893557820182</v>
      </c>
      <c r="AG9" s="63" t="n">
        <f aca="false">Capitalization!AH9/'Ratio (data)'!AG9</f>
        <v>0.123475002080913</v>
      </c>
      <c r="AH9" s="63" t="n">
        <f aca="false">Capitalization!AI9/'Ratio (data)'!AH9</f>
        <v>0.116117284944425</v>
      </c>
      <c r="AI9" s="66" t="n">
        <f aca="false">Capitalization!AJ9/'Ratio (data)'!AI9</f>
        <v>0.174795219603008</v>
      </c>
      <c r="AJ9" s="67" t="n">
        <f aca="false">Capitalization!AK9/'Ratio (data)'!AJ9</f>
        <v>0.18578765591108</v>
      </c>
      <c r="AK9" s="63" t="n">
        <f aca="false">Capitalization!AL9/'Ratio (data)'!AK9</f>
        <v>0.185234550577128</v>
      </c>
      <c r="AL9" s="65" t="n">
        <f aca="false">Capitalization!AM9/'Ratio (data)'!AL9</f>
        <v>0.174524279271471</v>
      </c>
      <c r="AM9" s="63" t="n">
        <f aca="false">Capitalization!AN9/'Ratio (data)'!AM9</f>
        <v>0.170305351251824</v>
      </c>
      <c r="AN9" s="68" t="n">
        <f aca="false">Capitalization!AO9/'Ratio (data)'!AN9</f>
        <v>0.190258327966306</v>
      </c>
      <c r="AO9" s="67" t="n">
        <f aca="false">Capitalization!AP9/'Ratio (data)'!AO9</f>
        <v>0.180702591048785</v>
      </c>
      <c r="AP9" s="63" t="n">
        <f aca="false">Capitalization!AQ9/'Ratio (data)'!AP9</f>
        <v>0.222967344989597</v>
      </c>
      <c r="AQ9" s="65" t="n">
        <f aca="false">Capitalization!AR9/'Ratio (data)'!AQ9</f>
        <v>0.198326615269307</v>
      </c>
    </row>
    <row r="10" customFormat="false" ht="12.8" hidden="false" customHeight="false" outlineLevel="0" collapsed="false">
      <c r="A10" s="139" t="s">
        <v>31</v>
      </c>
      <c r="B10" s="65" t="n">
        <f aca="false">Capitalization!C10/'Ratio (data)'!B10</f>
        <v>0.10169961195429</v>
      </c>
      <c r="C10" s="65" t="n">
        <f aca="false">Capitalization!D10/'Ratio (data)'!C10</f>
        <v>0.0898504291051896</v>
      </c>
      <c r="D10" s="63" t="n">
        <f aca="false">Capitalization!E10/'Ratio (data)'!D10</f>
        <v>0.0898279721121616</v>
      </c>
      <c r="E10" s="65" t="n">
        <f aca="false">Capitalization!F10/'Ratio (data)'!E10</f>
        <v>0.0898279721121616</v>
      </c>
      <c r="F10" s="63" t="n">
        <f aca="false">Capitalization!G10/'Ratio (data)'!F10</f>
        <v>0.0835899184932614</v>
      </c>
      <c r="G10" s="65" t="n">
        <f aca="false">Capitalization!H10/'Ratio (data)'!G10</f>
        <v>0.0706835510269556</v>
      </c>
      <c r="H10" s="63" t="n">
        <f aca="false">Capitalization!I10/'Ratio (data)'!H10</f>
        <v>0.0630005563501126</v>
      </c>
      <c r="I10" s="66" t="n">
        <f aca="false">Capitalization!J10/'Ratio (data)'!I10</f>
        <v>0.0600738475778806</v>
      </c>
      <c r="J10" s="67" t="n">
        <f aca="false">Capitalization!K10/'Ratio (data)'!J10</f>
        <v>0.0604011431511141</v>
      </c>
      <c r="K10" s="65" t="n">
        <f aca="false">Capitalization!L10/'Ratio (data)'!K10</f>
        <v>0.0573663602537611</v>
      </c>
      <c r="L10" s="63" t="n">
        <f aca="false">Capitalization!M10/'Ratio (data)'!L10</f>
        <v>0.057140992409907</v>
      </c>
      <c r="M10" s="65" t="n">
        <f aca="false">Capitalization!N10/'Ratio (data)'!M10</f>
        <v>0.0568541606086382</v>
      </c>
      <c r="N10" s="65" t="n">
        <f aca="false">Capitalization!O10/'Ratio (data)'!N10</f>
        <v>0.0568541606086382</v>
      </c>
      <c r="O10" s="63" t="n">
        <f aca="false">Capitalization!P10/'Ratio (data)'!O10</f>
        <v>0.0588706906114869</v>
      </c>
      <c r="P10" s="68" t="n">
        <f aca="false">Capitalization!Q10/'Ratio (data)'!P10</f>
        <v>0.141135802619234</v>
      </c>
      <c r="Q10" s="67" t="n">
        <f aca="false">Capitalization!R10/'Ratio (data)'!Q10</f>
        <v>0.149841331560144</v>
      </c>
      <c r="R10" s="63" t="n">
        <f aca="false">Capitalization!S10/'Ratio (data)'!R10</f>
        <v>0.176225853128895</v>
      </c>
      <c r="S10" s="65" t="n">
        <f aca="false">Capitalization!T10/'Ratio (data)'!S10</f>
        <v>0.163154633041187</v>
      </c>
      <c r="T10" s="63" t="n">
        <f aca="false">Capitalization!U10/'Ratio (data)'!T10</f>
        <v>0.155120116117726</v>
      </c>
      <c r="U10" s="63" t="n">
        <f aca="false">Capitalization!V10/'Ratio (data)'!U10</f>
        <v>0.259876907777789</v>
      </c>
      <c r="V10" s="65" t="n">
        <f aca="false">Capitalization!W10/'Ratio (data)'!V10</f>
        <v>0.236728981202466</v>
      </c>
      <c r="W10" s="65" t="n">
        <f aca="false">Capitalization!X10/'Ratio (data)'!W10</f>
        <v>0.236728981202466</v>
      </c>
      <c r="X10" s="66" t="n">
        <f aca="false">Capitalization!Y10/'Ratio (data)'!X10</f>
        <v>0.262957567148423</v>
      </c>
      <c r="Y10" s="67" t="n">
        <f aca="false">Capitalization!Z10/'Ratio (data)'!Y10</f>
        <v>0.278434831812568</v>
      </c>
      <c r="Z10" s="63" t="n">
        <f aca="false">Capitalization!AA10/'Ratio (data)'!Z10</f>
        <v>0.260886468441105</v>
      </c>
      <c r="AA10" s="65" t="n">
        <f aca="false">Capitalization!AB10/'Ratio (data)'!AA10</f>
        <v>0.260086816430557</v>
      </c>
      <c r="AB10" s="63" t="n">
        <f aca="false">Capitalization!AC10/'Ratio (data)'!AB10</f>
        <v>0.239895603164234</v>
      </c>
      <c r="AC10" s="68" t="n">
        <f aca="false">Capitalization!AD10/'Ratio (data)'!AC10</f>
        <v>0.116882644917652</v>
      </c>
      <c r="AD10" s="67" t="n">
        <f aca="false">Capitalization!AE10/'Ratio (data)'!AD10</f>
        <v>0.124186561644802</v>
      </c>
      <c r="AE10" s="63" t="n">
        <f aca="false">Capitalization!AF10/'Ratio (data)'!AE10</f>
        <v>0.114314454170558</v>
      </c>
      <c r="AF10" s="65" t="n">
        <f aca="false">Capitalization!AG10/'Ratio (data)'!AF10</f>
        <v>0.114285598094748</v>
      </c>
      <c r="AG10" s="63" t="n">
        <f aca="false">Capitalization!AH10/'Ratio (data)'!AG10</f>
        <v>0.103338046872046</v>
      </c>
      <c r="AH10" s="63" t="n">
        <f aca="false">Capitalization!AI10/'Ratio (data)'!AH10</f>
        <v>0.0882860574010582</v>
      </c>
      <c r="AI10" s="66" t="n">
        <f aca="false">Capitalization!AJ10/'Ratio (data)'!AI10</f>
        <v>0.133892594450129</v>
      </c>
      <c r="AJ10" s="67" t="n">
        <f aca="false">Capitalization!AK10/'Ratio (data)'!AJ10</f>
        <v>0.125731107389725</v>
      </c>
      <c r="AK10" s="63" t="n">
        <f aca="false">Capitalization!AL10/'Ratio (data)'!AK10</f>
        <v>0.114284261771152</v>
      </c>
      <c r="AL10" s="65" t="n">
        <f aca="false">Capitalization!AM10/'Ratio (data)'!AL10</f>
        <v>0.104646986734567</v>
      </c>
      <c r="AM10" s="63" t="n">
        <f aca="false">Capitalization!AN10/'Ratio (data)'!AM10</f>
        <v>0.0972691631834509</v>
      </c>
      <c r="AN10" s="68" t="n">
        <f aca="false">Capitalization!AO10/'Ratio (data)'!AN10</f>
        <v>0.109027698214219</v>
      </c>
      <c r="AO10" s="67" t="n">
        <f aca="false">Capitalization!AP10/'Ratio (data)'!AO10</f>
        <v>0.10643230715429</v>
      </c>
      <c r="AP10" s="63" t="n">
        <f aca="false">Capitalization!AQ10/'Ratio (data)'!AP10</f>
        <v>0.114956411706136</v>
      </c>
      <c r="AQ10" s="65" t="n">
        <f aca="false">Capitalization!AR10/'Ratio (data)'!AQ10</f>
        <v>0.108284448417856</v>
      </c>
    </row>
    <row r="11" customFormat="false" ht="12.8" hidden="false" customHeight="false" outlineLevel="0" collapsed="false">
      <c r="A11" s="139" t="s">
        <v>184</v>
      </c>
      <c r="B11" s="65" t="n">
        <f aca="false">Capitalization!C11/'Ratio (data)'!B11</f>
        <v>0.756695215017291</v>
      </c>
      <c r="C11" s="65" t="n">
        <f aca="false">Capitalization!D11/'Ratio (data)'!C11</f>
        <v>0.755780720345673</v>
      </c>
      <c r="D11" s="63" t="n">
        <f aca="false">Capitalization!E11/'Ratio (data)'!D11</f>
        <v>0.776294768469341</v>
      </c>
      <c r="E11" s="65" t="n">
        <f aca="false">Capitalization!F11/'Ratio (data)'!E11</f>
        <v>0.750382286628918</v>
      </c>
      <c r="F11" s="63" t="n">
        <f aca="false">Capitalization!G11/'Ratio (data)'!F11</f>
        <v>0.728788551761899</v>
      </c>
      <c r="G11" s="65" t="n">
        <f aca="false">Capitalization!H11/'Ratio (data)'!G11</f>
        <v>0.840413312513525</v>
      </c>
      <c r="H11" s="63" t="n">
        <f aca="false">Capitalization!I11/'Ratio (data)'!H11</f>
        <v>0.816559686361168</v>
      </c>
      <c r="I11" s="66" t="n">
        <f aca="false">Capitalization!J11/'Ratio (data)'!I11</f>
        <v>0.833993447697212</v>
      </c>
      <c r="J11" s="67" t="n">
        <f aca="false">Capitalization!K11/'Ratio (data)'!J11</f>
        <v>0.667330223195178</v>
      </c>
      <c r="K11" s="65" t="n">
        <f aca="false">Capitalization!L11/'Ratio (data)'!K11</f>
        <v>0.589221082625468</v>
      </c>
      <c r="L11" s="63" t="n">
        <f aca="false">Capitalization!M11/'Ratio (data)'!L11</f>
        <v>0.58897842351498</v>
      </c>
      <c r="M11" s="65" t="n">
        <f aca="false">Capitalization!N11/'Ratio (data)'!M11</f>
        <v>0.58897842351498</v>
      </c>
      <c r="N11" s="65" t="n">
        <f aca="false">Capitalization!O11/'Ratio (data)'!N11</f>
        <v>0.589096219199683</v>
      </c>
      <c r="O11" s="63" t="n">
        <f aca="false">Capitalization!P11/'Ratio (data)'!O11</f>
        <v>0.606647776220429</v>
      </c>
      <c r="P11" s="68" t="n">
        <f aca="false">Capitalization!Q11/'Ratio (data)'!P11</f>
        <v>0.580839125931174</v>
      </c>
      <c r="Q11" s="67" t="n">
        <f aca="false">Capitalization!R11/'Ratio (data)'!Q11</f>
        <v>0.474818204659165</v>
      </c>
      <c r="R11" s="63" t="n">
        <f aca="false">Capitalization!S11/'Ratio (data)'!R11</f>
        <v>0.375767352898331</v>
      </c>
      <c r="S11" s="65" t="n">
        <f aca="false">Capitalization!T11/'Ratio (data)'!S11</f>
        <v>0.337835001817111</v>
      </c>
      <c r="T11" s="63" t="n">
        <f aca="false">Capitalization!U11/'Ratio (data)'!T11</f>
        <v>0.367469651099314</v>
      </c>
      <c r="U11" s="63" t="n">
        <f aca="false">Capitalization!V11/'Ratio (data)'!U11</f>
        <v>0.374839882280334</v>
      </c>
      <c r="V11" s="65" t="n">
        <f aca="false">Capitalization!W11/'Ratio (data)'!V11</f>
        <v>0.396949983118404</v>
      </c>
      <c r="W11" s="65" t="n">
        <f aca="false">Capitalization!X11/'Ratio (data)'!W11</f>
        <v>0.395610100921016</v>
      </c>
      <c r="X11" s="66" t="n">
        <f aca="false">Capitalization!Y11/'Ratio (data)'!X11</f>
        <v>0.395610100921016</v>
      </c>
      <c r="Y11" s="67" t="n">
        <f aca="false">Capitalization!Z11/'Ratio (data)'!Y11</f>
        <v>0.368160917105157</v>
      </c>
      <c r="Z11" s="63" t="n">
        <f aca="false">Capitalization!AA11/'Ratio (data)'!Z11</f>
        <v>0.393786334511958</v>
      </c>
      <c r="AA11" s="65" t="n">
        <f aca="false">Capitalization!AB11/'Ratio (data)'!AA11</f>
        <v>0.394740472394126</v>
      </c>
      <c r="AB11" s="63" t="n">
        <f aca="false">Capitalization!AC11/'Ratio (data)'!AB11</f>
        <v>0.397875496864107</v>
      </c>
      <c r="AC11" s="68" t="n">
        <f aca="false">Capitalization!AD11/'Ratio (data)'!AC11</f>
        <v>0.291781671427441</v>
      </c>
      <c r="AD11" s="67" t="n">
        <f aca="false">Capitalization!AE11/'Ratio (data)'!AD11</f>
        <v>0.271642756562768</v>
      </c>
      <c r="AE11" s="63" t="n">
        <f aca="false">Capitalization!AF11/'Ratio (data)'!AE11</f>
        <v>0.271642756562768</v>
      </c>
      <c r="AF11" s="65" t="n">
        <f aca="false">Capitalization!AG11/'Ratio (data)'!AF11</f>
        <v>0.271642756562768</v>
      </c>
      <c r="AG11" s="63" t="n">
        <f aca="false">Capitalization!AH11/'Ratio (data)'!AG11</f>
        <v>0.233160032716376</v>
      </c>
      <c r="AH11" s="63" t="n">
        <f aca="false">Capitalization!AI11/'Ratio (data)'!AH11</f>
        <v>0.245594416784779</v>
      </c>
      <c r="AI11" s="66" t="n">
        <f aca="false">Capitalization!AJ11/'Ratio (data)'!AI11</f>
        <v>0.293214978766125</v>
      </c>
      <c r="AJ11" s="67" t="n">
        <f aca="false">Capitalization!AK11/'Ratio (data)'!AJ11</f>
        <v>0.319073399932849</v>
      </c>
      <c r="AK11" s="63" t="n">
        <f aca="false">Capitalization!AL11/'Ratio (data)'!AK11</f>
        <v>0.285983949518615</v>
      </c>
      <c r="AL11" s="65" t="n">
        <f aca="false">Capitalization!AM11/'Ratio (data)'!AL11</f>
        <v>0.286635393594967</v>
      </c>
      <c r="AM11" s="63" t="n">
        <f aca="false">Capitalization!AN11/'Ratio (data)'!AM11</f>
        <v>0.286635393594967</v>
      </c>
      <c r="AN11" s="68" t="n">
        <f aca="false">Capitalization!AO11/'Ratio (data)'!AN11</f>
        <v>0.237186820743992</v>
      </c>
      <c r="AO11" s="67" t="n">
        <f aca="false">Capitalization!AP11/'Ratio (data)'!AO11</f>
        <v>0.211954180239312</v>
      </c>
      <c r="AP11" s="63" t="n">
        <f aca="false">Capitalization!AQ11/'Ratio (data)'!AP11</f>
        <v>0.238628109169619</v>
      </c>
      <c r="AQ11" s="65" t="n">
        <f aca="false">Capitalization!AR11/'Ratio (data)'!AQ11</f>
        <v>0.242132418282909</v>
      </c>
    </row>
    <row r="12" customFormat="false" ht="12.8" hidden="false" customHeight="false" outlineLevel="0" collapsed="false">
      <c r="A12" s="139" t="s">
        <v>185</v>
      </c>
      <c r="B12" s="65" t="n">
        <f aca="false">Capitalization!C12/'Ratio (data)'!B12</f>
        <v>1.79800337578094</v>
      </c>
      <c r="C12" s="65" t="n">
        <f aca="false">Capitalization!D12/'Ratio (data)'!C12</f>
        <v>1.71558011739187</v>
      </c>
      <c r="D12" s="63" t="n">
        <f aca="false">Capitalization!E12/'Ratio (data)'!D12</f>
        <v>1.71558011739187</v>
      </c>
      <c r="E12" s="65" t="n">
        <f aca="false">Capitalization!F12/'Ratio (data)'!E12</f>
        <v>1.7847424992637</v>
      </c>
      <c r="F12" s="63" t="n">
        <f aca="false">Capitalization!G12/'Ratio (data)'!F12</f>
        <v>1.3929744417279</v>
      </c>
      <c r="G12" s="65" t="n">
        <f aca="false">Capitalization!H12/'Ratio (data)'!G12</f>
        <v>1.47948694671011</v>
      </c>
      <c r="H12" s="63" t="n">
        <f aca="false">Capitalization!I12/'Ratio (data)'!H12</f>
        <v>1.40593499968453</v>
      </c>
      <c r="I12" s="66" t="n">
        <f aca="false">Capitalization!J12/'Ratio (data)'!I12</f>
        <v>1.33820150834194</v>
      </c>
      <c r="J12" s="67" t="n">
        <f aca="false">Capitalization!K12/'Ratio (data)'!J12</f>
        <v>1.26231455086275</v>
      </c>
      <c r="K12" s="65" t="n">
        <f aca="false">Capitalization!L12/'Ratio (data)'!K12</f>
        <v>1.18087490242</v>
      </c>
      <c r="L12" s="63" t="n">
        <f aca="false">Capitalization!M12/'Ratio (data)'!L12</f>
        <v>1.15372835293908</v>
      </c>
      <c r="M12" s="65" t="n">
        <f aca="false">Capitalization!N12/'Ratio (data)'!M12</f>
        <v>1.15372835293908</v>
      </c>
      <c r="N12" s="65" t="n">
        <f aca="false">Capitalization!O12/'Ratio (data)'!N12</f>
        <v>1.08586197923678</v>
      </c>
      <c r="O12" s="63" t="n">
        <f aca="false">Capitalization!P12/'Ratio (data)'!O12</f>
        <v>1.08545668125303</v>
      </c>
      <c r="P12" s="68" t="n">
        <f aca="false">Capitalization!Q12/'Ratio (data)'!P12</f>
        <v>1.23934316390181</v>
      </c>
      <c r="Q12" s="67" t="n">
        <f aca="false">Capitalization!R12/'Ratio (data)'!Q12</f>
        <v>1.32322553658053</v>
      </c>
      <c r="R12" s="63" t="n">
        <f aca="false">Capitalization!S12/'Ratio (data)'!R12</f>
        <v>1.37536863311054</v>
      </c>
      <c r="S12" s="65" t="n">
        <f aca="false">Capitalization!T12/'Ratio (data)'!S12</f>
        <v>1.37536863311054</v>
      </c>
      <c r="T12" s="63" t="n">
        <f aca="false">Capitalization!U12/'Ratio (data)'!T12</f>
        <v>1.29995006740481</v>
      </c>
      <c r="U12" s="63" t="n">
        <f aca="false">Capitalization!V12/'Ratio (data)'!U12</f>
        <v>1.32839243298027</v>
      </c>
      <c r="V12" s="65" t="n">
        <f aca="false">Capitalization!W12/'Ratio (data)'!V12</f>
        <v>1.47236229415839</v>
      </c>
      <c r="W12" s="65" t="n">
        <f aca="false">Capitalization!X12/'Ratio (data)'!W12</f>
        <v>1.47236229415839</v>
      </c>
      <c r="X12" s="66" t="n">
        <f aca="false">Capitalization!Y12/'Ratio (data)'!X12</f>
        <v>1.47236229415839</v>
      </c>
      <c r="Y12" s="67" t="n">
        <f aca="false">Capitalization!Z12/'Ratio (data)'!Y12</f>
        <v>1.62998336605072</v>
      </c>
      <c r="Z12" s="63" t="n">
        <f aca="false">Capitalization!AA12/'Ratio (data)'!Z12</f>
        <v>1.69639898675873</v>
      </c>
      <c r="AA12" s="65" t="n">
        <f aca="false">Capitalization!AB12/'Ratio (data)'!AA12</f>
        <v>1.66972599336947</v>
      </c>
      <c r="AB12" s="63" t="n">
        <f aca="false">Capitalization!AC12/'Ratio (data)'!AB12</f>
        <v>1.72840651481078</v>
      </c>
      <c r="AC12" s="68" t="n">
        <f aca="false">Capitalization!AD12/'Ratio (data)'!AC12</f>
        <v>1.714545714354</v>
      </c>
      <c r="AD12" s="67" t="n">
        <f aca="false">Capitalization!AE12/'Ratio (data)'!AD12</f>
        <v>1.78491245538355</v>
      </c>
      <c r="AE12" s="63" t="n">
        <f aca="false">Capitalization!AF12/'Ratio (data)'!AE12</f>
        <v>1.527473158934</v>
      </c>
      <c r="AF12" s="65" t="n">
        <f aca="false">Capitalization!AG12/'Ratio (data)'!AF12</f>
        <v>1.45500880251698</v>
      </c>
      <c r="AG12" s="63" t="n">
        <f aca="false">Capitalization!AH12/'Ratio (data)'!AG12</f>
        <v>1.40733052993593</v>
      </c>
      <c r="AH12" s="63" t="n">
        <f aca="false">Capitalization!AI12/'Ratio (data)'!AH12</f>
        <v>1.6303888831162</v>
      </c>
      <c r="AI12" s="66" t="n">
        <f aca="false">Capitalization!AJ12/'Ratio (data)'!AI12</f>
        <v>1.62062607543287</v>
      </c>
      <c r="AJ12" s="67" t="n">
        <f aca="false">Capitalization!AK12/'Ratio (data)'!AJ12</f>
        <v>1.49814716215396</v>
      </c>
      <c r="AK12" s="63" t="n">
        <f aca="false">Capitalization!AL12/'Ratio (data)'!AK12</f>
        <v>1.5134304470699</v>
      </c>
      <c r="AL12" s="65" t="n">
        <f aca="false">Capitalization!AM12/'Ratio (data)'!AL12</f>
        <v>1.51030634861124</v>
      </c>
      <c r="AM12" s="63" t="n">
        <f aca="false">Capitalization!AN12/'Ratio (data)'!AM12</f>
        <v>1.44489553713292</v>
      </c>
      <c r="AN12" s="68" t="n">
        <f aca="false">Capitalization!AO12/'Ratio (data)'!AN12</f>
        <v>1.71560403846251</v>
      </c>
      <c r="AO12" s="67" t="n">
        <f aca="false">Capitalization!AP12/'Ratio (data)'!AO12</f>
        <v>1.5810645638673</v>
      </c>
      <c r="AP12" s="63" t="n">
        <f aca="false">Capitalization!AQ12/'Ratio (data)'!AP12</f>
        <v>1.51244040232879</v>
      </c>
      <c r="AQ12" s="65" t="n">
        <f aca="false">Capitalization!AR12/'Ratio (data)'!AQ12</f>
        <v>1.47857979630651</v>
      </c>
    </row>
    <row r="13" customFormat="false" ht="12.8" hidden="false" customHeight="false" outlineLevel="0" collapsed="false">
      <c r="A13" s="139" t="s">
        <v>29</v>
      </c>
      <c r="B13" s="72" t="n">
        <f aca="false">Capitalization!C12/'Ratio (data)'!B13</f>
        <v>2.44490455071414</v>
      </c>
      <c r="C13" s="72" t="n">
        <f aca="false">Capitalization!D12/'Ratio (data)'!C13</f>
        <v>2.33282634094293</v>
      </c>
      <c r="D13" s="31" t="n">
        <f aca="false">Capitalization!E12/'Ratio (data)'!D13</f>
        <v>2.33282634094293</v>
      </c>
      <c r="E13" s="96" t="n">
        <f aca="false">Capitalization!F12/'Ratio (data)'!E13</f>
        <v>2.42687256157542</v>
      </c>
      <c r="F13" s="31" t="n">
        <f aca="false">Capitalization!G12/'Ratio (data)'!F13</f>
        <v>1.89415081055108</v>
      </c>
      <c r="G13" s="96" t="n">
        <f aca="false">Capitalization!H12/'Ratio (data)'!G13</f>
        <v>2.26772020493626</v>
      </c>
      <c r="H13" s="31" t="n">
        <f aca="false">Capitalization!I12/'Ratio (data)'!H13</f>
        <v>2.15498163921034</v>
      </c>
      <c r="I13" s="74" t="n">
        <f aca="false">Capitalization!J12/'Ratio (data)'!I13</f>
        <v>2.05116145532158</v>
      </c>
      <c r="J13" s="75" t="n">
        <f aca="false">Capitalization!K12/'Ratio (data)'!J13</f>
        <v>1.93484384457864</v>
      </c>
      <c r="K13" s="96" t="n">
        <f aca="false">Capitalization!L12/'Ratio (data)'!K13</f>
        <v>1.81001520944453</v>
      </c>
      <c r="L13" s="31" t="n">
        <f aca="false">Capitalization!M12/'Ratio (data)'!L13</f>
        <v>1.76840566439983</v>
      </c>
      <c r="M13" s="96" t="n">
        <f aca="false">Capitalization!N12/'Ratio (data)'!M13</f>
        <v>1.76840566439983</v>
      </c>
      <c r="N13" s="96" t="n">
        <f aca="false">Capitalization!O12/'Ratio (data)'!N13</f>
        <v>1.66438180178808</v>
      </c>
      <c r="O13" s="31" t="n">
        <f aca="false">Capitalization!P12/'Ratio (data)'!O13</f>
        <v>1.66376057128056</v>
      </c>
      <c r="P13" s="76" t="n">
        <f aca="false">Capitalization!Q12/'Ratio (data)'!P13</f>
        <v>1.74858353855326</v>
      </c>
      <c r="Q13" s="75" t="n">
        <f aca="false">Capitalization!R12/'Ratio (data)'!Q13</f>
        <v>1.86693279024802</v>
      </c>
      <c r="R13" s="31" t="n">
        <f aca="false">Capitalization!S12/'Ratio (data)'!R13</f>
        <v>1.94050124400422</v>
      </c>
      <c r="S13" s="96" t="n">
        <f aca="false">Capitalization!T12/'Ratio (data)'!S13</f>
        <v>1.94050124400422</v>
      </c>
      <c r="T13" s="31" t="n">
        <f aca="false">Capitalization!U12/'Ratio (data)'!T13</f>
        <v>1.83409353842641</v>
      </c>
      <c r="U13" s="31" t="n">
        <f aca="false">Capitalization!V12/'Ratio (data)'!U13</f>
        <v>1.71945162521763</v>
      </c>
      <c r="V13" s="96" t="n">
        <f aca="false">Capitalization!W12/'Ratio (data)'!V13</f>
        <v>1.90580409579721</v>
      </c>
      <c r="W13" s="96" t="n">
        <f aca="false">Capitalization!X12/'Ratio (data)'!W13</f>
        <v>1.90580409579721</v>
      </c>
      <c r="X13" s="74" t="n">
        <f aca="false">Capitalization!Y12/'Ratio (data)'!X13</f>
        <v>1.90580409579721</v>
      </c>
      <c r="Y13" s="75" t="n">
        <f aca="false">Capitalization!Z12/'Ratio (data)'!Y13</f>
        <v>2.10982649272231</v>
      </c>
      <c r="Z13" s="31" t="n">
        <f aca="false">Capitalization!AA12/'Ratio (data)'!Z13</f>
        <v>2.19579389522401</v>
      </c>
      <c r="AA13" s="96" t="n">
        <f aca="false">Capitalization!AB12/'Ratio (data)'!AA13</f>
        <v>2.16126876492822</v>
      </c>
      <c r="AB13" s="31" t="n">
        <f aca="false">Capitalization!AC12/'Ratio (data)'!AB13</f>
        <v>2.2372239687188</v>
      </c>
      <c r="AC13" s="76" t="n">
        <f aca="false">Capitalization!AD12/'Ratio (data)'!AC13</f>
        <v>2.4683785964211</v>
      </c>
      <c r="AD13" s="75" t="n">
        <f aca="false">Capitalization!AE12/'Ratio (data)'!AD13</f>
        <v>2.56968342370165</v>
      </c>
      <c r="AE13" s="31" t="n">
        <f aca="false">Capitalization!AF12/'Ratio (data)'!AE13</f>
        <v>2.1990560068216</v>
      </c>
      <c r="AF13" s="96" t="n">
        <f aca="false">Capitalization!AG12/'Ratio (data)'!AF13</f>
        <v>2.09473130734832</v>
      </c>
      <c r="AG13" s="31" t="n">
        <f aca="false">Capitalization!AH12/'Ratio (data)'!AG13</f>
        <v>2.0260903684873</v>
      </c>
      <c r="AH13" s="31" t="n">
        <f aca="false">Capitalization!AI12/'Ratio (data)'!AH13</f>
        <v>2.22040986007124</v>
      </c>
      <c r="AI13" s="74" t="n">
        <f aca="false">Capitalization!AJ12/'Ratio (data)'!AI13</f>
        <v>2.20711399264567</v>
      </c>
      <c r="AJ13" s="75" t="n">
        <f aca="false">Capitalization!AK12/'Ratio (data)'!AJ13</f>
        <v>2.0403112196928</v>
      </c>
      <c r="AK13" s="31" t="n">
        <f aca="false">Capitalization!AL12/'Ratio (data)'!AK13</f>
        <v>2.06112536831284</v>
      </c>
      <c r="AL13" s="96" t="n">
        <f aca="false">Capitalization!AM12/'Ratio (data)'!AL13</f>
        <v>2.05687069073666</v>
      </c>
      <c r="AM13" s="31" t="n">
        <f aca="false">Capitalization!AN12/'Ratio (data)'!AM13</f>
        <v>1.96778837898529</v>
      </c>
      <c r="AN13" s="76" t="n">
        <f aca="false">Capitalization!AO12/'Ratio (data)'!AN13</f>
        <v>2.06225769231753</v>
      </c>
      <c r="AO13" s="31" t="n">
        <f aca="false">Capitalization!AP12/'Ratio (data)'!AO13</f>
        <v>1.90053327328842</v>
      </c>
      <c r="AP13" s="31" t="n">
        <f aca="false">Capitalization!AQ12/'Ratio (data)'!AP13</f>
        <v>1.81804296559572</v>
      </c>
      <c r="AQ13" s="96" t="n">
        <f aca="false">Capitalization!AR12/'Ratio (data)'!AQ13</f>
        <v>1.77734051114208</v>
      </c>
    </row>
    <row r="14" customFormat="false" ht="12.8" hidden="false" customHeight="false" outlineLevel="0" collapsed="false">
      <c r="A14" s="139" t="s">
        <v>186</v>
      </c>
      <c r="B14" s="65" t="n">
        <f aca="false">Capitalization!C13/'Ratio (data)'!B14</f>
        <v>10.5973456282874</v>
      </c>
      <c r="C14" s="65" t="n">
        <f aca="false">Capitalization!D13/'Ratio (data)'!C14</f>
        <v>9.99915322149496</v>
      </c>
      <c r="D14" s="63" t="n">
        <f aca="false">Capitalization!E13/'Ratio (data)'!D14</f>
        <v>9.70855695878308</v>
      </c>
      <c r="E14" s="65" t="n">
        <f aca="false">Capitalization!F13/'Ratio (data)'!E14</f>
        <v>10.5671368258863</v>
      </c>
      <c r="F14" s="63" t="n">
        <f aca="false">Capitalization!G13/'Ratio (data)'!F14</f>
        <v>8.58844045523913</v>
      </c>
      <c r="G14" s="65" t="n">
        <f aca="false">Capitalization!H13/'Ratio (data)'!G14</f>
        <v>7.55814461471521</v>
      </c>
      <c r="H14" s="63" t="n">
        <f aca="false">Capitalization!I13/'Ratio (data)'!H14</f>
        <v>9.01281039846623</v>
      </c>
      <c r="I14" s="66" t="n">
        <f aca="false">Capitalization!J13/'Ratio (data)'!I14</f>
        <v>8.75030135773421</v>
      </c>
      <c r="J14" s="67" t="n">
        <f aca="false">Capitalization!K13/'Ratio (data)'!J14</f>
        <v>8.35499774359721</v>
      </c>
      <c r="K14" s="65" t="n">
        <f aca="false">Capitalization!L13/'Ratio (data)'!K14</f>
        <v>7.7002651948061</v>
      </c>
      <c r="L14" s="63" t="n">
        <f aca="false">Capitalization!M13/'Ratio (data)'!L14</f>
        <v>7.7002651948061</v>
      </c>
      <c r="M14" s="65" t="n">
        <f aca="false">Capitalization!N13/'Ratio (data)'!M14</f>
        <v>7.7002651948061</v>
      </c>
      <c r="N14" s="65" t="n">
        <f aca="false">Capitalization!O13/'Ratio (data)'!N14</f>
        <v>7.61276218122876</v>
      </c>
      <c r="O14" s="63" t="n">
        <f aca="false">Capitalization!P13/'Ratio (data)'!O14</f>
        <v>7.75276700295251</v>
      </c>
      <c r="P14" s="68" t="n">
        <f aca="false">Capitalization!Q13/'Ratio (data)'!P14</f>
        <v>16.6593098413799</v>
      </c>
      <c r="Q14" s="67" t="n">
        <f aca="false">Capitalization!R13/'Ratio (data)'!Q14</f>
        <v>16.1101018246311</v>
      </c>
      <c r="R14" s="63" t="n">
        <f aca="false">Capitalization!S13/'Ratio (data)'!R14</f>
        <v>16.1101018246311</v>
      </c>
      <c r="S14" s="65" t="n">
        <f aca="false">Capitalization!T13/'Ratio (data)'!S14</f>
        <v>16.081067027479</v>
      </c>
      <c r="T14" s="63" t="n">
        <f aca="false">Capitalization!U13/'Ratio (data)'!T14</f>
        <v>16.6922623223848</v>
      </c>
      <c r="U14" s="63" t="n">
        <f aca="false">Capitalization!V13/'Ratio (data)'!U14</f>
        <v>31.5656813832893</v>
      </c>
      <c r="V14" s="65" t="n">
        <f aca="false">Capitalization!W13/'Ratio (data)'!V14</f>
        <v>32.2518918481434</v>
      </c>
      <c r="W14" s="65" t="n">
        <f aca="false">Capitalization!X13/'Ratio (data)'!W14</f>
        <v>32.2518918481434</v>
      </c>
      <c r="X14" s="66" t="n">
        <f aca="false">Capitalization!Y13/'Ratio (data)'!X14</f>
        <v>32.2518918481434</v>
      </c>
      <c r="Y14" s="67" t="n">
        <f aca="false">Capitalization!Z13/'Ratio (data)'!Y14</f>
        <v>33.2812075454246</v>
      </c>
      <c r="Z14" s="63" t="n">
        <f aca="false">Capitalization!AA13/'Ratio (data)'!Z14</f>
        <v>32.2518918481434</v>
      </c>
      <c r="AA14" s="65" t="n">
        <f aca="false">Capitalization!AB13/'Ratio (data)'!AA14</f>
        <v>34.3036611380572</v>
      </c>
      <c r="AB14" s="63" t="n">
        <f aca="false">Capitalization!AC13/'Ratio (data)'!AB14</f>
        <v>30.8794709184352</v>
      </c>
      <c r="AC14" s="68" t="n">
        <f aca="false">Capitalization!AD13/'Ratio (data)'!AC14</f>
        <v>5.98065140485791</v>
      </c>
      <c r="AD14" s="67" t="n">
        <f aca="false">Capitalization!AE13/'Ratio (data)'!AD14</f>
        <v>5.98911716712049</v>
      </c>
      <c r="AE14" s="63" t="n">
        <f aca="false">Capitalization!AF13/'Ratio (data)'!AE14</f>
        <v>5.74924432094007</v>
      </c>
      <c r="AF14" s="65" t="n">
        <f aca="false">Capitalization!AG13/'Ratio (data)'!AF14</f>
        <v>5.74924432094007</v>
      </c>
      <c r="AG14" s="63" t="n">
        <f aca="false">Capitalization!AH13/'Ratio (data)'!AG14</f>
        <v>6.43915363945288</v>
      </c>
      <c r="AH14" s="63" t="n">
        <f aca="false">Capitalization!AI13/'Ratio (data)'!AH14</f>
        <v>6.09844798250248</v>
      </c>
      <c r="AI14" s="66" t="n">
        <f aca="false">Capitalization!AJ13/'Ratio (data)'!AI14</f>
        <v>7.90026215915094</v>
      </c>
      <c r="AJ14" s="67" t="n">
        <f aca="false">Capitalization!AK13/'Ratio (data)'!AJ14</f>
        <v>7.80354631819207</v>
      </c>
      <c r="AK14" s="63" t="n">
        <f aca="false">Capitalization!AL13/'Ratio (data)'!AK14</f>
        <v>7.36110391706151</v>
      </c>
      <c r="AL14" s="65" t="n">
        <f aca="false">Capitalization!AM13/'Ratio (data)'!AL14</f>
        <v>7.3597179061564</v>
      </c>
      <c r="AM14" s="63" t="n">
        <f aca="false">Capitalization!AN13/'Ratio (data)'!AM14</f>
        <v>7.39436817878425</v>
      </c>
      <c r="AN14" s="68" t="n">
        <f aca="false">Capitalization!AO13/'Ratio (data)'!AN14</f>
        <v>7.35872462512182</v>
      </c>
      <c r="AO14" s="67" t="n">
        <f aca="false">Capitalization!AP13/'Ratio (data)'!AO14</f>
        <v>7.28406297958112</v>
      </c>
      <c r="AP14" s="63" t="n">
        <f aca="false">Capitalization!AQ13/'Ratio (data)'!AP14</f>
        <v>7.10293746953085</v>
      </c>
      <c r="AQ14" s="65" t="n">
        <f aca="false">Capitalization!AR13/'Ratio (data)'!AQ14</f>
        <v>6.91891290241472</v>
      </c>
    </row>
    <row r="15" customFormat="false" ht="12.8" hidden="false" customHeight="false" outlineLevel="0" collapsed="false">
      <c r="A15" s="139" t="s">
        <v>187</v>
      </c>
      <c r="B15" s="65" t="n">
        <f aca="false">Capitalization!C14/'Ratio (data)'!B15</f>
        <v>0.243839686694943</v>
      </c>
      <c r="C15" s="65" t="n">
        <f aca="false">Capitalization!D14/'Ratio (data)'!C15</f>
        <v>0.247409451640035</v>
      </c>
      <c r="D15" s="63" t="n">
        <f aca="false">Capitalization!E14/'Ratio (data)'!D15</f>
        <v>0.247409451640035</v>
      </c>
      <c r="E15" s="65" t="n">
        <f aca="false">Capitalization!F14/'Ratio (data)'!E15</f>
        <v>0.241453952696986</v>
      </c>
      <c r="F15" s="63" t="n">
        <f aca="false">Capitalization!G14/'Ratio (data)'!F15</f>
        <v>0.245642241271178</v>
      </c>
      <c r="G15" s="65" t="n">
        <f aca="false">Capitalization!H14/'Ratio (data)'!F15</f>
        <v>0.233271768689176</v>
      </c>
      <c r="H15" s="63" t="n">
        <f aca="false">Capitalization!I14/'Ratio (data)'!H15</f>
        <v>0.175115510660583</v>
      </c>
      <c r="I15" s="66" t="n">
        <f aca="false">Capitalization!J14/'Ratio (data)'!I15</f>
        <v>0.190915406359282</v>
      </c>
      <c r="J15" s="67" t="n">
        <f aca="false">Capitalization!K14/'Ratio (data)'!J15</f>
        <v>0.167215562811233</v>
      </c>
      <c r="K15" s="65" t="n">
        <f aca="false">Capitalization!L14/'Ratio (data)'!K15</f>
        <v>0.170889038561181</v>
      </c>
      <c r="L15" s="63" t="n">
        <f aca="false">Capitalization!M14/'Ratio (data)'!L15</f>
        <v>0.165898904836341</v>
      </c>
      <c r="M15" s="65" t="n">
        <f aca="false">Capitalization!N14/'Ratio (data)'!M15</f>
        <v>0.165898904836341</v>
      </c>
      <c r="N15" s="65" t="n">
        <f aca="false">Capitalization!O14/'Ratio (data)'!N15</f>
        <v>0.16458224686145</v>
      </c>
      <c r="O15" s="63" t="n">
        <f aca="false">Capitalization!P14/'Ratio (data)'!O15</f>
        <v>0.171165536735908</v>
      </c>
      <c r="P15" s="68" t="n">
        <f aca="false">Capitalization!Q14/'Ratio (data)'!P15</f>
        <v>0.277177996235495</v>
      </c>
      <c r="Q15" s="67" t="n">
        <f aca="false">Capitalization!R14/'Ratio (data)'!Q15</f>
        <v>0.273041011217055</v>
      </c>
      <c r="R15" s="63" t="n">
        <f aca="false">Capitalization!S14/'Ratio (data)'!R15</f>
        <v>0.244082116087973</v>
      </c>
      <c r="S15" s="65" t="n">
        <f aca="false">Capitalization!T14/'Ratio (data)'!S15</f>
        <v>0.251259785094967</v>
      </c>
      <c r="T15" s="63" t="n">
        <f aca="false">Capitalization!U14/'Ratio (data)'!T15</f>
        <v>0.250039374514527</v>
      </c>
      <c r="U15" s="63" t="n">
        <f aca="false">Capitalization!V14/'Ratio (data)'!U15</f>
        <v>0.407023047829071</v>
      </c>
      <c r="V15" s="65" t="n">
        <f aca="false">Capitalization!W14/'Ratio (data)'!V15</f>
        <v>0.355220114469008</v>
      </c>
      <c r="W15" s="65" t="n">
        <f aca="false">Capitalization!X14/'Ratio (data)'!W15</f>
        <v>0.325248417310685</v>
      </c>
      <c r="X15" s="66" t="n">
        <f aca="false">Capitalization!Y14/'Ratio (data)'!X15</f>
        <v>0.336719066840414</v>
      </c>
      <c r="Y15" s="67" t="n">
        <f aca="false">Capitalization!Z14/'Ratio (data)'!Y15</f>
        <v>0.366320743046164</v>
      </c>
      <c r="Z15" s="63" t="n">
        <f aca="false">Capitalization!AA14/'Ratio (data)'!Z15</f>
        <v>0.334165922267667</v>
      </c>
      <c r="AA15" s="65" t="n">
        <f aca="false">Capitalization!AB14/'Ratio (data)'!AA15</f>
        <v>0.362620533520445</v>
      </c>
      <c r="AB15" s="63" t="n">
        <f aca="false">Capitalization!AC14/'Ratio (data)'!AB15</f>
        <v>0.344119485891851</v>
      </c>
      <c r="AC15" s="68" t="n">
        <f aca="false">Capitalization!AD14/'Ratio (data)'!AC15</f>
        <v>0.172831090752327</v>
      </c>
      <c r="AD15" s="67" t="n">
        <f aca="false">Capitalization!AE14/'Ratio (data)'!AD15</f>
        <v>0.179577078488143</v>
      </c>
      <c r="AE15" s="63" t="n">
        <f aca="false">Capitalization!AF14/'Ratio (data)'!AE15</f>
        <v>0.200707073131734</v>
      </c>
      <c r="AF15" s="65" t="n">
        <f aca="false">Capitalization!AG14/'Ratio (data)'!AF15</f>
        <v>0.2117180861716</v>
      </c>
      <c r="AG15" s="63" t="n">
        <f aca="false">Capitalization!AH14/'Ratio (data)'!AG15</f>
        <v>0.170990628062287</v>
      </c>
      <c r="AH15" s="63" t="n">
        <f aca="false">Capitalization!AI14/'Ratio (data)'!AH15</f>
        <v>0.164328655540379</v>
      </c>
      <c r="AI15" s="66" t="n">
        <f aca="false">Capitalization!AJ14/'Ratio (data)'!AI15</f>
        <v>0.204300490671823</v>
      </c>
      <c r="AJ15" s="67" t="n">
        <f aca="false">Capitalization!AK14/'Ratio (data)'!AJ15</f>
        <v>0.206276875853322</v>
      </c>
      <c r="AK15" s="63" t="n">
        <f aca="false">Capitalization!AL14/'Ratio (data)'!AL15</f>
        <v>0.239831010788662</v>
      </c>
      <c r="AL15" s="65" t="n">
        <f aca="false">Capitalization!AM14/'Ratio (data)'!AM15</f>
        <v>0.25587567790366</v>
      </c>
      <c r="AM15" s="63" t="n">
        <f aca="false">Capitalization!AN14/'Ratio (data)'!AM15</f>
        <v>0.268696331431986</v>
      </c>
      <c r="AN15" s="68" t="n">
        <f aca="false">Capitalization!AO14/'Ratio (data)'!AN15</f>
        <v>0.28149139483351</v>
      </c>
      <c r="AO15" s="67" t="n">
        <f aca="false">Capitalization!AP14/'Ratio (data)'!AO15</f>
        <v>0.291727445554728</v>
      </c>
      <c r="AP15" s="63" t="n">
        <f aca="false">Capitalization!AQ14/'Ratio (data)'!AP15</f>
        <v>0.367883662920594</v>
      </c>
      <c r="AQ15" s="65" t="n">
        <f aca="false">Capitalization!AR14/'Ratio (data)'!AQ15</f>
        <v>0.345466711841125</v>
      </c>
    </row>
    <row r="16" customFormat="false" ht="12.8" hidden="false" customHeight="false" outlineLevel="0" collapsed="false">
      <c r="A16" s="139" t="s">
        <v>188</v>
      </c>
      <c r="B16" s="65" t="n">
        <f aca="false">Capitalization!C15/'Ratio (data)'!B16</f>
        <v>0.736345726437079</v>
      </c>
      <c r="C16" s="65" t="n">
        <f aca="false">Capitalization!D15/'Ratio (data)'!C16</f>
        <v>0.736345726437079</v>
      </c>
      <c r="D16" s="63" t="n">
        <f aca="false">Capitalization!E15/'Ratio (data)'!D16</f>
        <v>0.736345726437079</v>
      </c>
      <c r="E16" s="65" t="n">
        <f aca="false">Capitalization!F15/'Ratio (data)'!E16</f>
        <v>0.736345726437079</v>
      </c>
      <c r="F16" s="63" t="n">
        <f aca="false">Capitalization!G15/'Ratio (data)'!F16</f>
        <v>0.736345726437079</v>
      </c>
      <c r="G16" s="65" t="n">
        <f aca="false">Capitalization!H15/'Ratio (data)'!F16</f>
        <v>0.714365256991196</v>
      </c>
      <c r="H16" s="63" t="n">
        <f aca="false">Capitalization!I15/'Ratio (data)'!H16</f>
        <v>0.788691983542276</v>
      </c>
      <c r="I16" s="66" t="n">
        <f aca="false">Capitalization!J15/'Ratio (data)'!I16</f>
        <v>0.740157092247367</v>
      </c>
      <c r="J16" s="67" t="n">
        <f aca="false">Capitalization!K15/'Ratio (data)'!J16</f>
        <v>0.740278429475604</v>
      </c>
      <c r="K16" s="65" t="n">
        <f aca="false">Capitalization!L15/'Ratio (data)'!K16</f>
        <v>0.699023771874931</v>
      </c>
      <c r="L16" s="63" t="n">
        <f aca="false">Capitalization!M15/'Ratio (data)'!L16</f>
        <v>0.699023771874931</v>
      </c>
      <c r="M16" s="65" t="n">
        <f aca="false">Capitalization!N15/'Ratio (data)'!M16</f>
        <v>0.699023771874931</v>
      </c>
      <c r="N16" s="65" t="n">
        <f aca="false">Capitalization!O15/'Ratio (data)'!N16</f>
        <v>0.691622200952457</v>
      </c>
      <c r="O16" s="63" t="n">
        <f aca="false">Capitalization!P15/'Ratio (data)'!O16</f>
        <v>0.691864875408932</v>
      </c>
      <c r="P16" s="68" t="n">
        <f aca="false">Capitalization!Q15/'Ratio (data)'!P16</f>
        <v>0.806894690221382</v>
      </c>
      <c r="Q16" s="67" t="n">
        <f aca="false">Capitalization!R15/'Ratio (data)'!Q16</f>
        <v>0.775735555757128</v>
      </c>
      <c r="R16" s="63" t="n">
        <f aca="false">Capitalization!S15/'Ratio (data)'!R16</f>
        <v>0.731746189454652</v>
      </c>
      <c r="S16" s="65" t="n">
        <f aca="false">Capitalization!T15/'Ratio (data)'!S16</f>
        <v>0.731746189454652</v>
      </c>
      <c r="T16" s="63" t="n">
        <f aca="false">Capitalization!U15/'Ratio (data)'!T16</f>
        <v>0.706367708895531</v>
      </c>
      <c r="U16" s="63" t="n">
        <f aca="false">Capitalization!V15/'Ratio (data)'!U16</f>
        <v>1.01249459787191</v>
      </c>
      <c r="V16" s="65" t="n">
        <f aca="false">Capitalization!W15/'Ratio (data)'!V16</f>
        <v>1.01249459787191</v>
      </c>
      <c r="W16" s="65" t="n">
        <f aca="false">Capitalization!X15/'Ratio (data)'!W16</f>
        <v>1.01249459787191</v>
      </c>
      <c r="X16" s="66" t="n">
        <f aca="false">Capitalization!Y15/'Ratio (data)'!X16</f>
        <v>1.01249459787191</v>
      </c>
      <c r="Y16" s="67" t="n">
        <f aca="false">Capitalization!Z15/'Ratio (data)'!Y16</f>
        <v>1.01249459787191</v>
      </c>
      <c r="Z16" s="63" t="n">
        <f aca="false">Capitalization!AA15/'Ratio (data)'!Z16</f>
        <v>0.999792392916786</v>
      </c>
      <c r="AA16" s="65" t="n">
        <f aca="false">Capitalization!AB15/'Ratio (data)'!AA16</f>
        <v>0.987826547669209</v>
      </c>
      <c r="AB16" s="63" t="n">
        <f aca="false">Capitalization!AC15/'Ratio (data)'!AB16</f>
        <v>0.957267619806166</v>
      </c>
      <c r="AC16" s="68" t="n">
        <f aca="false">Capitalization!AD15/'Ratio (data)'!AC16</f>
        <v>0.826404624195431</v>
      </c>
      <c r="AD16" s="67" t="n">
        <f aca="false">Capitalization!AE15/'Ratio (data)'!AD16</f>
        <v>0.743929442700727</v>
      </c>
      <c r="AE16" s="63" t="n">
        <f aca="false">Capitalization!AF15/'Ratio (data)'!AE16</f>
        <v>0.744094723625566</v>
      </c>
      <c r="AF16" s="65" t="n">
        <f aca="false">Capitalization!AG15/'Ratio (data)'!AF16</f>
        <v>0.744094723625566</v>
      </c>
      <c r="AG16" s="63" t="n">
        <f aca="false">Capitalization!AH15/'Ratio (data)'!AG16</f>
        <v>0.837043769843414</v>
      </c>
      <c r="AH16" s="63" t="n">
        <f aca="false">Capitalization!AI15/'Ratio (data)'!AH16</f>
        <v>0.877004034309956</v>
      </c>
      <c r="AI16" s="66" t="n">
        <f aca="false">Capitalization!AJ15/'Ratio (data)'!AI16</f>
        <v>0.970475690095766</v>
      </c>
      <c r="AJ16" s="67" t="n">
        <f aca="false">Capitalization!AK15/'Ratio (data)'!AJ16</f>
        <v>1.01138368472842</v>
      </c>
      <c r="AK16" s="63" t="n">
        <f aca="false">Capitalization!AL15/'Ratio (data)'!AL16</f>
        <v>0.972484312238863</v>
      </c>
      <c r="AL16" s="65" t="n">
        <f aca="false">Capitalization!AM15/'Ratio (data)'!AM16</f>
        <v>0.955185797661274</v>
      </c>
      <c r="AM16" s="63" t="n">
        <f aca="false">Capitalization!AN15/'Ratio (data)'!AM16</f>
        <v>1.02010133730816</v>
      </c>
      <c r="AN16" s="68" t="n">
        <f aca="false">Capitalization!AO15/'Ratio (data)'!AN16</f>
        <v>1.02010133730816</v>
      </c>
      <c r="AO16" s="67" t="n">
        <f aca="false">Capitalization!AP15/'Ratio (data)'!AO16</f>
        <v>0.891754041777749</v>
      </c>
      <c r="AP16" s="63" t="n">
        <f aca="false">Capitalization!AQ15/'Ratio (data)'!AP16</f>
        <v>0.891754041777749</v>
      </c>
      <c r="AQ16" s="65" t="n">
        <f aca="false">Capitalization!AR15/'Ratio (data)'!AQ16</f>
        <v>0.908817555056358</v>
      </c>
    </row>
    <row r="17" customFormat="false" ht="12.8" hidden="false" customHeight="false" outlineLevel="0" collapsed="false">
      <c r="A17" s="139" t="s">
        <v>189</v>
      </c>
      <c r="B17" s="65" t="n">
        <f aca="false">Capitalization!C16/'Ratio (data)'!B17</f>
        <v>2.1668650227373</v>
      </c>
      <c r="C17" s="65" t="n">
        <f aca="false">Capitalization!D16/'Ratio (data)'!C17</f>
        <v>2.23503354588685</v>
      </c>
      <c r="D17" s="63" t="n">
        <f aca="false">Capitalization!E16/'Ratio (data)'!D17</f>
        <v>2.27600916089477</v>
      </c>
      <c r="E17" s="65" t="n">
        <f aca="false">Capitalization!F16/'Ratio (data)'!E17</f>
        <v>1.92461222006923</v>
      </c>
      <c r="F17" s="63" t="n">
        <f aca="false">Capitalization!G16/'Ratio (data)'!F17</f>
        <v>1.81596475603306</v>
      </c>
      <c r="G17" s="65" t="n">
        <f aca="false">Capitalization!H16/'Ratio (data)'!F17</f>
        <v>1.80044368974218</v>
      </c>
      <c r="H17" s="63" t="n">
        <f aca="false">Capitalization!I16/'Ratio (data)'!H17</f>
        <v>1.80665211625853</v>
      </c>
      <c r="I17" s="66" t="n">
        <f aca="false">Capitalization!J16/'Ratio (data)'!I17</f>
        <v>2.13895463214333</v>
      </c>
      <c r="J17" s="67" t="n">
        <f aca="false">Capitalization!K16/'Ratio (data)'!J17</f>
        <v>2.14043079130975</v>
      </c>
      <c r="K17" s="65" t="n">
        <f aca="false">Capitalization!L16/'Ratio (data)'!K17</f>
        <v>1.84524324280064</v>
      </c>
      <c r="L17" s="63" t="n">
        <f aca="false">Capitalization!M16/'Ratio (data)'!L17</f>
        <v>1.84542038190061</v>
      </c>
      <c r="M17" s="65" t="n">
        <f aca="false">Capitalization!N16/'Ratio (data)'!M17</f>
        <v>1.84519895802565</v>
      </c>
      <c r="N17" s="65" t="n">
        <f aca="false">Capitalization!O16/'Ratio (data)'!N17</f>
        <v>1.84512515006733</v>
      </c>
      <c r="O17" s="63" t="n">
        <f aca="false">Capitalization!P16/'Ratio (data)'!O17</f>
        <v>1.84372279885923</v>
      </c>
      <c r="P17" s="68" t="n">
        <f aca="false">Capitalization!Q16/'Ratio (data)'!P17</f>
        <v>1.99429103383412</v>
      </c>
      <c r="Q17" s="67" t="n">
        <f aca="false">Capitalization!R16/'Ratio (data)'!Q17</f>
        <v>2.1172872611214</v>
      </c>
      <c r="R17" s="63" t="n">
        <f aca="false">Capitalization!S16/'Ratio (data)'!R17</f>
        <v>2.1563516017325</v>
      </c>
      <c r="S17" s="65" t="n">
        <f aca="false">Capitalization!T16/'Ratio (data)'!S17</f>
        <v>2.12510012924362</v>
      </c>
      <c r="T17" s="63" t="n">
        <f aca="false">Capitalization!U16/'Ratio (data)'!T17</f>
        <v>2.21999522545609</v>
      </c>
      <c r="U17" s="63" t="n">
        <f aca="false">Capitalization!V16/'Ratio (data)'!U17</f>
        <v>2.17197733797694</v>
      </c>
      <c r="V17" s="65" t="n">
        <f aca="false">Capitalization!W16/'Ratio (data)'!V17</f>
        <v>2.32230538968429</v>
      </c>
      <c r="W17" s="65" t="n">
        <f aca="false">Capitalization!X16/'Ratio (data)'!W17</f>
        <v>2.18307205373788</v>
      </c>
      <c r="X17" s="66" t="n">
        <f aca="false">Capitalization!Y16/'Ratio (data)'!X17</f>
        <v>2.18307205373788</v>
      </c>
      <c r="Y17" s="67" t="n">
        <f aca="false">Capitalization!Z16/'Ratio (data)'!Y17</f>
        <v>2.38304811972913</v>
      </c>
      <c r="Z17" s="63" t="n">
        <f aca="false">Capitalization!AA16/'Ratio (data)'!Z17</f>
        <v>2.34971877539726</v>
      </c>
      <c r="AA17" s="65" t="n">
        <f aca="false">Capitalization!AB16/'Ratio (data)'!AA17</f>
        <v>2.41311118831649</v>
      </c>
      <c r="AB17" s="63" t="n">
        <f aca="false">Capitalization!AC16/'Ratio (data)'!AB17</f>
        <v>2.43334210032593</v>
      </c>
      <c r="AC17" s="68" t="n">
        <f aca="false">Capitalization!AD16/'Ratio (data)'!AC17</f>
        <v>2.33305410323132</v>
      </c>
      <c r="AD17" s="67" t="n">
        <f aca="false">Capitalization!AE16/'Ratio (data)'!AD17</f>
        <v>2.04238033137165</v>
      </c>
      <c r="AE17" s="63" t="n">
        <f aca="false">Capitalization!AF16/'Ratio (data)'!AE17</f>
        <v>1.96128859152957</v>
      </c>
      <c r="AF17" s="65" t="n">
        <f aca="false">Capitalization!AG16/'Ratio (data)'!AF17</f>
        <v>2.01404725464171</v>
      </c>
      <c r="AG17" s="63" t="n">
        <f aca="false">Capitalization!AH16/'Ratio (data)'!AG17</f>
        <v>1.76515973237661</v>
      </c>
      <c r="AH17" s="63" t="n">
        <f aca="false">Capitalization!AI16/'Ratio (data)'!AH17</f>
        <v>1.75912499824883</v>
      </c>
      <c r="AI17" s="66" t="n">
        <f aca="false">Capitalization!AJ16/'Ratio (data)'!AI17</f>
        <v>2.52402754894536</v>
      </c>
      <c r="AJ17" s="67" t="n">
        <f aca="false">Capitalization!AK16/'Ratio (data)'!AJ17</f>
        <v>2.2597895324112</v>
      </c>
      <c r="AK17" s="63" t="n">
        <f aca="false">Capitalization!AL16/'Ratio (data)'!AK17</f>
        <v>2.07386666111412</v>
      </c>
      <c r="AL17" s="65" t="n">
        <f aca="false">Capitalization!AM16/'Ratio (data)'!AL17</f>
        <v>2.14637948143279</v>
      </c>
      <c r="AM17" s="63" t="n">
        <f aca="false">Capitalization!AN16/'Ratio (data)'!AM17</f>
        <v>1.87083076422183</v>
      </c>
      <c r="AN17" s="68" t="n">
        <f aca="false">Capitalization!AO16/'Ratio (data)'!AN17</f>
        <v>2.00135384079544</v>
      </c>
      <c r="AO17" s="67" t="n">
        <f aca="false">Capitalization!AP16/'Ratio (data)'!AO17</f>
        <v>1.94031072227553</v>
      </c>
      <c r="AP17" s="63" t="n">
        <f aca="false">Capitalization!AQ16/'Ratio (data)'!AP17</f>
        <v>1.82600369791029</v>
      </c>
      <c r="AQ17" s="65" t="n">
        <f aca="false">Capitalization!AR16/'Ratio (data)'!AQ17</f>
        <v>1.69343739800362</v>
      </c>
    </row>
    <row r="18" customFormat="false" ht="12.8" hidden="false" customHeight="false" outlineLevel="0" collapsed="false">
      <c r="A18" s="139" t="s">
        <v>190</v>
      </c>
      <c r="B18" s="65" t="n">
        <f aca="false">Capitalization!C17/'Ratio (data)'!B18</f>
        <v>0.646883800106303</v>
      </c>
      <c r="C18" s="65" t="n">
        <f aca="false">Capitalization!D17/'Ratio (data)'!C18</f>
        <v>0.647071357021381</v>
      </c>
      <c r="D18" s="63" t="n">
        <f aca="false">Capitalization!E17/'Ratio (data)'!D18</f>
        <v>0.647071357021381</v>
      </c>
      <c r="E18" s="65" t="n">
        <f aca="false">Capitalization!F17/'Ratio (data)'!E18</f>
        <v>0.647071357021381</v>
      </c>
      <c r="F18" s="63" t="n">
        <f aca="false">Capitalization!G17/'Ratio (data)'!F18</f>
        <v>0.647071357021381</v>
      </c>
      <c r="G18" s="65" t="n">
        <f aca="false">Capitalization!H17/'Ratio (data)'!F18</f>
        <v>0.643320218719808</v>
      </c>
      <c r="H18" s="63" t="n">
        <f aca="false">Capitalization!I17/'Ratio (data)'!H18</f>
        <v>0.710055629247637</v>
      </c>
      <c r="I18" s="66" t="n">
        <f aca="false">Capitalization!J17/'Ratio (data)'!I18</f>
        <v>0.710055629247637</v>
      </c>
      <c r="J18" s="67" t="n">
        <f aca="false">Capitalization!K17/'Ratio (data)'!J18</f>
        <v>0.641824104260626</v>
      </c>
      <c r="K18" s="65" t="n">
        <f aca="false">Capitalization!L17/'Ratio (data)'!K18</f>
        <v>0.641824104260626</v>
      </c>
      <c r="L18" s="63" t="n">
        <f aca="false">Capitalization!M17/'Ratio (data)'!L18</f>
        <v>0.641824104260626</v>
      </c>
      <c r="M18" s="65" t="n">
        <f aca="false">Capitalization!N17/'Ratio (data)'!M18</f>
        <v>0.641824104260626</v>
      </c>
      <c r="N18" s="65" t="n">
        <f aca="false">Capitalization!O17/'Ratio (data)'!N18</f>
        <v>0.641824104260626</v>
      </c>
      <c r="O18" s="63" t="n">
        <f aca="false">Capitalization!P17/'Ratio (data)'!O18</f>
        <v>0.639670546753224</v>
      </c>
      <c r="P18" s="68" t="n">
        <f aca="false">Capitalization!Q17/'Ratio (data)'!P18</f>
        <v>0.74901709668922</v>
      </c>
      <c r="Q18" s="67" t="n">
        <f aca="false">Capitalization!R17/'Ratio (data)'!Q18</f>
        <v>0.74901709668922</v>
      </c>
      <c r="R18" s="63" t="n">
        <f aca="false">Capitalization!S17/'Ratio (data)'!R18</f>
        <v>0.772377067392215</v>
      </c>
      <c r="S18" s="65" t="n">
        <f aca="false">Capitalization!T17/'Ratio (data)'!S18</f>
        <v>0.772423880960758</v>
      </c>
      <c r="T18" s="63" t="n">
        <f aca="false">Capitalization!U17/'Ratio (data)'!T18</f>
        <v>0.772423880960758</v>
      </c>
      <c r="U18" s="63" t="n">
        <f aca="false">Capitalization!V17/'Ratio (data)'!U18</f>
        <v>0.818121865299556</v>
      </c>
      <c r="V18" s="65" t="n">
        <f aca="false">Capitalization!W17/'Ratio (data)'!V18</f>
        <v>0.917288152002533</v>
      </c>
      <c r="W18" s="65" t="n">
        <f aca="false">Capitalization!X17/'Ratio (data)'!W18</f>
        <v>0.917288152002533</v>
      </c>
      <c r="X18" s="66" t="n">
        <f aca="false">Capitalization!Y17/'Ratio (data)'!X18</f>
        <v>0.917288152002533</v>
      </c>
      <c r="Y18" s="67" t="n">
        <f aca="false">Capitalization!Z17/'Ratio (data)'!Y18</f>
        <v>0.917040236285776</v>
      </c>
      <c r="Z18" s="63" t="n">
        <f aca="false">Capitalization!AA17/'Ratio (data)'!Z18</f>
        <v>0.939550983367351</v>
      </c>
      <c r="AA18" s="65" t="n">
        <f aca="false">Capitalization!AB17/'Ratio (data)'!AA18</f>
        <v>0.855334014384848</v>
      </c>
      <c r="AB18" s="63" t="n">
        <f aca="false">Capitalization!AC17/'Ratio (data)'!AB18</f>
        <v>0.855309222813173</v>
      </c>
      <c r="AC18" s="68" t="n">
        <f aca="false">Capitalization!AD17/'Ratio (data)'!AC18</f>
        <v>0.729545864799035</v>
      </c>
      <c r="AD18" s="67" t="n">
        <f aca="false">Capitalization!AE17/'Ratio (data)'!AD18</f>
        <v>0.69782647937299</v>
      </c>
      <c r="AE18" s="63" t="n">
        <f aca="false">Capitalization!AF17/'Ratio (data)'!AE18</f>
        <v>0.686090306765353</v>
      </c>
      <c r="AF18" s="65" t="n">
        <f aca="false">Capitalization!AG17/'Ratio (data)'!AF18</f>
        <v>0.686090306765353</v>
      </c>
      <c r="AG18" s="63" t="n">
        <f aca="false">Capitalization!AH17/'Ratio (data)'!AG18</f>
        <v>0.666107093946945</v>
      </c>
      <c r="AH18" s="63" t="n">
        <f aca="false">Capitalization!AI17/'Ratio (data)'!AH18</f>
        <v>0.819589626664475</v>
      </c>
      <c r="AI18" s="66" t="n">
        <f aca="false">Capitalization!AJ17/'Ratio (data)'!AI18</f>
        <v>0.819589626664475</v>
      </c>
      <c r="AJ18" s="67" t="n">
        <f aca="false">Capitalization!AK17/'Ratio (data)'!AJ18</f>
        <v>0.888267900958062</v>
      </c>
      <c r="AK18" s="63" t="n">
        <f aca="false">Capitalization!AL17/'Ratio (data)'!AM18</f>
        <v>0.85577029482545</v>
      </c>
      <c r="AL18" s="65" t="n">
        <f aca="false">Capitalization!AM17/'Ratio (data)'!AN18</f>
        <v>0.889264966434988</v>
      </c>
      <c r="AM18" s="63" t="n">
        <f aca="false">Capitalization!AN17/'Ratio (data)'!AM18</f>
        <v>0.89047773817508</v>
      </c>
      <c r="AN18" s="68" t="n">
        <f aca="false">Capitalization!AO17/'Ratio (data)'!AN18</f>
        <v>1.00183015205967</v>
      </c>
      <c r="AO18" s="67" t="n">
        <f aca="false">Capitalization!AP17/'Ratio (data)'!AO18</f>
        <v>1.03604996848957</v>
      </c>
      <c r="AP18" s="63" t="n">
        <f aca="false">Capitalization!AQ17/'Ratio (data)'!AP18</f>
        <v>1.04685622630954</v>
      </c>
      <c r="AQ18" s="65" t="n">
        <f aca="false">Capitalization!AR17/'Ratio (data)'!AQ18</f>
        <v>1.00183015205967</v>
      </c>
    </row>
    <row r="19" customFormat="false" ht="12.8" hidden="false" customHeight="false" outlineLevel="0" collapsed="false">
      <c r="A19" s="139" t="s">
        <v>26</v>
      </c>
      <c r="B19" s="65" t="n">
        <f aca="false">Capitalization!C18/'Ratio (data)'!B19</f>
        <v>1.48998344920601</v>
      </c>
      <c r="C19" s="65" t="n">
        <f aca="false">Capitalization!D18/'Ratio (data)'!C19</f>
        <v>1.55980205148048</v>
      </c>
      <c r="D19" s="63" t="n">
        <f aca="false">Capitalization!E18/'Ratio (data)'!D19</f>
        <v>1.43428687565434</v>
      </c>
      <c r="E19" s="65" t="n">
        <f aca="false">Capitalization!F18/'Ratio (data)'!E19</f>
        <v>1.4433989133103</v>
      </c>
      <c r="F19" s="63" t="n">
        <f aca="false">Capitalization!G18/'Ratio (data)'!F19</f>
        <v>1.39683765804222</v>
      </c>
      <c r="G19" s="65" t="n">
        <f aca="false">Capitalization!H18/'Ratio (data)'!F19</f>
        <v>1.35027640277415</v>
      </c>
      <c r="H19" s="63" t="n">
        <f aca="false">Capitalization!I18/'Ratio (data)'!H19</f>
        <v>1.43578192008127</v>
      </c>
      <c r="I19" s="66" t="n">
        <f aca="false">Capitalization!J18/'Ratio (data)'!I19</f>
        <v>1.38316732006318</v>
      </c>
      <c r="J19" s="67" t="n">
        <f aca="false">Capitalization!K18/'Ratio (data)'!J19</f>
        <v>1.30180453653005</v>
      </c>
      <c r="K19" s="65" t="n">
        <f aca="false">Capitalization!L18/'Ratio (data)'!K19</f>
        <v>1.50900842526108</v>
      </c>
      <c r="L19" s="63" t="n">
        <f aca="false">Capitalization!M18/'Ratio (data)'!L19</f>
        <v>1.46507252215319</v>
      </c>
      <c r="M19" s="65" t="n">
        <f aca="false">Capitalization!N18/'Ratio (data)'!M19</f>
        <v>1.30180453653005</v>
      </c>
      <c r="N19" s="65" t="n">
        <f aca="false">Capitalization!O18/'Ratio (data)'!N19</f>
        <v>1.30180453653005</v>
      </c>
      <c r="O19" s="63" t="n">
        <f aca="false">Capitalization!P18/'Ratio (data)'!O19</f>
        <v>1.29638035096118</v>
      </c>
      <c r="P19" s="68" t="n">
        <f aca="false">Capitalization!Q18/'Ratio (data)'!P19</f>
        <v>1.51023893602184</v>
      </c>
      <c r="Q19" s="67" t="n">
        <f aca="false">Capitalization!R18/'Ratio (data)'!Q19</f>
        <v>1.41149254405118</v>
      </c>
      <c r="R19" s="63" t="n">
        <f aca="false">Capitalization!S18/'Ratio (data)'!R19</f>
        <v>1.56774418781651</v>
      </c>
      <c r="S19" s="65" t="n">
        <f aca="false">Capitalization!T18/'Ratio (data)'!S19</f>
        <v>1.56774418781651</v>
      </c>
      <c r="T19" s="63" t="n">
        <f aca="false">Capitalization!U18/'Ratio (data)'!T19</f>
        <v>1.74219421076091</v>
      </c>
      <c r="U19" s="63" t="n">
        <f aca="false">Capitalization!V18/'Ratio (data)'!U19</f>
        <v>1.83508348827164</v>
      </c>
      <c r="V19" s="65" t="n">
        <f aca="false">Capitalization!W18/'Ratio (data)'!V19</f>
        <v>1.80904936940688</v>
      </c>
      <c r="W19" s="65" t="n">
        <f aca="false">Capitalization!X18/'Ratio (data)'!W19</f>
        <v>1.80904936940688</v>
      </c>
      <c r="X19" s="66" t="n">
        <f aca="false">Capitalization!Y18/'Ratio (data)'!X19</f>
        <v>1.98550016763817</v>
      </c>
      <c r="Y19" s="67" t="n">
        <f aca="false">Capitalization!Z18/'Ratio (data)'!Y19</f>
        <v>1.86516682414495</v>
      </c>
      <c r="Z19" s="63" t="n">
        <f aca="false">Capitalization!AA18/'Ratio (data)'!Z19</f>
        <v>1.80500015239834</v>
      </c>
      <c r="AA19" s="65" t="n">
        <f aca="false">Capitalization!AB18/'Ratio (data)'!AA19</f>
        <v>1.80500015239834</v>
      </c>
      <c r="AB19" s="63" t="n">
        <f aca="false">Capitalization!AC18/'Ratio (data)'!AB19</f>
        <v>1.89525016001825</v>
      </c>
      <c r="AC19" s="68" t="n">
        <f aca="false">Capitalization!AD18/'Ratio (data)'!AC19</f>
        <v>1.73623397465107</v>
      </c>
      <c r="AD19" s="67" t="n">
        <f aca="false">Capitalization!AE18/'Ratio (data)'!AD19</f>
        <v>1.68041399422022</v>
      </c>
      <c r="AE19" s="63" t="n">
        <f aca="false">Capitalization!AF18/'Ratio (data)'!AE19</f>
        <v>1.69902065436384</v>
      </c>
      <c r="AF19" s="65" t="n">
        <f aca="false">Capitalization!AG18/'Ratio (data)'!AF19</f>
        <v>1.6016322322559</v>
      </c>
      <c r="AG19" s="63" t="n">
        <f aca="false">Capitalization!AH18/'Ratio (data)'!AG19</f>
        <v>1.512151640709</v>
      </c>
      <c r="AH19" s="63" t="n">
        <f aca="false">Capitalization!AI18/'Ratio (data)'!AH19</f>
        <v>1.24505424931269</v>
      </c>
      <c r="AI19" s="66" t="n">
        <f aca="false">Capitalization!AJ18/'Ratio (data)'!AI19</f>
        <v>1.74140324572021</v>
      </c>
      <c r="AJ19" s="67" t="n">
        <f aca="false">Capitalization!AK18/'Ratio (data)'!AJ19</f>
        <v>1.67811659689972</v>
      </c>
      <c r="AK19" s="63" t="n">
        <f aca="false">Capitalization!AL18/'Ratio (data)'!AK19</f>
        <v>1.43592106573233</v>
      </c>
      <c r="AL19" s="65" t="n">
        <f aca="false">Capitalization!AM18/'Ratio (data)'!AL19</f>
        <v>1.37223924751966</v>
      </c>
      <c r="AM19" s="63" t="n">
        <f aca="false">Capitalization!AN18/'Ratio (data)'!AM19</f>
        <v>1.28869610739078</v>
      </c>
      <c r="AN19" s="68" t="n">
        <f aca="false">Capitalization!AO18/'Ratio (data)'!AN19</f>
        <v>1.53444387591144</v>
      </c>
      <c r="AO19" s="67" t="n">
        <f aca="false">Capitalization!AP18/'Ratio (data)'!AO19</f>
        <v>1.23988441868694</v>
      </c>
      <c r="AP19" s="63" t="n">
        <f aca="false">Capitalization!AQ18/'Ratio (data)'!AP19</f>
        <v>1.41427937664244</v>
      </c>
      <c r="AQ19" s="65" t="n">
        <f aca="false">Capitalization!AR18/'Ratio (data)'!AQ19</f>
        <v>1.33258605746727</v>
      </c>
    </row>
    <row r="20" customFormat="false" ht="12.8" hidden="false" customHeight="false" outlineLevel="0" collapsed="false">
      <c r="A20" s="139" t="s">
        <v>191</v>
      </c>
      <c r="B20" s="65" t="n">
        <f aca="false">Capitalization!C19/'Ratio (data)'!B20</f>
        <v>14.807883260007</v>
      </c>
      <c r="C20" s="65" t="n">
        <f aca="false">Capitalization!D19/'Ratio (data)'!C20</f>
        <v>16.1441360683305</v>
      </c>
      <c r="D20" s="63" t="n">
        <f aca="false">Capitalization!E19/'Ratio (data)'!D20</f>
        <v>16.1441360683305</v>
      </c>
      <c r="E20" s="65" t="n">
        <f aca="false">Capitalization!F19/'Ratio (data)'!E20</f>
        <v>15.7069333150788</v>
      </c>
      <c r="F20" s="63" t="n">
        <f aca="false">Capitalization!G19/'Ratio (data)'!F20</f>
        <v>15.8655892071503</v>
      </c>
      <c r="G20" s="65" t="n">
        <f aca="false">Capitalization!H19/'Ratio (data)'!F20</f>
        <v>15.2362541686</v>
      </c>
      <c r="H20" s="63" t="n">
        <f aca="false">Capitalization!I19/'Ratio (data)'!H20</f>
        <v>14.807883260007</v>
      </c>
      <c r="I20" s="66" t="n">
        <f aca="false">Capitalization!J19/'Ratio (data)'!I20</f>
        <v>14.807883260007</v>
      </c>
      <c r="J20" s="67" t="n">
        <f aca="false">Capitalization!K19/'Ratio (data)'!J20</f>
        <v>38.30556722477</v>
      </c>
      <c r="K20" s="65" t="n">
        <f aca="false">Capitalization!L19/'Ratio (data)'!K20</f>
        <v>39.7280891257233</v>
      </c>
      <c r="L20" s="63" t="n">
        <f aca="false">Capitalization!M19/'Ratio (data)'!L20</f>
        <v>39.7280891257233</v>
      </c>
      <c r="M20" s="65" t="n">
        <f aca="false">Capitalization!N19/'Ratio (data)'!M20</f>
        <v>39.7280891257233</v>
      </c>
      <c r="N20" s="65" t="n">
        <f aca="false">Capitalization!O19/'Ratio (data)'!N20</f>
        <v>39.5999339995113</v>
      </c>
      <c r="O20" s="63" t="n">
        <f aca="false">Capitalization!P19/'Ratio (data)'!O20</f>
        <v>39.7280891257233</v>
      </c>
      <c r="P20" s="68" t="n">
        <f aca="false">Capitalization!Q19/'Ratio (data)'!P20</f>
        <v>33.2348533459393</v>
      </c>
      <c r="Q20" s="67" t="n">
        <f aca="false">Capitalization!R19/'Ratio (data)'!Q20</f>
        <v>39.1437122621151</v>
      </c>
      <c r="R20" s="63" t="n">
        <f aca="false">Capitalization!S19/'Ratio (data)'!R20</f>
        <v>35.495518279286</v>
      </c>
      <c r="S20" s="65" t="n">
        <f aca="false">Capitalization!T19/'Ratio (data)'!S20</f>
        <v>35.699065583049</v>
      </c>
      <c r="T20" s="63" t="n">
        <f aca="false">Capitalization!U19/'Ratio (data)'!T20</f>
        <v>35.3912394298197</v>
      </c>
      <c r="U20" s="63" t="n">
        <f aca="false">Capitalization!V19/'Ratio (data)'!U20</f>
        <v>36.7950895263882</v>
      </c>
      <c r="V20" s="65" t="n">
        <f aca="false">Capitalization!W19/'Ratio (data)'!V20</f>
        <v>36.0905027056702</v>
      </c>
      <c r="W20" s="65" t="n">
        <f aca="false">Capitalization!X19/'Ratio (data)'!W20</f>
        <v>19.8557593493938</v>
      </c>
      <c r="X20" s="66" t="n">
        <f aca="false">Capitalization!Y19/'Ratio (data)'!X20</f>
        <v>19.8557593493938</v>
      </c>
      <c r="Y20" s="67" t="n">
        <f aca="false">Capitalization!Z19/'Ratio (data)'!Y20</f>
        <v>20.2433989028527</v>
      </c>
      <c r="Z20" s="63" t="n">
        <f aca="false">Capitalization!AA19/'Ratio (data)'!Z20</f>
        <v>19.1580081531678</v>
      </c>
      <c r="AA20" s="65" t="n">
        <f aca="false">Capitalization!AB19/'Ratio (data)'!AA20</f>
        <v>19.3302923991496</v>
      </c>
      <c r="AB20" s="63" t="n">
        <f aca="false">Capitalization!AC19/'Ratio (data)'!AB20</f>
        <v>17.572993090136</v>
      </c>
      <c r="AC20" s="68" t="n">
        <f aca="false">Capitalization!AD19/'Ratio (data)'!AC20</f>
        <v>16.3670033682639</v>
      </c>
      <c r="AD20" s="67" t="n">
        <f aca="false">Capitalization!AE19/'Ratio (data)'!AD20</f>
        <v>5.87592216454245</v>
      </c>
      <c r="AE20" s="63" t="n">
        <f aca="false">Capitalization!AF19/'Ratio (data)'!AE20</f>
        <v>6.03864000909901</v>
      </c>
      <c r="AF20" s="65" t="n">
        <f aca="false">Capitalization!AG19/'Ratio (data)'!AF20</f>
        <v>5.68608467922646</v>
      </c>
      <c r="AG20" s="63" t="n">
        <f aca="false">Capitalization!AH19/'Ratio (data)'!AG20</f>
        <v>4.29216527712611</v>
      </c>
      <c r="AH20" s="63" t="n">
        <f aca="false">Capitalization!AI19/'Ratio (data)'!AH20</f>
        <v>5.16280755506392</v>
      </c>
      <c r="AI20" s="66" t="n">
        <f aca="false">Capitalization!AJ19/'Ratio (data)'!AI20</f>
        <v>5.82212007677</v>
      </c>
      <c r="AJ20" s="67" t="n">
        <f aca="false">Capitalization!AK19/'Ratio (data)'!AJ20</f>
        <v>5.95210896072532</v>
      </c>
      <c r="AK20" s="63" t="n">
        <f aca="false">Capitalization!AL19/'Ratio (data)'!AK20</f>
        <v>6.21089630684381</v>
      </c>
      <c r="AL20" s="65" t="n">
        <f aca="false">Capitalization!AM19/'Ratio (data)'!AL20</f>
        <v>6.08409050724575</v>
      </c>
      <c r="AM20" s="63" t="n">
        <f aca="false">Capitalization!AN19/'Ratio (data)'!AM20</f>
        <v>6.17109481301079</v>
      </c>
      <c r="AN20" s="68" t="n">
        <f aca="false">Capitalization!AO19/'Ratio (data)'!AN20</f>
        <v>5.04157926916431</v>
      </c>
      <c r="AO20" s="67" t="n">
        <f aca="false">Capitalization!AP19/'Ratio (data)'!AO20</f>
        <v>5.18613768505334</v>
      </c>
      <c r="AP20" s="63" t="n">
        <f aca="false">Capitalization!AQ19/'Ratio (data)'!AP20</f>
        <v>5.19750440120031</v>
      </c>
      <c r="AQ20" s="65" t="n">
        <f aca="false">Capitalization!AR19/'Ratio (data)'!AQ20</f>
        <v>5.08451517508726</v>
      </c>
    </row>
    <row r="21" customFormat="false" ht="12.8" hidden="false" customHeight="false" outlineLevel="0" collapsed="false">
      <c r="A21" s="139" t="s">
        <v>192</v>
      </c>
      <c r="B21" s="65" t="n">
        <f aca="false">Capitalization!C20/'Ratio (data)'!B21</f>
        <v>0.208541525104574</v>
      </c>
      <c r="C21" s="65" t="n">
        <f aca="false">Capitalization!D20/'Ratio (data)'!C21</f>
        <v>0.208537631571497</v>
      </c>
      <c r="D21" s="63" t="n">
        <f aca="false">Capitalization!E20/'Ratio (data)'!D21</f>
        <v>0.208537631571497</v>
      </c>
      <c r="E21" s="65" t="n">
        <f aca="false">Capitalization!F20/'Ratio (data)'!E21</f>
        <v>0.208537631571497</v>
      </c>
      <c r="F21" s="63" t="n">
        <f aca="false">Capitalization!G20/'Ratio (data)'!F21</f>
        <v>0.208537631571497</v>
      </c>
      <c r="G21" s="65" t="n">
        <f aca="false">Capitalization!H20/'Ratio (data)'!F21</f>
        <v>0.20247150703848</v>
      </c>
      <c r="H21" s="63" t="n">
        <f aca="false">Capitalization!I20/'Ratio (data)'!H21</f>
        <v>0.190932393662906</v>
      </c>
      <c r="I21" s="66" t="n">
        <f aca="false">Capitalization!J20/'Ratio (data)'!I21</f>
        <v>0.194335149193532</v>
      </c>
      <c r="J21" s="67" t="n">
        <f aca="false">Capitalization!K20/'Ratio (data)'!J21</f>
        <v>0.194335149193532</v>
      </c>
      <c r="K21" s="65" t="n">
        <f aca="false">Capitalization!L20/'Ratio (data)'!K21</f>
        <v>0.194384300106752</v>
      </c>
      <c r="L21" s="63" t="n">
        <f aca="false">Capitalization!M20/'Ratio (data)'!L21</f>
        <v>0.194372957588317</v>
      </c>
      <c r="M21" s="65" t="n">
        <f aca="false">Capitalization!N20/'Ratio (data)'!M21</f>
        <v>0.194372957588317</v>
      </c>
      <c r="N21" s="65" t="n">
        <f aca="false">Capitalization!O20/'Ratio (data)'!N21</f>
        <v>0.194372957588317</v>
      </c>
      <c r="O21" s="63" t="n">
        <f aca="false">Capitalization!P20/'Ratio (data)'!O21</f>
        <v>0.194372957588317</v>
      </c>
      <c r="P21" s="68" t="n">
        <f aca="false">Capitalization!Q20/'Ratio (data)'!P21</f>
        <v>0.204728937701142</v>
      </c>
      <c r="Q21" s="67" t="n">
        <f aca="false">Capitalization!R20/'Ratio (data)'!Q21</f>
        <v>0.20453597923017</v>
      </c>
      <c r="R21" s="63" t="n">
        <f aca="false">Capitalization!S20/'Ratio (data)'!R21</f>
        <v>0.208395148649607</v>
      </c>
      <c r="S21" s="65" t="n">
        <f aca="false">Capitalization!T20/'Ratio (data)'!S21</f>
        <v>0.208395148649607</v>
      </c>
      <c r="T21" s="63" t="n">
        <f aca="false">Capitalization!U20/'Ratio (data)'!T21</f>
        <v>0.214183902778763</v>
      </c>
      <c r="U21" s="63" t="n">
        <f aca="false">Capitalization!V20/'Ratio (data)'!U21</f>
        <v>0.305537097779072</v>
      </c>
      <c r="V21" s="65" t="n">
        <f aca="false">Capitalization!W20/'Ratio (data)'!V21</f>
        <v>0.318937847681663</v>
      </c>
      <c r="W21" s="65" t="n">
        <f aca="false">Capitalization!X20/'Ratio (data)'!W21</f>
        <v>0.318937847681663</v>
      </c>
      <c r="X21" s="66" t="n">
        <f aca="false">Capitalization!Y20/'Ratio (data)'!X21</f>
        <v>0.318937847681663</v>
      </c>
      <c r="Y21" s="67" t="n">
        <f aca="false">Capitalization!Z20/'Ratio (data)'!Y21</f>
        <v>0.320813952668026</v>
      </c>
      <c r="Z21" s="63" t="n">
        <f aca="false">Capitalization!AA20/'Ratio (data)'!Z21</f>
        <v>0.332767421581137</v>
      </c>
      <c r="AA21" s="65" t="n">
        <f aca="false">Capitalization!AB20/'Ratio (data)'!AA21</f>
        <v>0.332767421581137</v>
      </c>
      <c r="AB21" s="63" t="n">
        <f aca="false">Capitalization!AC20/'Ratio (data)'!AB21</f>
        <v>0.353779797428399</v>
      </c>
      <c r="AC21" s="68" t="n">
        <f aca="false">Capitalization!AD20/'Ratio (data)'!AC21</f>
        <v>0.303855237467527</v>
      </c>
      <c r="AD21" s="67" t="n">
        <f aca="false">Capitalization!AE20/'Ratio (data)'!AD21</f>
        <v>0.272572013433907</v>
      </c>
      <c r="AE21" s="63" t="n">
        <f aca="false">Capitalization!AF20/'Ratio (data)'!AE21</f>
        <v>0.272572013433907</v>
      </c>
      <c r="AF21" s="65" t="n">
        <f aca="false">Capitalization!AG20/'Ratio (data)'!AF21</f>
        <v>0.277040407096758</v>
      </c>
      <c r="AG21" s="63" t="n">
        <f aca="false">Capitalization!AH20/'Ratio (data)'!AG21</f>
        <v>0.265869422939631</v>
      </c>
      <c r="AH21" s="63" t="n">
        <f aca="false">Capitalization!AI20/'Ratio (data)'!AH21</f>
        <v>0.254235366516237</v>
      </c>
      <c r="AI21" s="66" t="n">
        <f aca="false">Capitalization!AJ20/'Ratio (data)'!AI21</f>
        <v>0.351915771084952</v>
      </c>
      <c r="AJ21" s="67" t="n">
        <f aca="false">Capitalization!AK20/'Ratio (data)'!AJ21</f>
        <v>0.351915771084952</v>
      </c>
      <c r="AK21" s="63" t="n">
        <f aca="false">Capitalization!AL20/'Ratio (data)'!AK21</f>
        <v>0.359049198877214</v>
      </c>
      <c r="AL21" s="65" t="n">
        <f aca="false">Capitalization!AM20/'Ratio (data)'!AL21</f>
        <v>0.359049198877214</v>
      </c>
      <c r="AM21" s="63" t="n">
        <f aca="false">Capitalization!AN20/'Ratio (data)'!AM21</f>
        <v>0.366658188522294</v>
      </c>
      <c r="AN21" s="68" t="n">
        <f aca="false">Capitalization!AO20/'Ratio (data)'!AN21</f>
        <v>0.388452870209452</v>
      </c>
      <c r="AO21" s="67" t="n">
        <f aca="false">Capitalization!AP20/'Ratio (data)'!AO21</f>
        <v>0.347051972200287</v>
      </c>
      <c r="AP21" s="63" t="n">
        <f aca="false">Capitalization!AQ20/'Ratio (data)'!AP21</f>
        <v>0.321139354585229</v>
      </c>
      <c r="AQ21" s="65" t="n">
        <f aca="false">Capitalization!AR20/'Ratio (data)'!AQ21</f>
        <v>0.312295662760494</v>
      </c>
    </row>
    <row r="22" customFormat="false" ht="12.8" hidden="false" customHeight="false" outlineLevel="0" collapsed="false">
      <c r="A22" s="139" t="s">
        <v>193</v>
      </c>
      <c r="B22" s="65" t="n">
        <f aca="false">Capitalization!C21/'Ratio (data)'!B22</f>
        <v>0.848158271358581</v>
      </c>
      <c r="C22" s="65" t="n">
        <f aca="false">Capitalization!D21/'Ratio (data)'!C22</f>
        <v>0.848158271358581</v>
      </c>
      <c r="D22" s="63" t="n">
        <f aca="false">Capitalization!E21/'Ratio (data)'!D22</f>
        <v>0.848158271358581</v>
      </c>
      <c r="E22" s="65" t="n">
        <f aca="false">Capitalization!F21/'Ratio (data)'!E22</f>
        <v>0.848158271358581</v>
      </c>
      <c r="F22" s="63" t="n">
        <f aca="false">Capitalization!G21/'Ratio (data)'!F22</f>
        <v>0.848158271358581</v>
      </c>
      <c r="G22" s="65" t="n">
        <f aca="false">Capitalization!H21/'Ratio (data)'!F22</f>
        <v>0.874309818058804</v>
      </c>
      <c r="H22" s="63" t="n">
        <f aca="false">Capitalization!I21/'Ratio (data)'!H22</f>
        <v>1.00059812622248</v>
      </c>
      <c r="I22" s="66" t="n">
        <f aca="false">Capitalization!J21/'Ratio (data)'!I22</f>
        <v>1.00059812622248</v>
      </c>
      <c r="J22" s="67" t="n">
        <f aca="false">Capitalization!K21/'Ratio (data)'!J22</f>
        <v>1.00059812622248</v>
      </c>
      <c r="K22" s="65" t="n">
        <f aca="false">Capitalization!L21/'Ratio (data)'!K22</f>
        <v>1.00059812622248</v>
      </c>
      <c r="L22" s="63" t="n">
        <f aca="false">Capitalization!M21/'Ratio (data)'!L22</f>
        <v>1.00059812622248</v>
      </c>
      <c r="M22" s="65" t="n">
        <f aca="false">Capitalization!N21/'Ratio (data)'!M22</f>
        <v>1.00059812622248</v>
      </c>
      <c r="N22" s="65" t="n">
        <f aca="false">Capitalization!O21/'Ratio (data)'!N22</f>
        <v>1.00059812622248</v>
      </c>
      <c r="O22" s="63" t="n">
        <f aca="false">Capitalization!P21/'Ratio (data)'!O22</f>
        <v>1.00059812622248</v>
      </c>
      <c r="P22" s="68" t="n">
        <f aca="false">Capitalization!Q21/'Ratio (data)'!P22</f>
        <v>1.08018339014582</v>
      </c>
      <c r="Q22" s="67" t="n">
        <f aca="false">Capitalization!R21/'Ratio (data)'!Q22</f>
        <v>1.04872173800565</v>
      </c>
      <c r="R22" s="63" t="n">
        <f aca="false">Capitalization!S21/'Ratio (data)'!R22</f>
        <v>1.04872173800565</v>
      </c>
      <c r="S22" s="65" t="n">
        <f aca="false">Capitalization!T21/'Ratio (data)'!S22</f>
        <v>1.04872173800565</v>
      </c>
      <c r="T22" s="63" t="n">
        <f aca="false">Capitalization!U21/'Ratio (data)'!T22</f>
        <v>1.04872173800565</v>
      </c>
      <c r="U22" s="63" t="n">
        <f aca="false">Capitalization!V21/'Ratio (data)'!U22</f>
        <v>1.04416999170569</v>
      </c>
      <c r="V22" s="65" t="n">
        <f aca="false">Capitalization!W21/'Ratio (data)'!V22</f>
        <v>1.04416999170569</v>
      </c>
      <c r="W22" s="65" t="n">
        <f aca="false">Capitalization!X21/'Ratio (data)'!W22</f>
        <v>1.04416999170569</v>
      </c>
      <c r="X22" s="66" t="n">
        <f aca="false">Capitalization!Y21/'Ratio (data)'!X22</f>
        <v>1.04416999170569</v>
      </c>
      <c r="Y22" s="67" t="n">
        <f aca="false">Capitalization!Z21/'Ratio (data)'!Y22</f>
        <v>1.04416999170569</v>
      </c>
      <c r="Z22" s="63" t="n">
        <f aca="false">Capitalization!AA21/'Ratio (data)'!Z22</f>
        <v>1.1641895309822</v>
      </c>
      <c r="AA22" s="65" t="n">
        <f aca="false">Capitalization!AB21/'Ratio (data)'!AA22</f>
        <v>1.1641895309822</v>
      </c>
      <c r="AB22" s="63" t="n">
        <f aca="false">Capitalization!AC21/'Ratio (data)'!AB22</f>
        <v>1.1641895309822</v>
      </c>
      <c r="AC22" s="68" t="n">
        <f aca="false">Capitalization!AD21/'Ratio (data)'!AC22</f>
        <v>1.09356521505288</v>
      </c>
      <c r="AD22" s="67" t="n">
        <f aca="false">Capitalization!AE21/'Ratio (data)'!AD22</f>
        <v>1.09356521505288</v>
      </c>
      <c r="AE22" s="63" t="n">
        <f aca="false">Capitalization!AF21/'Ratio (data)'!AE22</f>
        <v>1.43178126094552</v>
      </c>
      <c r="AF22" s="65" t="n">
        <f aca="false">Capitalization!AG21/'Ratio (data)'!AF22</f>
        <v>1.43178126094552</v>
      </c>
      <c r="AG22" s="63" t="n">
        <f aca="false">Capitalization!AH21/'Ratio (data)'!AG22</f>
        <v>1.43178126094552</v>
      </c>
      <c r="AH22" s="63" t="n">
        <f aca="false">Capitalization!AI21/'Ratio (data)'!AH22</f>
        <v>1.38056760329362</v>
      </c>
      <c r="AI22" s="66" t="n">
        <f aca="false">Capitalization!AJ21/'Ratio (data)'!AI22</f>
        <v>1.38056760329362</v>
      </c>
      <c r="AJ22" s="67" t="n">
        <f aca="false">Capitalization!AK21/'Ratio (data)'!AJ22</f>
        <v>1.29694751829704</v>
      </c>
      <c r="AK22" s="63" t="n">
        <f aca="false">Capitalization!AL21/'Ratio (data)'!AK22</f>
        <v>1.29694751829704</v>
      </c>
      <c r="AL22" s="65" t="n">
        <f aca="false">Capitalization!AM21/'Ratio (data)'!AL22</f>
        <v>1.29694751829704</v>
      </c>
      <c r="AM22" s="63" t="n">
        <f aca="false">Capitalization!AN21/'Ratio (data)'!AM22</f>
        <v>1.25430127494878</v>
      </c>
      <c r="AN22" s="68" t="n">
        <f aca="false">Capitalization!AO21/'Ratio (data)'!AN22</f>
        <v>1.31201615310373</v>
      </c>
      <c r="AO22" s="67" t="n">
        <f aca="false">Capitalization!AP21/'Ratio (data)'!AO22</f>
        <v>1.35575002487385</v>
      </c>
      <c r="AP22" s="63" t="n">
        <f aca="false">Capitalization!AQ21/'Ratio (data)'!AP22</f>
        <v>1.35575002487385</v>
      </c>
      <c r="AQ22" s="65" t="n">
        <f aca="false">Capitalization!AR21/'Ratio (data)'!AQ22</f>
        <v>1.35662470230925</v>
      </c>
    </row>
    <row r="23" customFormat="false" ht="12.8" hidden="false" customHeight="false" outlineLevel="0" collapsed="false">
      <c r="A23" s="139" t="s">
        <v>194</v>
      </c>
      <c r="B23" s="65" t="n">
        <f aca="false">Capitalization!C22/'Ratio (data)'!B23</f>
        <v>0.901804498299098</v>
      </c>
      <c r="C23" s="65" t="n">
        <f aca="false">Capitalization!D22/'Ratio (data)'!C23</f>
        <v>0.901804498299098</v>
      </c>
      <c r="D23" s="63" t="n">
        <f aca="false">Capitalization!E22/'Ratio (data)'!D23</f>
        <v>0.901804498299098</v>
      </c>
      <c r="E23" s="65" t="n">
        <f aca="false">Capitalization!F22/'Ratio (data)'!E23</f>
        <v>0.901804498299098</v>
      </c>
      <c r="F23" s="63" t="n">
        <f aca="false">Capitalization!G22/'Ratio (data)'!F23</f>
        <v>0.962167387180583</v>
      </c>
      <c r="G23" s="65" t="n">
        <f aca="false">Capitalization!H22/'Ratio (data)'!F23</f>
        <v>0.962167387180583</v>
      </c>
      <c r="H23" s="63" t="n">
        <f aca="false">Capitalization!I22/'Ratio (data)'!H23</f>
        <v>0.962167387180583</v>
      </c>
      <c r="I23" s="66" t="n">
        <f aca="false">Capitalization!J22/'Ratio (data)'!I23</f>
        <v>0.907195071183208</v>
      </c>
      <c r="J23" s="67" t="n">
        <f aca="false">Capitalization!K22/'Ratio (data)'!J23</f>
        <v>0.907195071183208</v>
      </c>
      <c r="K23" s="65" t="n">
        <f aca="false">Capitalization!L22/'Ratio (data)'!K23</f>
        <v>0.880771913770105</v>
      </c>
      <c r="L23" s="63" t="n">
        <f aca="false">Capitalization!M22/'Ratio (data)'!L23</f>
        <v>0.880771913770105</v>
      </c>
      <c r="M23" s="65" t="n">
        <f aca="false">Capitalization!N22/'Ratio (data)'!M23</f>
        <v>0.880771913770105</v>
      </c>
      <c r="N23" s="65" t="n">
        <f aca="false">Capitalization!O22/'Ratio (data)'!N23</f>
        <v>0.880771913770105</v>
      </c>
      <c r="O23" s="63" t="n">
        <f aca="false">Capitalization!P22/'Ratio (data)'!O23</f>
        <v>0.880771913770105</v>
      </c>
      <c r="P23" s="68" t="n">
        <f aca="false">Capitalization!Q22/'Ratio (data)'!P23</f>
        <v>0.881649870564961</v>
      </c>
      <c r="Q23" s="67" t="n">
        <f aca="false">Capitalization!R22/'Ratio (data)'!Q23</f>
        <v>0.881649870564961</v>
      </c>
      <c r="R23" s="63" t="n">
        <f aca="false">Capitalization!S22/'Ratio (data)'!R23</f>
        <v>0.881649870564961</v>
      </c>
      <c r="S23" s="65" t="n">
        <f aca="false">Capitalization!T22/'Ratio (data)'!S23</f>
        <v>0.881649870564961</v>
      </c>
      <c r="T23" s="63" t="n">
        <f aca="false">Capitalization!U22/'Ratio (data)'!T23</f>
        <v>0.881649870564961</v>
      </c>
      <c r="U23" s="63" t="n">
        <f aca="false">Capitalization!V22/'Ratio (data)'!U23</f>
        <v>0.924942629953763</v>
      </c>
      <c r="V23" s="65" t="n">
        <f aca="false">Capitalization!W22/'Ratio (data)'!V23</f>
        <v>0.924942629953763</v>
      </c>
      <c r="W23" s="65" t="n">
        <f aca="false">Capitalization!X22/'Ratio (data)'!W23</f>
        <v>0.924942629953763</v>
      </c>
      <c r="X23" s="66" t="n">
        <f aca="false">Capitalization!Y22/'Ratio (data)'!X23</f>
        <v>0.924942629953763</v>
      </c>
      <c r="Y23" s="67" t="n">
        <f aca="false">Capitalization!Z22/'Ratio (data)'!Y23</f>
        <v>0.924942629953763</v>
      </c>
      <c r="Z23" s="63" t="n">
        <f aca="false">Capitalization!AA22/'Ratio (data)'!Z23</f>
        <v>0.924942629953763</v>
      </c>
      <c r="AA23" s="65" t="n">
        <f aca="false">Capitalization!AB22/'Ratio (data)'!AA23</f>
        <v>0.924942629953763</v>
      </c>
      <c r="AB23" s="63" t="n">
        <f aca="false">Capitalization!AC22/'Ratio (data)'!AB23</f>
        <v>1.05283986947496</v>
      </c>
      <c r="AC23" s="68" t="n">
        <f aca="false">Capitalization!AD22/'Ratio (data)'!AC23</f>
        <v>1.09692560984662</v>
      </c>
      <c r="AD23" s="67" t="n">
        <f aca="false">Capitalization!AE22/'Ratio (data)'!AD23</f>
        <v>1.09692560984662</v>
      </c>
      <c r="AE23" s="63" t="n">
        <f aca="false">Capitalization!AF22/'Ratio (data)'!AE23</f>
        <v>1.00022601806675</v>
      </c>
      <c r="AF23" s="65" t="n">
        <f aca="false">Capitalization!AG22/'Ratio (data)'!AF23</f>
        <v>1.00022601806675</v>
      </c>
      <c r="AG23" s="63" t="n">
        <f aca="false">Capitalization!AH22/'Ratio (data)'!AG23</f>
        <v>1.00022601806675</v>
      </c>
      <c r="AH23" s="63" t="n">
        <f aca="false">Capitalization!AI22/'Ratio (data)'!AH23</f>
        <v>0.988023650129832</v>
      </c>
      <c r="AI23" s="66" t="n">
        <f aca="false">Capitalization!AJ22/'Ratio (data)'!AI23</f>
        <v>0.988023650129832</v>
      </c>
      <c r="AJ23" s="67" t="n">
        <f aca="false">Capitalization!AK22/'Ratio (data)'!AJ23</f>
        <v>0.988023650129832</v>
      </c>
      <c r="AK23" s="63" t="n">
        <f aca="false">Capitalization!AL22/'Ratio (data)'!AK23</f>
        <v>0.988023650129832</v>
      </c>
      <c r="AL23" s="65" t="n">
        <f aca="false">Capitalization!AM22/'Ratio (data)'!AL23</f>
        <v>0.988023650129832</v>
      </c>
      <c r="AM23" s="63" t="n">
        <f aca="false">Capitalization!AN22/'Ratio (data)'!AM23</f>
        <v>0.988023650129832</v>
      </c>
      <c r="AN23" s="68" t="n">
        <f aca="false">Capitalization!AO22/'Ratio (data)'!AN23</f>
        <v>1.08309172201383</v>
      </c>
      <c r="AO23" s="67" t="n">
        <f aca="false">Capitalization!AP22/'Ratio (data)'!AO23</f>
        <v>1.17880680442435</v>
      </c>
      <c r="AP23" s="63" t="n">
        <f aca="false">Capitalization!AQ22/'Ratio (data)'!AP23</f>
        <v>1.17880680442435</v>
      </c>
      <c r="AQ23" s="65" t="n">
        <f aca="false">Capitalization!AR22/'Ratio (data)'!AQ23</f>
        <v>1.17880680442435</v>
      </c>
    </row>
    <row r="24" customFormat="false" ht="12.8" hidden="false" customHeight="false" outlineLevel="0" collapsed="false">
      <c r="A24" s="139" t="s">
        <v>195</v>
      </c>
      <c r="B24" s="65" t="n">
        <f aca="false">Capitalization!C23/'Ratio (data)'!B24</f>
        <v>0.238994652620676</v>
      </c>
      <c r="C24" s="65" t="n">
        <f aca="false">Capitalization!D23/'Ratio (data)'!C24</f>
        <v>0.236513984518149</v>
      </c>
      <c r="D24" s="63" t="n">
        <f aca="false">Capitalization!E23/'Ratio (data)'!D24</f>
        <v>0.236513984518149</v>
      </c>
      <c r="E24" s="65" t="n">
        <f aca="false">Capitalization!F23/'Ratio (data)'!E24</f>
        <v>0.236254105002646</v>
      </c>
      <c r="F24" s="63" t="n">
        <f aca="false">Capitalization!G23/'Ratio (data)'!F24</f>
        <v>0.25985589009241</v>
      </c>
      <c r="G24" s="65" t="n">
        <f aca="false">Capitalization!H23/'Ratio (data)'!F24</f>
        <v>0.236490359107648</v>
      </c>
      <c r="H24" s="63" t="n">
        <f aca="false">Capitalization!I23/'Ratio (data)'!H24</f>
        <v>0.210107105470997</v>
      </c>
      <c r="I24" s="66" t="n">
        <f aca="false">Capitalization!J23/'Ratio (data)'!I24</f>
        <v>0.210149126892091</v>
      </c>
      <c r="J24" s="67" t="n">
        <f aca="false">Capitalization!K23/'Ratio (data)'!J24</f>
        <v>0.224814602853966</v>
      </c>
      <c r="K24" s="65" t="n">
        <f aca="false">Capitalization!L23/'Ratio (data)'!K24</f>
        <v>0.227966209436031</v>
      </c>
      <c r="L24" s="63" t="n">
        <f aca="false">Capitalization!M23/'Ratio (data)'!L24</f>
        <v>0.227966209436031</v>
      </c>
      <c r="M24" s="65" t="n">
        <f aca="false">Capitalization!N23/'Ratio (data)'!M24</f>
        <v>0.227966209436031</v>
      </c>
      <c r="N24" s="65" t="n">
        <f aca="false">Capitalization!O23/'Ratio (data)'!N24</f>
        <v>0.227966209436031</v>
      </c>
      <c r="O24" s="63" t="n">
        <f aca="false">Capitalization!P23/'Ratio (data)'!O24</f>
        <v>0.231117816018096</v>
      </c>
      <c r="P24" s="68" t="n">
        <f aca="false">Capitalization!Q23/'Ratio (data)'!P24</f>
        <v>0.298822343629457</v>
      </c>
      <c r="Q24" s="67" t="n">
        <f aca="false">Capitalization!R23/'Ratio (data)'!Q24</f>
        <v>0.331421144752671</v>
      </c>
      <c r="R24" s="63" t="n">
        <f aca="false">Capitalization!S23/'Ratio (data)'!R24</f>
        <v>0.331421144752671</v>
      </c>
      <c r="S24" s="65" t="n">
        <f aca="false">Capitalization!T23/'Ratio (data)'!S24</f>
        <v>0.331421144752671</v>
      </c>
      <c r="T24" s="63" t="n">
        <f aca="false">Capitalization!U23/'Ratio (data)'!T24</f>
        <v>0.331421144752671</v>
      </c>
      <c r="U24" s="63" t="n">
        <f aca="false">Capitalization!V23/'Ratio (data)'!U24</f>
        <v>0.396449872261931</v>
      </c>
      <c r="V24" s="65" t="n">
        <f aca="false">Capitalization!W23/'Ratio (data)'!V24</f>
        <v>0.396449872261931</v>
      </c>
      <c r="W24" s="65" t="n">
        <f aca="false">Capitalization!X23/'Ratio (data)'!W24</f>
        <v>0.396449872261931</v>
      </c>
      <c r="X24" s="66" t="n">
        <f aca="false">Capitalization!Y23/'Ratio (data)'!X24</f>
        <v>0.396449872261931</v>
      </c>
      <c r="Y24" s="67" t="n">
        <f aca="false">Capitalization!Z23/'Ratio (data)'!Y24</f>
        <v>0.396449872261931</v>
      </c>
      <c r="Z24" s="63" t="n">
        <f aca="false">Capitalization!AA23/'Ratio (data)'!Z24</f>
        <v>0.440565117307045</v>
      </c>
      <c r="AA24" s="65" t="n">
        <f aca="false">Capitalization!AB23/'Ratio (data)'!AA24</f>
        <v>0.440565117307045</v>
      </c>
      <c r="AB24" s="63" t="n">
        <f aca="false">Capitalization!AC23/'Ratio (data)'!AB24</f>
        <v>0.440499858068812</v>
      </c>
      <c r="AC24" s="68" t="n">
        <f aca="false">Capitalization!AD23/'Ratio (data)'!AC24</f>
        <v>0.441338202374273</v>
      </c>
      <c r="AD24" s="67" t="n">
        <f aca="false">Capitalization!AE23/'Ratio (data)'!AD24</f>
        <v>0.441338202374273</v>
      </c>
      <c r="AE24" s="63" t="n">
        <f aca="false">Capitalization!AF23/'Ratio (data)'!AE24</f>
        <v>0.473090360824497</v>
      </c>
      <c r="AF24" s="65" t="n">
        <f aca="false">Capitalization!AG23/'Ratio (data)'!AF24</f>
        <v>0.473090360824497</v>
      </c>
      <c r="AG24" s="63" t="n">
        <f aca="false">Capitalization!AH23/'Ratio (data)'!AG24</f>
        <v>0.473090360824497</v>
      </c>
      <c r="AH24" s="63" t="n">
        <f aca="false">Capitalization!AI23/'Ratio (data)'!AH24</f>
        <v>0.503925211846332</v>
      </c>
      <c r="AI24" s="66" t="n">
        <f aca="false">Capitalization!AJ23/'Ratio (data)'!AI24</f>
        <v>0.503996792132106</v>
      </c>
      <c r="AJ24" s="67" t="n">
        <f aca="false">Capitalization!AK23/'Ratio (data)'!AJ24</f>
        <v>0.467634006959103</v>
      </c>
      <c r="AK24" s="63" t="n">
        <f aca="false">Capitalization!AL23/'Ratio (data)'!AK24</f>
        <v>0.427334306068551</v>
      </c>
      <c r="AL24" s="65" t="n">
        <f aca="false">Capitalization!AM23/'Ratio (data)'!AL24</f>
        <v>0.396483202900118</v>
      </c>
      <c r="AM24" s="63" t="n">
        <f aca="false">Capitalization!AN23/'Ratio (data)'!AM24</f>
        <v>0.384744036033243</v>
      </c>
      <c r="AN24" s="68" t="n">
        <f aca="false">Capitalization!AO23/'Ratio (data)'!AN24</f>
        <v>0.518845517476093</v>
      </c>
      <c r="AO24" s="67" t="n">
        <f aca="false">Capitalization!AP23/'Ratio (data)'!AO24</f>
        <v>0.454043989544125</v>
      </c>
      <c r="AP24" s="63" t="n">
        <f aca="false">Capitalization!AQ23/'Ratio (data)'!AP24</f>
        <v>0.442393194774781</v>
      </c>
      <c r="AQ24" s="65" t="n">
        <f aca="false">Capitalization!AR23/'Ratio (data)'!AQ24</f>
        <v>0.422076519598488</v>
      </c>
    </row>
    <row r="25" customFormat="false" ht="12.8" hidden="false" customHeight="false" outlineLevel="0" collapsed="false">
      <c r="A25" s="139" t="s">
        <v>196</v>
      </c>
      <c r="B25" s="65" t="n">
        <f aca="false">Capitalization!C24/'Ratio (data)'!B25</f>
        <v>0.508712318918285</v>
      </c>
      <c r="C25" s="65" t="n">
        <f aca="false">Capitalization!D24/'Ratio (data)'!C25</f>
        <v>0.510973262557922</v>
      </c>
      <c r="D25" s="63" t="n">
        <f aca="false">Capitalization!E24/'Ratio (data)'!D25</f>
        <v>0.510973262557922</v>
      </c>
      <c r="E25" s="65" t="n">
        <f aca="false">Capitalization!F24/'Ratio (data)'!E25</f>
        <v>0.411887419637135</v>
      </c>
      <c r="F25" s="63" t="n">
        <f aca="false">Capitalization!G24/'Ratio (data)'!F25</f>
        <v>0.411887419637135</v>
      </c>
      <c r="G25" s="65" t="n">
        <f aca="false">Capitalization!H24/'Ratio (data)'!F25</f>
        <v>0.411887419637135</v>
      </c>
      <c r="H25" s="63" t="n">
        <f aca="false">Capitalization!I24/'Ratio (data)'!H25</f>
        <v>0.410520536607366</v>
      </c>
      <c r="I25" s="66" t="n">
        <f aca="false">Capitalization!J24/'Ratio (data)'!I25</f>
        <v>0.410064908930776</v>
      </c>
      <c r="J25" s="67" t="n">
        <f aca="false">Capitalization!K24/'Ratio (data)'!J25</f>
        <v>0.410064908930776</v>
      </c>
      <c r="K25" s="65" t="n">
        <f aca="false">Capitalization!L24/'Ratio (data)'!K25</f>
        <v>0.410064908930776</v>
      </c>
      <c r="L25" s="63" t="n">
        <f aca="false">Capitalization!M24/'Ratio (data)'!L25</f>
        <v>0.410064908930776</v>
      </c>
      <c r="M25" s="65" t="n">
        <f aca="false">Capitalization!N24/'Ratio (data)'!M25</f>
        <v>0.410064908930776</v>
      </c>
      <c r="N25" s="65" t="n">
        <f aca="false">Capitalization!O24/'Ratio (data)'!N25</f>
        <v>0.410064908930776</v>
      </c>
      <c r="O25" s="63" t="n">
        <f aca="false">Capitalization!P24/'Ratio (data)'!O25</f>
        <v>0.410064908930776</v>
      </c>
      <c r="P25" s="68" t="n">
        <f aca="false">Capitalization!Q24/'Ratio (data)'!P25</f>
        <v>0.523846688703646</v>
      </c>
      <c r="Q25" s="67" t="n">
        <f aca="false">Capitalization!R24/'Ratio (data)'!Q25</f>
        <v>0.496428515298775</v>
      </c>
      <c r="R25" s="63" t="n">
        <f aca="false">Capitalization!S24/'Ratio (data)'!R25</f>
        <v>0.507743951942055</v>
      </c>
      <c r="S25" s="65" t="n">
        <f aca="false">Capitalization!T24/'Ratio (data)'!S25</f>
        <v>0.507743951942055</v>
      </c>
      <c r="T25" s="63" t="n">
        <f aca="false">Capitalization!U24/'Ratio (data)'!T25</f>
        <v>0.522250921997542</v>
      </c>
      <c r="U25" s="63" t="n">
        <f aca="false">Capitalization!V24/'Ratio (data)'!U25</f>
        <v>0.47002815640068</v>
      </c>
      <c r="V25" s="65" t="n">
        <f aca="false">Capitalization!W24/'Ratio (data)'!V25</f>
        <v>0.47002815640068</v>
      </c>
      <c r="W25" s="65" t="n">
        <f aca="false">Capitalization!X24/'Ratio (data)'!W25</f>
        <v>0.47002815640068</v>
      </c>
      <c r="X25" s="66" t="n">
        <f aca="false">Capitalization!Y24/'Ratio (data)'!X25</f>
        <v>0.47002815640068</v>
      </c>
      <c r="Y25" s="67" t="n">
        <f aca="false">Capitalization!Z24/'Ratio (data)'!Y25</f>
        <v>0.47002815640068</v>
      </c>
      <c r="Z25" s="63" t="n">
        <f aca="false">Capitalization!AA24/'Ratio (data)'!Z25</f>
        <v>0.4702893557096</v>
      </c>
      <c r="AA25" s="65" t="n">
        <f aca="false">Capitalization!AB24/'Ratio (data)'!AA25</f>
        <v>0.4702893557096</v>
      </c>
      <c r="AB25" s="63" t="n">
        <f aca="false">Capitalization!AC24/'Ratio (data)'!AB25</f>
        <v>0.477994735322726</v>
      </c>
      <c r="AC25" s="68" t="n">
        <f aca="false">Capitalization!AD24/'Ratio (data)'!AC25</f>
        <v>0.488335299789308</v>
      </c>
      <c r="AD25" s="67" t="n">
        <f aca="false">Capitalization!AE24/'Ratio (data)'!AD25</f>
        <v>0.362295524193836</v>
      </c>
      <c r="AE25" s="63" t="n">
        <f aca="false">Capitalization!AF24/'Ratio (data)'!AE25</f>
        <v>0.319939320001428</v>
      </c>
      <c r="AF25" s="65" t="n">
        <f aca="false">Capitalization!AG24/'Ratio (data)'!AF25</f>
        <v>0.301888785725339</v>
      </c>
      <c r="AG25" s="63" t="n">
        <f aca="false">Capitalization!AH24/'Ratio (data)'!AG25</f>
        <v>0.301888785725339</v>
      </c>
      <c r="AH25" s="63" t="n">
        <f aca="false">Capitalization!AI24/'Ratio (data)'!AH25</f>
        <v>0.262776026269282</v>
      </c>
      <c r="AI25" s="66" t="n">
        <f aca="false">Capitalization!AJ24/'Ratio (data)'!AI25</f>
        <v>0.262776026269282</v>
      </c>
      <c r="AJ25" s="67" t="n">
        <f aca="false">Capitalization!AK24/'Ratio (data)'!AJ25</f>
        <v>0.133200261591671</v>
      </c>
      <c r="AK25" s="63" t="n">
        <f aca="false">Capitalization!AL24/'Ratio (data)'!AK25</f>
        <v>0.149057435590679</v>
      </c>
      <c r="AL25" s="65" t="n">
        <f aca="false">Capitalization!AM24/'Ratio (data)'!AL25</f>
        <v>0.167723594698083</v>
      </c>
      <c r="AM25" s="63" t="n">
        <f aca="false">Capitalization!AN24/'Ratio (data)'!AM25</f>
        <v>0.21293919370097</v>
      </c>
      <c r="AN25" s="68" t="n">
        <f aca="false">Capitalization!AO24/'Ratio (data)'!AN25</f>
        <v>0.169108396684287</v>
      </c>
      <c r="AO25" s="67" t="n">
        <f aca="false">Capitalization!AP24/'Ratio (data)'!AO25</f>
        <v>0.169108396684287</v>
      </c>
      <c r="AP25" s="63" t="n">
        <f aca="false">Capitalization!AQ24/'Ratio (data)'!AP25</f>
        <v>0.20530478967671</v>
      </c>
      <c r="AQ25" s="65" t="n">
        <f aca="false">Capitalization!AR24/'Ratio (data)'!AQ25</f>
        <v>0.20530478967671</v>
      </c>
    </row>
    <row r="26" customFormat="false" ht="12.8" hidden="false" customHeight="false" outlineLevel="0" collapsed="false">
      <c r="A26" s="139" t="s">
        <v>197</v>
      </c>
      <c r="B26" s="65" t="n">
        <f aca="false">Capitalization!C25/'Ratio (data)'!B26</f>
        <v>0.94242230584144</v>
      </c>
      <c r="C26" s="65" t="n">
        <f aca="false">Capitalization!D25/'Ratio (data)'!C26</f>
        <v>0.858829561823913</v>
      </c>
      <c r="D26" s="63" t="n">
        <f aca="false">Capitalization!E25/'Ratio (data)'!D26</f>
        <v>0.858829561823913</v>
      </c>
      <c r="E26" s="65" t="n">
        <f aca="false">Capitalization!F25/'Ratio (data)'!E26</f>
        <v>0.858829561823913</v>
      </c>
      <c r="F26" s="63" t="n">
        <f aca="false">Capitalization!G25/'Ratio (data)'!F26</f>
        <v>0.916084865945507</v>
      </c>
      <c r="G26" s="65" t="n">
        <f aca="false">Capitalization!H25/'Ratio (data)'!F26</f>
        <v>0.68706364945913</v>
      </c>
      <c r="H26" s="63" t="n">
        <f aca="false">Capitalization!I25/'Ratio (data)'!H26</f>
        <v>0.835977684285347</v>
      </c>
      <c r="I26" s="66" t="n">
        <f aca="false">Capitalization!J25/'Ratio (data)'!I26</f>
        <v>0.835977684285347</v>
      </c>
      <c r="J26" s="67" t="n">
        <f aca="false">Capitalization!K25/'Ratio (data)'!J26</f>
        <v>0.696648070237789</v>
      </c>
      <c r="K26" s="65" t="n">
        <f aca="false">Capitalization!L25/'Ratio (data)'!K26</f>
        <v>0.696648070237789</v>
      </c>
      <c r="L26" s="63" t="n">
        <f aca="false">Capitalization!M25/'Ratio (data)'!L26</f>
        <v>0.602600580755688</v>
      </c>
      <c r="M26" s="65" t="n">
        <f aca="false">Capitalization!N25/'Ratio (data)'!M26</f>
        <v>0.602600580755688</v>
      </c>
      <c r="N26" s="65" t="n">
        <f aca="false">Capitalization!O25/'Ratio (data)'!N26</f>
        <v>0.602600580755688</v>
      </c>
      <c r="O26" s="63" t="n">
        <f aca="false">Capitalization!P25/'Ratio (data)'!O26</f>
        <v>0.502979906711684</v>
      </c>
      <c r="P26" s="68" t="n">
        <f aca="false">Capitalization!Q25/'Ratio (data)'!P26</f>
        <v>0.500609796808552</v>
      </c>
      <c r="Q26" s="67" t="n">
        <f aca="false">Capitalization!R25/'Ratio (data)'!Q26</f>
        <v>0.582426910414381</v>
      </c>
      <c r="R26" s="63" t="n">
        <f aca="false">Capitalization!S25/'Ratio (data)'!R26</f>
        <v>0.565092776175858</v>
      </c>
      <c r="S26" s="65" t="n">
        <f aca="false">Capitalization!T25/'Ratio (data)'!S26</f>
        <v>0.565092776175858</v>
      </c>
      <c r="T26" s="63" t="n">
        <f aca="false">Capitalization!U25/'Ratio (data)'!T26</f>
        <v>0.558159122480449</v>
      </c>
      <c r="U26" s="63" t="n">
        <f aca="false">Capitalization!V25/'Ratio (data)'!U26</f>
        <v>0.584620099913073</v>
      </c>
      <c r="V26" s="65" t="n">
        <f aca="false">Capitalization!W25/'Ratio (data)'!V26</f>
        <v>0.576927730177375</v>
      </c>
      <c r="W26" s="65" t="n">
        <f aca="false">Capitalization!X25/'Ratio (data)'!W26</f>
        <v>0.576927730177375</v>
      </c>
      <c r="X26" s="66" t="n">
        <f aca="false">Capitalization!Y25/'Ratio (data)'!X26</f>
        <v>0.563081464653118</v>
      </c>
      <c r="Y26" s="67" t="n">
        <f aca="false">Capitalization!Z25/'Ratio (data)'!Y26</f>
        <v>0.538465881498883</v>
      </c>
      <c r="Z26" s="63" t="n">
        <f aca="false">Capitalization!AA25/'Ratio (data)'!Z26</f>
        <v>0.538465881498883</v>
      </c>
      <c r="AA26" s="65" t="n">
        <f aca="false">Capitalization!AB25/'Ratio (data)'!AA26</f>
        <v>0.501542506767531</v>
      </c>
      <c r="AB26" s="63" t="n">
        <f aca="false">Capitalization!AC25/'Ratio (data)'!AB26</f>
        <v>0.50846563952966</v>
      </c>
      <c r="AC26" s="68" t="n">
        <f aca="false">Capitalization!AD25/'Ratio (data)'!AC26</f>
        <v>0.692307698923151</v>
      </c>
      <c r="AD26" s="67" t="n">
        <f aca="false">Capitalization!AE25/'Ratio (data)'!AD26</f>
        <v>0.626769236758426</v>
      </c>
      <c r="AE26" s="63" t="n">
        <f aca="false">Capitalization!AF25/'Ratio (data)'!AE26</f>
        <v>0.570461543912676</v>
      </c>
      <c r="AF26" s="65" t="n">
        <f aca="false">Capitalization!AG25/'Ratio (data)'!AF26</f>
        <v>0.570461543912676</v>
      </c>
      <c r="AG26" s="63" t="n">
        <f aca="false">Capitalization!AH25/'Ratio (data)'!AG26</f>
        <v>0.570461543912676</v>
      </c>
      <c r="AH26" s="63" t="n">
        <f aca="false">Capitalization!AI25/'Ratio (data)'!AH26</f>
        <v>0.59265185736519</v>
      </c>
      <c r="AI26" s="66" t="n">
        <f aca="false">Capitalization!AJ25/'Ratio (data)'!AI26</f>
        <v>0.59265185736519</v>
      </c>
      <c r="AJ26" s="67" t="n">
        <f aca="false">Capitalization!AK25/'Ratio (data)'!AJ26</f>
        <v>0.59265185736519</v>
      </c>
      <c r="AK26" s="63" t="n">
        <f aca="false">Capitalization!AL25/'Ratio (data)'!AK26</f>
        <v>0.59265185736519</v>
      </c>
      <c r="AL26" s="65" t="n">
        <f aca="false">Capitalization!AM25/'Ratio (data)'!AL26</f>
        <v>0.609713047198431</v>
      </c>
      <c r="AM26" s="63" t="n">
        <f aca="false">Capitalization!AN25/'Ratio (data)'!AM26</f>
        <v>0.609713047198431</v>
      </c>
      <c r="AN26" s="68" t="n">
        <f aca="false">Capitalization!AO25/'Ratio (data)'!AN26</f>
        <v>0.627247693715534</v>
      </c>
      <c r="AO26" s="67" t="n">
        <f aca="false">Capitalization!AP25/'Ratio (data)'!AO26</f>
        <v>0.599107782709482</v>
      </c>
      <c r="AP26" s="63" t="n">
        <f aca="false">Capitalization!AQ25/'Ratio (data)'!AP26</f>
        <v>0.508333876238349</v>
      </c>
      <c r="AQ26" s="65" t="n">
        <f aca="false">Capitalization!AR25/'Ratio (data)'!AQ26</f>
        <v>0.521042223144307</v>
      </c>
    </row>
    <row r="27" customFormat="false" ht="12.8" hidden="false" customHeight="false" outlineLevel="0" collapsed="false">
      <c r="A27" s="139" t="s">
        <v>198</v>
      </c>
      <c r="B27" s="65" t="n">
        <f aca="false">Capitalization!C26/'Ratio (data)'!B27</f>
        <v>10.8995309192931</v>
      </c>
      <c r="C27" s="65" t="n">
        <f aca="false">Capitalization!D26/'Ratio (data)'!C27</f>
        <v>10.8995309192931</v>
      </c>
      <c r="D27" s="63" t="n">
        <f aca="false">Capitalization!E26/'Ratio (data)'!D27</f>
        <v>10.8995309192931</v>
      </c>
      <c r="E27" s="65" t="n">
        <f aca="false">Capitalization!F26/'Ratio (data)'!E27</f>
        <v>10.8995309192931</v>
      </c>
      <c r="F27" s="63" t="n">
        <f aca="false">Capitalization!G26/'Ratio (data)'!F27</f>
        <v>10.8995309192931</v>
      </c>
      <c r="G27" s="65" t="n">
        <f aca="false">Capitalization!H26/'Ratio (data)'!F27</f>
        <v>10.8995309192931</v>
      </c>
      <c r="H27" s="63" t="n">
        <f aca="false">Capitalization!I26/'Ratio (data)'!H27</f>
        <v>11.3895280874707</v>
      </c>
      <c r="I27" s="66" t="n">
        <f aca="false">Capitalization!J26/'Ratio (data)'!I27</f>
        <v>11.3895280874707</v>
      </c>
      <c r="J27" s="67" t="n">
        <f aca="false">Capitalization!K26/'Ratio (data)'!J27</f>
        <v>7.97266966122947</v>
      </c>
      <c r="K27" s="65" t="n">
        <f aca="false">Capitalization!L26/'Ratio (data)'!K27</f>
        <v>11.3895280874707</v>
      </c>
      <c r="L27" s="63" t="n">
        <f aca="false">Capitalization!M26/'Ratio (data)'!L27</f>
        <v>11.3895280874707</v>
      </c>
      <c r="M27" s="65" t="n">
        <f aca="false">Capitalization!N26/'Ratio (data)'!M27</f>
        <v>11.3895280874707</v>
      </c>
      <c r="N27" s="65" t="n">
        <f aca="false">Capitalization!O26/'Ratio (data)'!N27</f>
        <v>11.3895280874707</v>
      </c>
      <c r="O27" s="63" t="n">
        <f aca="false">Capitalization!P26/'Ratio (data)'!O27</f>
        <v>11.3895280874707</v>
      </c>
      <c r="P27" s="68" t="n">
        <f aca="false">Capitalization!Q26/'Ratio (data)'!P27</f>
        <v>9.20513249534645</v>
      </c>
      <c r="Q27" s="67" t="n">
        <f aca="false">Capitalization!R26/'Ratio (data)'!Q27</f>
        <v>9.20513249534645</v>
      </c>
      <c r="R27" s="63" t="n">
        <f aca="false">Capitalization!S26/'Ratio (data)'!R27</f>
        <v>9.20513249534645</v>
      </c>
      <c r="S27" s="65" t="n">
        <f aca="false">Capitalization!T26/'Ratio (data)'!S27</f>
        <v>9.20513249534645</v>
      </c>
      <c r="T27" s="63" t="n">
        <f aca="false">Capitalization!U26/'Ratio (data)'!T27</f>
        <v>9.42430231666423</v>
      </c>
      <c r="U27" s="63" t="n">
        <f aca="false">Capitalization!V26/'Ratio (data)'!U27</f>
        <v>13.6156813569224</v>
      </c>
      <c r="V27" s="65" t="n">
        <f aca="false">Capitalization!W26/'Ratio (data)'!V27</f>
        <v>13.6156813569224</v>
      </c>
      <c r="W27" s="65" t="n">
        <f aca="false">Capitalization!X26/'Ratio (data)'!W27</f>
        <v>13.6156813569224</v>
      </c>
      <c r="X27" s="66" t="n">
        <f aca="false">Capitalization!Y26/'Ratio (data)'!X27</f>
        <v>13.6156813569224</v>
      </c>
      <c r="Y27" s="67" t="n">
        <f aca="false">Capitalization!Z26/'Ratio (data)'!Y27</f>
        <v>12.6657500994627</v>
      </c>
      <c r="Z27" s="63" t="n">
        <f aca="false">Capitalization!AA26/'Ratio (data)'!Z27</f>
        <v>12.6657500994627</v>
      </c>
      <c r="AA27" s="65" t="n">
        <f aca="false">Capitalization!AB26/'Ratio (data)'!AA27</f>
        <v>12.6720829745124</v>
      </c>
      <c r="AB27" s="63" t="n">
        <f aca="false">Capitalization!AC26/'Ratio (data)'!AB27</f>
        <v>12.6720829745124</v>
      </c>
      <c r="AC27" s="68" t="n">
        <f aca="false">Capitalization!AD26/'Ratio (data)'!AC27</f>
        <v>14.0549292647472</v>
      </c>
      <c r="AD27" s="67" t="n">
        <f aca="false">Capitalization!AE26/'Ratio (data)'!AD27</f>
        <v>13.3455100464866</v>
      </c>
      <c r="AE27" s="63" t="n">
        <f aca="false">Capitalization!AF26/'Ratio (data)'!AE27</f>
        <v>12.650138733538</v>
      </c>
      <c r="AF27" s="65" t="n">
        <f aca="false">Capitalization!AG26/'Ratio (data)'!AF27</f>
        <v>12.650138733538</v>
      </c>
      <c r="AG27" s="63" t="n">
        <f aca="false">Capitalization!AH26/'Ratio (data)'!AG27</f>
        <v>12.650138733538</v>
      </c>
      <c r="AH27" s="63" t="n">
        <f aca="false">Capitalization!AI26/'Ratio (data)'!AH27</f>
        <v>14.7050597477309</v>
      </c>
      <c r="AI27" s="66" t="n">
        <f aca="false">Capitalization!AJ26/'Ratio (data)'!AI27</f>
        <v>14.7050597477309</v>
      </c>
      <c r="AJ27" s="67" t="n">
        <f aca="false">Capitalization!AK26/'Ratio (data)'!AJ27</f>
        <v>14.7050597477309</v>
      </c>
      <c r="AK27" s="63" t="n">
        <f aca="false">Capitalization!AL26/'Ratio (data)'!AK27</f>
        <v>14.7050597477309</v>
      </c>
      <c r="AL27" s="65" t="n">
        <f aca="false">Capitalization!AM26/'Ratio (data)'!AL27</f>
        <v>14.7050597477309</v>
      </c>
      <c r="AM27" s="63" t="n">
        <f aca="false">Capitalization!AN26/'Ratio (data)'!AM27</f>
        <v>14.7050597477309</v>
      </c>
      <c r="AN27" s="68" t="n">
        <f aca="false">Capitalization!AO26/'Ratio (data)'!AN27</f>
        <v>1.82251931529108</v>
      </c>
      <c r="AO27" s="67" t="n">
        <f aca="false">Capitalization!AP26/'Ratio (data)'!AO27</f>
        <v>1.82251931529108</v>
      </c>
      <c r="AP27" s="63" t="n">
        <f aca="false">Capitalization!AQ26/'Ratio (data)'!AP27</f>
        <v>1.72031251304544</v>
      </c>
      <c r="AQ27" s="65" t="n">
        <f aca="false">Capitalization!AR26/'Ratio (data)'!AQ27</f>
        <v>1.72031251304544</v>
      </c>
    </row>
    <row r="28" customFormat="false" ht="12.8" hidden="false" customHeight="false" outlineLevel="0" collapsed="false">
      <c r="A28" s="139" t="s">
        <v>28</v>
      </c>
      <c r="B28" s="65" t="n">
        <f aca="false">Capitalization!C27/'Ratio (data)'!B28</f>
        <v>1.64284913350196</v>
      </c>
      <c r="C28" s="65" t="n">
        <f aca="false">Capitalization!D27/'Ratio (data)'!C28</f>
        <v>1.64284913350196</v>
      </c>
      <c r="D28" s="63" t="n">
        <f aca="false">Capitalization!E27/'Ratio (data)'!D28</f>
        <v>1.64284913350196</v>
      </c>
      <c r="E28" s="65" t="n">
        <f aca="false">Capitalization!F27/'Ratio (data)'!E28</f>
        <v>1.64284913350196</v>
      </c>
      <c r="F28" s="63" t="n">
        <f aca="false">Capitalization!G27/'Ratio (data)'!F28</f>
        <v>1.64284913350196</v>
      </c>
      <c r="G28" s="65" t="n">
        <f aca="false">Capitalization!H27/'Ratio (data)'!F28</f>
        <v>1.64284913350196</v>
      </c>
      <c r="H28" s="63" t="n">
        <f aca="false">Capitalization!I27/'Ratio (data)'!H28</f>
        <v>1.85057779889043</v>
      </c>
      <c r="I28" s="66" t="n">
        <f aca="false">Capitalization!J27/'Ratio (data)'!I28</f>
        <v>1.7966774746509</v>
      </c>
      <c r="J28" s="67" t="n">
        <f aca="false">Capitalization!K27/'Ratio (data)'!J28</f>
        <v>1.7966774746509</v>
      </c>
      <c r="K28" s="65" t="n">
        <f aca="false">Capitalization!L27/'Ratio (data)'!K28</f>
        <v>1.7966774746509</v>
      </c>
      <c r="L28" s="63" t="n">
        <f aca="false">Capitalization!M27/'Ratio (data)'!L28</f>
        <v>1.7966774746509</v>
      </c>
      <c r="M28" s="65" t="n">
        <f aca="false">Capitalization!N27/'Ratio (data)'!M28</f>
        <v>1.7966774746509</v>
      </c>
      <c r="N28" s="65" t="n">
        <f aca="false">Capitalization!O27/'Ratio (data)'!N28</f>
        <v>1.16784035852308</v>
      </c>
      <c r="O28" s="63" t="n">
        <f aca="false">Capitalization!P27/'Ratio (data)'!O28</f>
        <v>1.16784035852308</v>
      </c>
      <c r="P28" s="68" t="n">
        <f aca="false">Capitalization!Q27/'Ratio (data)'!P28</f>
        <v>3.08298021420707</v>
      </c>
      <c r="Q28" s="67" t="n">
        <f aca="false">Capitalization!R27/'Ratio (data)'!Q28</f>
        <v>3.08298021420707</v>
      </c>
      <c r="R28" s="63" t="n">
        <f aca="false">Capitalization!S27/'Ratio (data)'!R28</f>
        <v>3.08298021420707</v>
      </c>
      <c r="S28" s="65" t="n">
        <f aca="false">Capitalization!T27/'Ratio (data)'!S28</f>
        <v>3.08298021420707</v>
      </c>
      <c r="T28" s="63" t="n">
        <f aca="false">Capitalization!U27/'Ratio (data)'!T28</f>
        <v>3.08298021420707</v>
      </c>
      <c r="U28" s="63" t="n">
        <f aca="false">Capitalization!V27/'Ratio (data)'!U28</f>
        <v>5.3705570656562</v>
      </c>
      <c r="V28" s="65" t="n">
        <f aca="false">Capitalization!W27/'Ratio (data)'!V28</f>
        <v>5.3705570656562</v>
      </c>
      <c r="W28" s="65" t="n">
        <f aca="false">Capitalization!X27/'Ratio (data)'!W28</f>
        <v>5.3705570656562</v>
      </c>
      <c r="X28" s="66" t="n">
        <f aca="false">Capitalization!Y27/'Ratio (data)'!X28</f>
        <v>5.3705570656562</v>
      </c>
      <c r="Y28" s="67" t="n">
        <f aca="false">Capitalization!Z27/'Ratio (data)'!Y28</f>
        <v>5.3705570656562</v>
      </c>
      <c r="Z28" s="63" t="n">
        <f aca="false">Capitalization!AA27/'Ratio (data)'!Z28</f>
        <v>4.35921839744821</v>
      </c>
      <c r="AA28" s="65" t="n">
        <f aca="false">Capitalization!AB27/'Ratio (data)'!AA28</f>
        <v>4.35921839744821</v>
      </c>
      <c r="AB28" s="63" t="n">
        <f aca="false">Capitalization!AC27/'Ratio (data)'!AB28</f>
        <v>4.35921839744821</v>
      </c>
      <c r="AC28" s="68" t="n">
        <f aca="false">Capitalization!AD27/'Ratio (data)'!AC28</f>
        <v>1.23290620221148</v>
      </c>
      <c r="AD28" s="67" t="n">
        <f aca="false">Capitalization!AE27/'Ratio (data)'!AD28</f>
        <v>1.23290620221148</v>
      </c>
      <c r="AE28" s="63" t="n">
        <f aca="false">Capitalization!AF27/'Ratio (data)'!AE28</f>
        <v>1.43510281937417</v>
      </c>
      <c r="AF28" s="65" t="n">
        <f aca="false">Capitalization!AG27/'Ratio (data)'!AF28</f>
        <v>1.47948744265378</v>
      </c>
      <c r="AG28" s="63" t="n">
        <f aca="false">Capitalization!AH27/'Ratio (data)'!AG28</f>
        <v>1.5781199388307</v>
      </c>
      <c r="AH28" s="63" t="n">
        <f aca="false">Capitalization!AI27/'Ratio (data)'!AH28</f>
        <v>1.69660910964882</v>
      </c>
      <c r="AI28" s="66" t="n">
        <f aca="false">Capitalization!AJ27/'Ratio (data)'!AI28</f>
        <v>1.69660910964882</v>
      </c>
      <c r="AJ28" s="67" t="n">
        <f aca="false">Capitalization!AK27/'Ratio (data)'!AJ28</f>
        <v>1.5063351908097</v>
      </c>
      <c r="AK28" s="63" t="n">
        <f aca="false">Capitalization!AL27/'Ratio (data)'!AK28</f>
        <v>1.5591890571539</v>
      </c>
      <c r="AL28" s="65" t="n">
        <f aca="false">Capitalization!AM27/'Ratio (data)'!AL28</f>
        <v>1.56447444378832</v>
      </c>
      <c r="AM28" s="63" t="n">
        <f aca="false">Capitalization!AN27/'Ratio (data)'!AM28</f>
        <v>1.99259076117634</v>
      </c>
      <c r="AN28" s="68" t="n">
        <f aca="false">Capitalization!AO27/'Ratio (data)'!AN28</f>
        <v>2.48360736785198</v>
      </c>
      <c r="AO28" s="67" t="n">
        <f aca="false">Capitalization!AP27/'Ratio (data)'!AO28</f>
        <v>2.29845411934888</v>
      </c>
      <c r="AP28" s="63" t="n">
        <f aca="false">Capitalization!AQ27/'Ratio (data)'!AP28</f>
        <v>2.23460817158919</v>
      </c>
      <c r="AQ28" s="65" t="n">
        <f aca="false">Capitalization!AR27/'Ratio (data)'!AQ28</f>
        <v>1.94730140667058</v>
      </c>
    </row>
    <row r="29" customFormat="false" ht="12.8" hidden="false" customHeight="false" outlineLevel="0" collapsed="false">
      <c r="A29" s="139" t="s">
        <v>199</v>
      </c>
      <c r="B29" s="65" t="n">
        <f aca="false">Capitalization!C28/'Ratio (data)'!B29</f>
        <v>0.244443410018222</v>
      </c>
      <c r="C29" s="65" t="n">
        <f aca="false">Capitalization!D28/'Ratio (data)'!C29</f>
        <v>0.244443410018222</v>
      </c>
      <c r="D29" s="63" t="n">
        <f aca="false">Capitalization!E28/'Ratio (data)'!D29</f>
        <v>0.244443410018222</v>
      </c>
      <c r="E29" s="65" t="n">
        <f aca="false">Capitalization!F28/'Ratio (data)'!E29</f>
        <v>0.211160214753811</v>
      </c>
      <c r="F29" s="63" t="n">
        <f aca="false">Capitalization!G28/'Ratio (data)'!F29</f>
        <v>0.211160214753811</v>
      </c>
      <c r="G29" s="65" t="n">
        <f aca="false">Capitalization!H28/'Ratio (data)'!F29</f>
        <v>0.211160214753811</v>
      </c>
      <c r="H29" s="63" t="n">
        <f aca="false">Capitalization!I28/'Ratio (data)'!H29</f>
        <v>0.234252756814283</v>
      </c>
      <c r="I29" s="66" t="n">
        <f aca="false">Capitalization!J28/'Ratio (data)'!I29</f>
        <v>0.234252756814283</v>
      </c>
      <c r="J29" s="67" t="n">
        <f aca="false">Capitalization!K28/'Ratio (data)'!J29</f>
        <v>0.234252756814283</v>
      </c>
      <c r="K29" s="65" t="n">
        <f aca="false">Capitalization!L28/'Ratio (data)'!K29</f>
        <v>0.234252756814283</v>
      </c>
      <c r="L29" s="63" t="n">
        <f aca="false">Capitalization!M28/'Ratio (data)'!L29</f>
        <v>0.234252756814283</v>
      </c>
      <c r="M29" s="65" t="n">
        <f aca="false">Capitalization!N28/'Ratio (data)'!M29</f>
        <v>0.234252756814283</v>
      </c>
      <c r="N29" s="65" t="n">
        <f aca="false">Capitalization!O28/'Ratio (data)'!N29</f>
        <v>0.234252756814283</v>
      </c>
      <c r="O29" s="63" t="n">
        <f aca="false">Capitalization!P28/'Ratio (data)'!O29</f>
        <v>0.234252756814283</v>
      </c>
      <c r="P29" s="68" t="n">
        <f aca="false">Capitalization!Q28/'Ratio (data)'!P29</f>
        <v>0.295849487441996</v>
      </c>
      <c r="Q29" s="67" t="n">
        <f aca="false">Capitalization!R28/'Ratio (data)'!Q29</f>
        <v>0.295849487441996</v>
      </c>
      <c r="R29" s="63" t="n">
        <f aca="false">Capitalization!S28/'Ratio (data)'!R29</f>
        <v>0.295849487441996</v>
      </c>
      <c r="S29" s="65" t="n">
        <f aca="false">Capitalization!T28/'Ratio (data)'!S29</f>
        <v>0.295849487441996</v>
      </c>
      <c r="T29" s="63" t="n">
        <f aca="false">Capitalization!U28/'Ratio (data)'!T29</f>
        <v>0.295849487441996</v>
      </c>
      <c r="U29" s="63" t="n">
        <f aca="false">Capitalization!V28/'Ratio (data)'!U29</f>
        <v>0.352887089777662</v>
      </c>
      <c r="V29" s="65" t="n">
        <f aca="false">Capitalization!W28/'Ratio (data)'!V29</f>
        <v>0.352887089777662</v>
      </c>
      <c r="W29" s="65" t="n">
        <f aca="false">Capitalization!X28/'Ratio (data)'!W29</f>
        <v>0.352887089777662</v>
      </c>
      <c r="X29" s="66" t="n">
        <f aca="false">Capitalization!Y28/'Ratio (data)'!X29</f>
        <v>0.352887089777662</v>
      </c>
      <c r="Y29" s="67" t="n">
        <f aca="false">Capitalization!Z28/'Ratio (data)'!Y29</f>
        <v>0.352887089777662</v>
      </c>
      <c r="Z29" s="63" t="n">
        <f aca="false">Capitalization!AA28/'Ratio (data)'!Z29</f>
        <v>0.279132553328955</v>
      </c>
      <c r="AA29" s="65" t="n">
        <f aca="false">Capitalization!AB28/'Ratio (data)'!AA29</f>
        <v>0.279132553328955</v>
      </c>
      <c r="AB29" s="63" t="n">
        <f aca="false">Capitalization!AC28/'Ratio (data)'!AB29</f>
        <v>0.279132553328955</v>
      </c>
      <c r="AC29" s="68" t="n">
        <f aca="false">Capitalization!AD28/'Ratio (data)'!AC29</f>
        <v>0.292986289078363</v>
      </c>
      <c r="AD29" s="67" t="n">
        <f aca="false">Capitalization!AE28/'Ratio (data)'!AD29</f>
        <v>0.292986289078363</v>
      </c>
      <c r="AE29" s="63" t="n">
        <f aca="false">Capitalization!AF28/'Ratio (data)'!AE29</f>
        <v>0.24058223737329</v>
      </c>
      <c r="AF29" s="65" t="n">
        <f aca="false">Capitalization!AG28/'Ratio (data)'!AF29</f>
        <v>0.24058223737329</v>
      </c>
      <c r="AG29" s="63" t="n">
        <f aca="false">Capitalization!AH28/'Ratio (data)'!AG29</f>
        <v>0.191001479161579</v>
      </c>
      <c r="AH29" s="63" t="n">
        <f aca="false">Capitalization!AI28/'Ratio (data)'!AH29</f>
        <v>0.191001479161579</v>
      </c>
      <c r="AI29" s="66" t="n">
        <f aca="false">Capitalization!AJ28/'Ratio (data)'!AI29</f>
        <v>0.191001479161579</v>
      </c>
      <c r="AJ29" s="67" t="n">
        <f aca="false">Capitalization!AK28/'Ratio (data)'!AJ29</f>
        <v>0.191001479161579</v>
      </c>
      <c r="AK29" s="63" t="n">
        <f aca="false">Capitalization!AL28/'Ratio (data)'!AK29</f>
        <v>0.191001479161579</v>
      </c>
      <c r="AL29" s="65" t="n">
        <f aca="false">Capitalization!AM28/'Ratio (data)'!AL29</f>
        <v>0.191001479161579</v>
      </c>
      <c r="AM29" s="63" t="n">
        <f aca="false">Capitalization!AN28/'Ratio (data)'!AM29</f>
        <v>0.191001479161579</v>
      </c>
      <c r="AN29" s="68" t="n">
        <f aca="false">Capitalization!AO28/'Ratio (data)'!AN29</f>
        <v>0.278740915824096</v>
      </c>
      <c r="AO29" s="67" t="n">
        <f aca="false">Capitalization!AP28/'Ratio (data)'!AO29</f>
        <v>0.278740915824096</v>
      </c>
      <c r="AP29" s="63" t="n">
        <f aca="false">Capitalization!AQ28/'Ratio (data)'!AP29</f>
        <v>0.278740915824096</v>
      </c>
      <c r="AQ29" s="65" t="n">
        <f aca="false">Capitalization!AR28/'Ratio (data)'!AQ29</f>
        <v>0.278740915824096</v>
      </c>
    </row>
    <row r="30" customFormat="false" ht="12.8" hidden="false" customHeight="false" outlineLevel="0" collapsed="false">
      <c r="A30" s="139" t="s">
        <v>200</v>
      </c>
      <c r="B30" s="65" t="n">
        <f aca="false">Capitalization!C29/'Ratio (data)'!B30</f>
        <v>3.7431365618004</v>
      </c>
      <c r="C30" s="65" t="n">
        <f aca="false">Capitalization!D29/'Ratio (data)'!C30</f>
        <v>3.7431365618004</v>
      </c>
      <c r="D30" s="63" t="n">
        <f aca="false">Capitalization!E29/'Ratio (data)'!D30</f>
        <v>3.7431365618004</v>
      </c>
      <c r="E30" s="65" t="n">
        <f aca="false">Capitalization!F29/'Ratio (data)'!E30</f>
        <v>3.7431365618004</v>
      </c>
      <c r="F30" s="63" t="n">
        <f aca="false">Capitalization!G29/'Ratio (data)'!F30</f>
        <v>3.7431365618004</v>
      </c>
      <c r="G30" s="65" t="n">
        <f aca="false">Capitalization!H29/'Ratio (data)'!F30</f>
        <v>3.7431365618004</v>
      </c>
      <c r="H30" s="63" t="n">
        <f aca="false">Capitalization!I29/'Ratio (data)'!H30</f>
        <v>2.75689640209968</v>
      </c>
      <c r="I30" s="66" t="n">
        <f aca="false">Capitalization!J29/'Ratio (data)'!I30</f>
        <v>2.61368100458801</v>
      </c>
      <c r="J30" s="67" t="n">
        <f aca="false">Capitalization!K29/'Ratio (data)'!J30</f>
        <v>2.62561562104732</v>
      </c>
      <c r="K30" s="65" t="n">
        <f aca="false">Capitalization!L29/'Ratio (data)'!K30</f>
        <v>2.45853099061703</v>
      </c>
      <c r="L30" s="63" t="n">
        <f aca="false">Capitalization!M29/'Ratio (data)'!L30</f>
        <v>2.45853099061703</v>
      </c>
      <c r="M30" s="65" t="n">
        <f aca="false">Capitalization!N29/'Ratio (data)'!M30</f>
        <v>2.45853099061703</v>
      </c>
      <c r="N30" s="65" t="n">
        <f aca="false">Capitalization!O29/'Ratio (data)'!N30</f>
        <v>2.45853099061703</v>
      </c>
      <c r="O30" s="63" t="n">
        <f aca="false">Capitalization!P29/'Ratio (data)'!O30</f>
        <v>2.27951174372744</v>
      </c>
      <c r="P30" s="68" t="n">
        <f aca="false">Capitalization!Q29/'Ratio (data)'!P30</f>
        <v>1.82161793286782</v>
      </c>
      <c r="Q30" s="67" t="n">
        <f aca="false">Capitalization!R29/'Ratio (data)'!Q30</f>
        <v>1.86832608499264</v>
      </c>
      <c r="R30" s="63" t="n">
        <f aca="false">Capitalization!S29/'Ratio (data)'!R30</f>
        <v>1.86832608499264</v>
      </c>
      <c r="S30" s="65" t="n">
        <f aca="false">Capitalization!T29/'Ratio (data)'!S30</f>
        <v>1.90569260669249</v>
      </c>
      <c r="T30" s="63" t="n">
        <f aca="false">Capitalization!U29/'Ratio (data)'!T30</f>
        <v>1.774909780743</v>
      </c>
      <c r="U30" s="63" t="n">
        <f aca="false">Capitalization!V29/'Ratio (data)'!U30</f>
        <v>1.33962602432409</v>
      </c>
      <c r="V30" s="65" t="n">
        <f aca="false">Capitalization!W29/'Ratio (data)'!V30</f>
        <v>1.33962602432409</v>
      </c>
      <c r="W30" s="65" t="n">
        <f aca="false">Capitalization!X29/'Ratio (data)'!W30</f>
        <v>1.33962602432409</v>
      </c>
      <c r="X30" s="66" t="n">
        <f aca="false">Capitalization!Y29/'Ratio (data)'!X30</f>
        <v>1.51341534639857</v>
      </c>
      <c r="Y30" s="67" t="n">
        <f aca="false">Capitalization!Z29/'Ratio (data)'!Y30</f>
        <v>1.18031914575582</v>
      </c>
      <c r="Z30" s="63" t="n">
        <f aca="false">Capitalization!AA29/'Ratio (data)'!Z30</f>
        <v>1.38307335484271</v>
      </c>
      <c r="AA30" s="65" t="n">
        <f aca="false">Capitalization!AB29/'Ratio (data)'!AA30</f>
        <v>1.8103054382758</v>
      </c>
      <c r="AB30" s="63" t="n">
        <f aca="false">Capitalization!AC29/'Ratio (data)'!AB30</f>
        <v>1.8103054382758</v>
      </c>
      <c r="AC30" s="68" t="n">
        <f aca="false">Capitalization!AD29/'Ratio (data)'!AC30</f>
        <v>2.58975371679442</v>
      </c>
      <c r="AD30" s="67" t="n">
        <f aca="false">Capitalization!AE29/'Ratio (data)'!AD30</f>
        <v>1.97857183963093</v>
      </c>
      <c r="AE30" s="63" t="n">
        <f aca="false">Capitalization!AF29/'Ratio (data)'!AE30</f>
        <v>1.97857183963093</v>
      </c>
      <c r="AF30" s="65" t="n">
        <f aca="false">Capitalization!AG29/'Ratio (data)'!AF30</f>
        <v>1.97857183963093</v>
      </c>
      <c r="AG30" s="63" t="n">
        <f aca="false">Capitalization!AH29/'Ratio (data)'!AG30</f>
        <v>2.07180297343553</v>
      </c>
      <c r="AH30" s="63" t="n">
        <f aca="false">Capitalization!AI29/'Ratio (data)'!AH30</f>
        <v>1.94308070652049</v>
      </c>
      <c r="AI30" s="66" t="n">
        <f aca="false">Capitalization!AJ29/'Ratio (data)'!AI30</f>
        <v>1.94308070652049</v>
      </c>
      <c r="AJ30" s="67" t="n">
        <f aca="false">Capitalization!AK29/'Ratio (data)'!AJ30</f>
        <v>2.28311983016158</v>
      </c>
      <c r="AK30" s="63" t="n">
        <f aca="false">Capitalization!AL29/'Ratio (data)'!AK30</f>
        <v>1.94308070652049</v>
      </c>
      <c r="AL30" s="65" t="n">
        <f aca="false">Capitalization!AM29/'Ratio (data)'!AL30</f>
        <v>1.94308070652049</v>
      </c>
      <c r="AM30" s="63" t="n">
        <f aca="false">Capitalization!AN29/'Ratio (data)'!AM30</f>
        <v>1.99165772418351</v>
      </c>
      <c r="AN30" s="68" t="n">
        <f aca="false">Capitalization!AO29/'Ratio (data)'!AN30</f>
        <v>1.83471762274409</v>
      </c>
      <c r="AO30" s="67" t="n">
        <f aca="false">Capitalization!AP29/'Ratio (data)'!AO30</f>
        <v>1.39995041356303</v>
      </c>
      <c r="AP30" s="63" t="n">
        <f aca="false">Capitalization!AQ29/'Ratio (data)'!AP30</f>
        <v>2.06949191570187</v>
      </c>
      <c r="AQ30" s="65" t="n">
        <f aca="false">Capitalization!AR29/'Ratio (data)'!AQ30</f>
        <v>1.9999291622329</v>
      </c>
    </row>
    <row r="31" customFormat="false" ht="12.8" hidden="false" customHeight="false" outlineLevel="0" collapsed="false">
      <c r="A31" s="1" t="s">
        <v>101</v>
      </c>
      <c r="B31" s="203" t="s">
        <v>44</v>
      </c>
      <c r="C31" s="44" t="s">
        <v>231</v>
      </c>
      <c r="D31" s="23" t="s">
        <v>42</v>
      </c>
      <c r="E31" s="28" t="s">
        <v>41</v>
      </c>
      <c r="F31" s="23" t="s">
        <v>40</v>
      </c>
      <c r="G31" s="28" t="s">
        <v>38</v>
      </c>
      <c r="H31" s="23" t="s">
        <v>37</v>
      </c>
      <c r="I31" s="45" t="s">
        <v>36</v>
      </c>
      <c r="J31" s="46" t="s">
        <v>35</v>
      </c>
      <c r="K31" s="24" t="s">
        <v>34</v>
      </c>
      <c r="L31" s="23" t="s">
        <v>33</v>
      </c>
      <c r="M31" s="19" t="s">
        <v>32</v>
      </c>
      <c r="N31" s="19" t="s">
        <v>50</v>
      </c>
      <c r="O31" s="23" t="s">
        <v>51</v>
      </c>
      <c r="P31" s="47" t="s">
        <v>52</v>
      </c>
      <c r="Q31" s="46" t="s">
        <v>53</v>
      </c>
      <c r="R31" s="23" t="s">
        <v>54</v>
      </c>
      <c r="S31" s="19" t="s">
        <v>55</v>
      </c>
      <c r="T31" s="23" t="s">
        <v>56</v>
      </c>
      <c r="U31" s="23" t="s">
        <v>57</v>
      </c>
      <c r="V31" s="28" t="s">
        <v>58</v>
      </c>
      <c r="W31" s="28" t="s">
        <v>59</v>
      </c>
      <c r="X31" s="45" t="s">
        <v>60</v>
      </c>
      <c r="Y31" s="46" t="s">
        <v>61</v>
      </c>
      <c r="Z31" s="23" t="s">
        <v>62</v>
      </c>
      <c r="AA31" s="19" t="s">
        <v>63</v>
      </c>
      <c r="AB31" s="23" t="s">
        <v>64</v>
      </c>
      <c r="AC31" s="47" t="s">
        <v>65</v>
      </c>
      <c r="AD31" s="46" t="s">
        <v>66</v>
      </c>
      <c r="AE31" s="23" t="s">
        <v>67</v>
      </c>
      <c r="AF31" s="19" t="s">
        <v>68</v>
      </c>
      <c r="AG31" s="23" t="s">
        <v>69</v>
      </c>
      <c r="AH31" s="23" t="s">
        <v>70</v>
      </c>
      <c r="AI31" s="45" t="s">
        <v>71</v>
      </c>
      <c r="AJ31" s="46" t="s">
        <v>72</v>
      </c>
      <c r="AK31" s="23" t="s">
        <v>73</v>
      </c>
      <c r="AL31" s="24" t="s">
        <v>74</v>
      </c>
      <c r="AM31" s="23" t="s">
        <v>75</v>
      </c>
      <c r="AN31" s="47" t="s">
        <v>76</v>
      </c>
      <c r="AO31" s="46" t="s">
        <v>77</v>
      </c>
      <c r="AP31" s="23" t="s">
        <v>78</v>
      </c>
      <c r="AQ31" s="24" t="s">
        <v>79</v>
      </c>
    </row>
    <row r="32" customFormat="false" ht="12.8" hidden="false" customHeight="false" outlineLevel="0" collapsed="false">
      <c r="A32" s="16" t="s">
        <v>101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</row>
    <row r="33" customFormat="false" ht="12.8" hidden="false" customHeight="false" outlineLevel="0" collapsed="false">
      <c r="A33" s="139" t="s">
        <v>24</v>
      </c>
      <c r="B33" s="65" t="n">
        <f aca="false">Capitalization!C2/'Ratio (data)'!B33</f>
        <v>15.2418818406126</v>
      </c>
      <c r="C33" s="65" t="n">
        <f aca="false">Capitalization!D2/'Ratio (data)'!C33</f>
        <v>14.904428453379</v>
      </c>
      <c r="D33" s="63" t="n">
        <f aca="false">Capitalization!E2/'Ratio (data)'!D33</f>
        <v>15.4237785935662</v>
      </c>
      <c r="E33" s="65" t="n">
        <f aca="false">Capitalization!F2/'Ratio (data)'!E33</f>
        <v>14.9096952064857</v>
      </c>
      <c r="F33" s="63" t="n">
        <f aca="false">Capitalization!G2/'Ratio (data)'!F33</f>
        <v>13.7860979155381</v>
      </c>
      <c r="G33" s="65" t="n">
        <f aca="false">Capitalization!H2/'Ratio (data)'!G33</f>
        <v>11.4391272690579</v>
      </c>
      <c r="H33" s="63" t="n">
        <f aca="false">Capitalization!I2/'Ratio (data)'!H33</f>
        <v>11.4025840074537</v>
      </c>
      <c r="I33" s="66" t="n">
        <f aca="false">Capitalization!J2/'Ratio (data)'!I33</f>
        <v>17.662189104923</v>
      </c>
      <c r="J33" s="67" t="n">
        <f aca="false">Capitalization!K2/'Ratio (data)'!J33</f>
        <v>15.0383841216247</v>
      </c>
      <c r="K33" s="65" t="n">
        <f aca="false">Capitalization!L2/'Ratio (data)'!K33</f>
        <v>13.7238760167181</v>
      </c>
      <c r="L33" s="63" t="n">
        <f aca="false">Capitalization!M2/'Ratio (data)'!L33</f>
        <v>13.2032818871825</v>
      </c>
      <c r="M33" s="65" t="n">
        <f aca="false">Capitalization!N2/'Ratio (data)'!M33</f>
        <v>13.1497003309873</v>
      </c>
      <c r="N33" s="65" t="n">
        <f aca="false">Capitalization!O2/'Ratio (data)'!N33</f>
        <v>13.0145889774091</v>
      </c>
      <c r="O33" s="63" t="n">
        <f aca="false">Capitalization!P2/'Ratio (data)'!O33</f>
        <v>12.3674138387124</v>
      </c>
      <c r="P33" s="68" t="n">
        <f aca="false">Capitalization!Q2/'Ratio (data)'!P33</f>
        <v>13.1015202692122</v>
      </c>
      <c r="Q33" s="67" t="n">
        <f aca="false">Capitalization!R2/'Ratio (data)'!Q33</f>
        <v>11.5110543103559</v>
      </c>
      <c r="R33" s="63" t="n">
        <f aca="false">Capitalization!S2/'Ratio (data)'!R33</f>
        <v>10.9280823640799</v>
      </c>
      <c r="S33" s="65" t="n">
        <f aca="false">Capitalization!T2/'Ratio (data)'!S33</f>
        <v>11.234659133406</v>
      </c>
      <c r="T33" s="63" t="n">
        <f aca="false">Capitalization!U2/'Ratio (data)'!T33</f>
        <v>11.4853477156737</v>
      </c>
      <c r="U33" s="63" t="n">
        <f aca="false">Capitalization!V2/'Ratio (data)'!U33</f>
        <v>12.4277388599918</v>
      </c>
      <c r="V33" s="65" t="n">
        <f aca="false">Capitalization!W2/'Ratio (data)'!V33</f>
        <v>14.3955889703459</v>
      </c>
      <c r="W33" s="65" t="n">
        <f aca="false">Capitalization!X2/'Ratio (data)'!W33</f>
        <v>13.2504684707972</v>
      </c>
      <c r="X33" s="66" t="n">
        <f aca="false">Capitalization!Y2/'Ratio (data)'!X33</f>
        <v>14.7213392564913</v>
      </c>
      <c r="Y33" s="67" t="n">
        <f aca="false">Capitalization!Z2/'Ratio (data)'!Y33</f>
        <v>13.8944565596783</v>
      </c>
      <c r="Z33" s="63" t="n">
        <f aca="false">Capitalization!AA2/'Ratio (data)'!Z33</f>
        <v>12.1307174144349</v>
      </c>
      <c r="AA33" s="65" t="n">
        <f aca="false">Capitalization!AB2/'Ratio (data)'!AA33</f>
        <v>12.6194435630678</v>
      </c>
      <c r="AB33" s="63" t="n">
        <f aca="false">Capitalization!AC2/'Ratio (data)'!AB33</f>
        <v>10.425940599549</v>
      </c>
      <c r="AC33" s="68" t="n">
        <f aca="false">Capitalization!AD2/'Ratio (data)'!AC33</f>
        <v>9.44979173000407</v>
      </c>
      <c r="AD33" s="67" t="n">
        <f aca="false">Capitalization!AE2/'Ratio (data)'!AD33</f>
        <v>9.16995635743647</v>
      </c>
      <c r="AE33" s="63" t="n">
        <f aca="false">Capitalization!AF2/'Ratio (data)'!AE33</f>
        <v>8.68224203466605</v>
      </c>
      <c r="AF33" s="65" t="n">
        <f aca="false">Capitalization!AG2/'Ratio (data)'!AF33</f>
        <v>8.88544796102949</v>
      </c>
      <c r="AG33" s="63" t="n">
        <f aca="false">Capitalization!AH2/'Ratio (data)'!AG33</f>
        <v>7.28755041976442</v>
      </c>
      <c r="AH33" s="63" t="n">
        <f aca="false">Capitalization!AI2/'Ratio (data)'!AH33</f>
        <v>7.60498244411206</v>
      </c>
      <c r="AI33" s="66" t="n">
        <f aca="false">Capitalization!AJ2/'Ratio (data)'!AI33</f>
        <v>9.98234937042697</v>
      </c>
      <c r="AJ33" s="67" t="n">
        <f aca="false">Capitalization!AK2/'Ratio (data)'!AJ33</f>
        <v>8.38839103992397</v>
      </c>
      <c r="AK33" s="63" t="n">
        <f aca="false">Capitalization!AL2/'Ratio (data)'!AK33</f>
        <v>7.12895891767979</v>
      </c>
      <c r="AL33" s="65" t="n">
        <f aca="false">Capitalization!AM2/'Ratio (data)'!AL33</f>
        <v>6.94946905224219</v>
      </c>
      <c r="AM33" s="63" t="n">
        <f aca="false">Capitalization!AN2/'Ratio (data)'!AM33</f>
        <v>6.70875705484654</v>
      </c>
      <c r="AN33" s="68" t="n">
        <f aca="false">Capitalization!AO2/'Ratio (data)'!AN33</f>
        <v>15.2320747320177</v>
      </c>
      <c r="AO33" s="67" t="n">
        <f aca="false">Capitalization!AP2/'Ratio (data)'!AO33</f>
        <v>13.6165757562199</v>
      </c>
      <c r="AP33" s="63" t="n">
        <f aca="false">Capitalization!AQ2/'Ratio (data)'!AP33</f>
        <v>14.1724115826697</v>
      </c>
      <c r="AQ33" s="65" t="n">
        <f aca="false">Capitalization!AR2/'Ratio (data)'!AQ33</f>
        <v>13.8985917993255</v>
      </c>
    </row>
    <row r="34" customFormat="false" ht="12.8" hidden="false" customHeight="false" outlineLevel="0" collapsed="false">
      <c r="A34" s="139" t="s">
        <v>180</v>
      </c>
      <c r="B34" s="65" t="n">
        <f aca="false">Capitalization!C3/'Ratio (data)'!B34</f>
        <v>17.7049339556293</v>
      </c>
      <c r="C34" s="65" t="n">
        <f aca="false">Capitalization!D3/'Ratio (data)'!C34</f>
        <v>17.8210460882638</v>
      </c>
      <c r="D34" s="63" t="n">
        <f aca="false">Capitalization!E3/'Ratio (data)'!D34</f>
        <v>18.0667012345465</v>
      </c>
      <c r="E34" s="65" t="n">
        <f aca="false">Capitalization!F3/'Ratio (data)'!E34</f>
        <v>18.1581178762848</v>
      </c>
      <c r="F34" s="63" t="n">
        <f aca="false">Capitalization!G3/'Ratio (data)'!F34</f>
        <v>18.2040428242671</v>
      </c>
      <c r="G34" s="65" t="n">
        <f aca="false">Capitalization!H3/'Ratio (data)'!G34</f>
        <v>24.1350481709368</v>
      </c>
      <c r="H34" s="63" t="n">
        <f aca="false">Capitalization!I3/'Ratio (data)'!H34</f>
        <v>24.1350481709368</v>
      </c>
      <c r="I34" s="66" t="n">
        <f aca="false">Capitalization!J3/'Ratio (data)'!I34</f>
        <v>24.1350481709368</v>
      </c>
      <c r="J34" s="67" t="n">
        <f aca="false">Capitalization!K3/'Ratio (data)'!J34</f>
        <v>22.0548368762037</v>
      </c>
      <c r="K34" s="65" t="n">
        <f aca="false">Capitalization!L3/'Ratio (data)'!K34</f>
        <v>23.6178685672739</v>
      </c>
      <c r="L34" s="63" t="n">
        <f aca="false">Capitalization!M3/'Ratio (data)'!L34</f>
        <v>22.9857601627969</v>
      </c>
      <c r="M34" s="65" t="n">
        <f aca="false">Capitalization!N3/'Ratio (data)'!M34</f>
        <v>22.9857601627969</v>
      </c>
      <c r="N34" s="65" t="n">
        <f aca="false">Capitalization!O3/'Ratio (data)'!N34</f>
        <v>22.92829576239</v>
      </c>
      <c r="O34" s="63" t="n">
        <f aca="false">Capitalization!P3/'Ratio (data)'!O34</f>
        <v>23.0972410995865</v>
      </c>
      <c r="P34" s="68" t="n">
        <f aca="false">Capitalization!Q3/'Ratio (data)'!P34</f>
        <v>21.4276189909019</v>
      </c>
      <c r="Q34" s="67" t="n">
        <f aca="false">Capitalization!R3/'Ratio (data)'!Q34</f>
        <v>20.3144959264395</v>
      </c>
      <c r="R34" s="63" t="n">
        <f aca="false">Capitalization!S3/'Ratio (data)'!R34</f>
        <v>19.4796536280927</v>
      </c>
      <c r="S34" s="65" t="n">
        <f aca="false">Capitalization!T3/'Ratio (data)'!S34</f>
        <v>20.5037268473981</v>
      </c>
      <c r="T34" s="63" t="n">
        <f aca="false">Capitalization!U3/'Ratio (data)'!T34</f>
        <v>20.6901749606956</v>
      </c>
      <c r="U34" s="63" t="n">
        <f aca="false">Capitalization!V3/'Ratio (data)'!U34</f>
        <v>19.9736604940665</v>
      </c>
      <c r="V34" s="65" t="n">
        <f aca="false">Capitalization!W3/'Ratio (data)'!V34</f>
        <v>19.9181781038052</v>
      </c>
      <c r="W34" s="65" t="n">
        <f aca="false">Capitalization!X3/'Ratio (data)'!W34</f>
        <v>19.428268597798</v>
      </c>
      <c r="X34" s="66" t="n">
        <f aca="false">Capitalization!Y3/'Ratio (data)'!X34</f>
        <v>20.251072445373</v>
      </c>
      <c r="Y34" s="67" t="n">
        <f aca="false">Capitalization!Z3/'Ratio (data)'!Y34</f>
        <v>19.1414246401471</v>
      </c>
      <c r="Z34" s="63" t="n">
        <f aca="false">Capitalization!AA3/'Ratio (data)'!Z34</f>
        <v>18.61545158047</v>
      </c>
      <c r="AA34" s="65" t="n">
        <f aca="false">Capitalization!AB3/'Ratio (data)'!AA34</f>
        <v>19.6612946368954</v>
      </c>
      <c r="AB34" s="63" t="n">
        <f aca="false">Capitalization!AC3/'Ratio (data)'!AB34</f>
        <v>19.8547780903165</v>
      </c>
      <c r="AC34" s="68" t="n">
        <f aca="false">Capitalization!AD3/'Ratio (data)'!AC34</f>
        <v>18.8297174540257</v>
      </c>
      <c r="AD34" s="67" t="n">
        <f aca="false">Capitalization!AE3/'Ratio (data)'!AD34</f>
        <v>18.1232567452307</v>
      </c>
      <c r="AE34" s="63" t="n">
        <f aca="false">Capitalization!AF3/'Ratio (data)'!AE34</f>
        <v>18.3541262579088</v>
      </c>
      <c r="AF34" s="65" t="n">
        <f aca="false">Capitalization!AG3/'Ratio (data)'!AF34</f>
        <v>18.4205012428038</v>
      </c>
      <c r="AG34" s="63" t="n">
        <f aca="false">Capitalization!AH3/'Ratio (data)'!AG34</f>
        <v>18.7881151335791</v>
      </c>
      <c r="AH34" s="63" t="n">
        <f aca="false">Capitalization!AI3/'Ratio (data)'!AH34</f>
        <v>16.1424430034839</v>
      </c>
      <c r="AI34" s="66" t="n">
        <f aca="false">Capitalization!AJ3/'Ratio (data)'!AI34</f>
        <v>19.2150495149903</v>
      </c>
      <c r="AJ34" s="67" t="n">
        <f aca="false">Capitalization!AK3/'Ratio (data)'!AJ34</f>
        <v>19.2150495149903</v>
      </c>
      <c r="AK34" s="63" t="n">
        <f aca="false">Capitalization!AL3/'Ratio (data)'!AK34</f>
        <v>18.5545321879125</v>
      </c>
      <c r="AL34" s="65" t="n">
        <f aca="false">Capitalization!AM3/'Ratio (data)'!AL34</f>
        <v>18.0141089203034</v>
      </c>
      <c r="AM34" s="63" t="n">
        <f aca="false">Capitalization!AN3/'Ratio (data)'!AM34</f>
        <v>17.6538267418973</v>
      </c>
      <c r="AN34" s="68" t="n">
        <f aca="false">Capitalization!AO3/'Ratio (data)'!AN34</f>
        <v>17.7109790960461</v>
      </c>
      <c r="AO34" s="67" t="n">
        <f aca="false">Capitalization!AP3/'Ratio (data)'!AO34</f>
        <v>17.5797553025525</v>
      </c>
      <c r="AP34" s="63" t="n">
        <f aca="false">Capitalization!AQ3/'Ratio (data)'!AP34</f>
        <v>17.4509503808283</v>
      </c>
      <c r="AQ34" s="65" t="n">
        <f aca="false">Capitalization!AR3/'Ratio (data)'!AQ34</f>
        <v>17.338472843548</v>
      </c>
    </row>
    <row r="35" customFormat="false" ht="12.8" hidden="false" customHeight="false" outlineLevel="0" collapsed="false">
      <c r="A35" s="139" t="s">
        <v>181</v>
      </c>
      <c r="B35" s="65" t="n">
        <f aca="false">Capitalization!C5/'Ratio (data)'!B35</f>
        <v>9.90868216330396</v>
      </c>
      <c r="C35" s="65" t="n">
        <f aca="false">Capitalization!D5/'Ratio (data)'!C35</f>
        <v>9.79382632419405</v>
      </c>
      <c r="D35" s="63" t="n">
        <f aca="false">Capitalization!E5/'Ratio (data)'!D35</f>
        <v>9.92199517111463</v>
      </c>
      <c r="E35" s="65" t="n">
        <f aca="false">Capitalization!F5/'Ratio (data)'!E35</f>
        <v>9.84617509989343</v>
      </c>
      <c r="F35" s="63" t="n">
        <f aca="false">Capitalization!G5/'Ratio (data)'!F35</f>
        <v>9.16114698575848</v>
      </c>
      <c r="G35" s="65" t="n">
        <f aca="false">Capitalization!H5/'Ratio (data)'!G35</f>
        <v>11.807499412922</v>
      </c>
      <c r="H35" s="63" t="n">
        <f aca="false">Capitalization!I5/'Ratio (data)'!H35</f>
        <v>11.9941761540081</v>
      </c>
      <c r="I35" s="66" t="n">
        <f aca="false">Capitalization!J5/'Ratio (data)'!I35</f>
        <v>11.9071391452794</v>
      </c>
      <c r="J35" s="67" t="n">
        <f aca="false">Capitalization!K5/'Ratio (data)'!J35</f>
        <v>10.6764711271297</v>
      </c>
      <c r="K35" s="65" t="n">
        <f aca="false">Capitalization!L5/'Ratio (data)'!K35</f>
        <v>10.4099026452613</v>
      </c>
      <c r="L35" s="63" t="n">
        <f aca="false">Capitalization!M5/'Ratio (data)'!L35</f>
        <v>10.3429958852406</v>
      </c>
      <c r="M35" s="65" t="n">
        <f aca="false">Capitalization!N5/'Ratio (data)'!M35</f>
        <v>10.2998478762512</v>
      </c>
      <c r="N35" s="65" t="n">
        <f aca="false">Capitalization!O5/'Ratio (data)'!N35</f>
        <v>10.2883272343526</v>
      </c>
      <c r="O35" s="63" t="n">
        <f aca="false">Capitalization!P5/'Ratio (data)'!O35</f>
        <v>10.4964750645515</v>
      </c>
      <c r="P35" s="68" t="n">
        <f aca="false">Capitalization!Q5/'Ratio (data)'!P35</f>
        <v>11.5551770014367</v>
      </c>
      <c r="Q35" s="67" t="n">
        <f aca="false">Capitalization!R5/'Ratio (data)'!Q35</f>
        <v>11.0666699003278</v>
      </c>
      <c r="R35" s="63" t="n">
        <f aca="false">Capitalization!S5/'Ratio (data)'!R35</f>
        <v>10.3655406897737</v>
      </c>
      <c r="S35" s="65" t="n">
        <f aca="false">Capitalization!T5/'Ratio (data)'!S35</f>
        <v>10.8810931890412</v>
      </c>
      <c r="T35" s="63" t="n">
        <f aca="false">Capitalization!U5/'Ratio (data)'!T35</f>
        <v>10.8055234573867</v>
      </c>
      <c r="U35" s="63" t="n">
        <f aca="false">Capitalization!V5/'Ratio (data)'!U35</f>
        <v>15.1175221174755</v>
      </c>
      <c r="V35" s="65" t="n">
        <f aca="false">Capitalization!W5/'Ratio (data)'!V35</f>
        <v>14.727414459234</v>
      </c>
      <c r="W35" s="65" t="n">
        <f aca="false">Capitalization!X5/'Ratio (data)'!W35</f>
        <v>13.8358837882261</v>
      </c>
      <c r="X35" s="66" t="n">
        <f aca="false">Capitalization!Y5/'Ratio (data)'!X35</f>
        <v>15.2896099109127</v>
      </c>
      <c r="Y35" s="67" t="n">
        <f aca="false">Capitalization!Z5/'Ratio (data)'!Y35</f>
        <v>15.4872043236115</v>
      </c>
      <c r="Z35" s="63" t="n">
        <f aca="false">Capitalization!AA5/'Ratio (data)'!Z35</f>
        <v>14.3735636582043</v>
      </c>
      <c r="AA35" s="65" t="n">
        <f aca="false">Capitalization!AB5/'Ratio (data)'!AA35</f>
        <v>15.0700027062862</v>
      </c>
      <c r="AB35" s="63" t="n">
        <f aca="false">Capitalization!AC5/'Ratio (data)'!AB35</f>
        <v>13.0178662678261</v>
      </c>
      <c r="AC35" s="68" t="n">
        <f aca="false">Capitalization!AD5/'Ratio (data)'!AC35</f>
        <v>11.059912855936</v>
      </c>
      <c r="AD35" s="67" t="n">
        <f aca="false">Capitalization!AE5/'Ratio (data)'!AD35</f>
        <v>10.21875063943</v>
      </c>
      <c r="AE35" s="63" t="n">
        <f aca="false">Capitalization!AF5/'Ratio (data)'!AE35</f>
        <v>9.67177158823649</v>
      </c>
      <c r="AF35" s="65" t="n">
        <f aca="false">Capitalization!AG5/'Ratio (data)'!AF35</f>
        <v>9.93060263544805</v>
      </c>
      <c r="AG35" s="63" t="n">
        <f aca="false">Capitalization!AH5/'Ratio (data)'!AG35</f>
        <v>9.21139710213437</v>
      </c>
      <c r="AH35" s="63" t="n">
        <f aca="false">Capitalization!AI5/'Ratio (data)'!AH35</f>
        <v>6.55101327964358</v>
      </c>
      <c r="AI35" s="66" t="n">
        <f aca="false">Capitalization!AJ5/'Ratio (data)'!AI35</f>
        <v>8.79820423610748</v>
      </c>
      <c r="AJ35" s="67" t="n">
        <f aca="false">Capitalization!AK5/'Ratio (data)'!AJ35</f>
        <v>8.03317117414447</v>
      </c>
      <c r="AK35" s="63" t="n">
        <f aca="false">Capitalization!AL5/'Ratio (data)'!AK35</f>
        <v>7.5614469142841</v>
      </c>
      <c r="AL35" s="65" t="n">
        <f aca="false">Capitalization!AM5/'Ratio (data)'!AL35</f>
        <v>6.74850562289594</v>
      </c>
      <c r="AM35" s="63" t="n">
        <f aca="false">Capitalization!AN5/'Ratio (data)'!AM35</f>
        <v>6.10647999457883</v>
      </c>
      <c r="AN35" s="68" t="n">
        <f aca="false">Capitalization!AO5/'Ratio (data)'!AN35</f>
        <v>5.72555492467</v>
      </c>
      <c r="AO35" s="67" t="n">
        <f aca="false">Capitalization!AP5/'Ratio (data)'!AO35</f>
        <v>5.5239076161701</v>
      </c>
      <c r="AP35" s="63" t="n">
        <f aca="false">Capitalization!AQ5/'Ratio (data)'!AP35</f>
        <v>5.62609193170803</v>
      </c>
      <c r="AQ35" s="65" t="n">
        <f aca="false">Capitalization!AR5/'Ratio (data)'!AQ35</f>
        <v>5.42086109941998</v>
      </c>
    </row>
    <row r="36" customFormat="false" ht="12.8" hidden="false" customHeight="false" outlineLevel="0" collapsed="false">
      <c r="A36" s="139" t="s">
        <v>30</v>
      </c>
      <c r="B36" s="65" t="n">
        <f aca="false">Capitalization!C6/'Ratio (data)'!B36</f>
        <v>18.9883959342101</v>
      </c>
      <c r="C36" s="65" t="n">
        <f aca="false">Capitalization!D6/'Ratio (data)'!C36</f>
        <v>17.2418884250242</v>
      </c>
      <c r="D36" s="63" t="n">
        <f aca="false">Capitalization!E6/'Ratio (data)'!D36</f>
        <v>17.2418884250242</v>
      </c>
      <c r="E36" s="65" t="n">
        <f aca="false">Capitalization!F6/'Ratio (data)'!E36</f>
        <v>15.0300415049006</v>
      </c>
      <c r="F36" s="63" t="n">
        <f aca="false">Capitalization!G6/'Ratio (data)'!F36</f>
        <v>14.9429699683543</v>
      </c>
      <c r="G36" s="65" t="n">
        <f aca="false">Capitalization!H6/'Ratio (data)'!G36</f>
        <v>15.2517913477003</v>
      </c>
      <c r="H36" s="63" t="n">
        <f aca="false">Capitalization!I6/'Ratio (data)'!H36</f>
        <v>18.0438363815456</v>
      </c>
      <c r="I36" s="66" t="n">
        <f aca="false">Capitalization!J6/'Ratio (data)'!I36</f>
        <v>16.8228105439116</v>
      </c>
      <c r="J36" s="67" t="n">
        <f aca="false">Capitalization!K6/'Ratio (data)'!J36</f>
        <v>15.7225271479119</v>
      </c>
      <c r="K36" s="65" t="n">
        <f aca="false">Capitalization!L6/'Ratio (data)'!K36</f>
        <v>15.9786872488891</v>
      </c>
      <c r="L36" s="63" t="n">
        <f aca="false">Capitalization!M6/'Ratio (data)'!L36</f>
        <v>15.4722132718756</v>
      </c>
      <c r="M36" s="65" t="n">
        <f aca="false">Capitalization!N6/'Ratio (data)'!M36</f>
        <v>15.4984616287526</v>
      </c>
      <c r="N36" s="65" t="n">
        <f aca="false">Capitalization!O6/'Ratio (data)'!N36</f>
        <v>15.3415680410558</v>
      </c>
      <c r="O36" s="63" t="n">
        <f aca="false">Capitalization!P6/'Ratio (data)'!O36</f>
        <v>14.7468041363651</v>
      </c>
      <c r="P36" s="68" t="n">
        <f aca="false">Capitalization!Q6/'Ratio (data)'!P36</f>
        <v>15.5339499291945</v>
      </c>
      <c r="Q36" s="67" t="n">
        <f aca="false">Capitalization!R6/'Ratio (data)'!Q36</f>
        <v>15.8884295270377</v>
      </c>
      <c r="R36" s="63" t="n">
        <f aca="false">Capitalization!S6/'Ratio (data)'!R36</f>
        <v>15.9356462566871</v>
      </c>
      <c r="S36" s="65" t="n">
        <f aca="false">Capitalization!T6/'Ratio (data)'!S36</f>
        <v>16.5908964223973</v>
      </c>
      <c r="T36" s="63" t="n">
        <f aca="false">Capitalization!U6/'Ratio (data)'!T36</f>
        <v>16.1664180228488</v>
      </c>
      <c r="U36" s="63" t="n">
        <f aca="false">Capitalization!V6/'Ratio (data)'!U36</f>
        <v>22.4330687673944</v>
      </c>
      <c r="V36" s="65" t="n">
        <f aca="false">Capitalization!W6/'Ratio (data)'!V36</f>
        <v>20.9674416079246</v>
      </c>
      <c r="W36" s="65" t="n">
        <f aca="false">Capitalization!X6/'Ratio (data)'!W36</f>
        <v>20.2395633033186</v>
      </c>
      <c r="X36" s="66" t="n">
        <f aca="false">Capitalization!Y6/'Ratio (data)'!X36</f>
        <v>22.4330687673944</v>
      </c>
      <c r="Y36" s="67" t="n">
        <f aca="false">Capitalization!Z6/'Ratio (data)'!Y36</f>
        <v>20.5377735641331</v>
      </c>
      <c r="Z36" s="63" t="n">
        <f aca="false">Capitalization!AA6/'Ratio (data)'!Z36</f>
        <v>19.5915467235244</v>
      </c>
      <c r="AA36" s="65" t="n">
        <f aca="false">Capitalization!AB6/'Ratio (data)'!AA36</f>
        <v>20.120219377476</v>
      </c>
      <c r="AB36" s="63" t="n">
        <f aca="false">Capitalization!AC6/'Ratio (data)'!AB36</f>
        <v>17.9464550139155</v>
      </c>
      <c r="AC36" s="68" t="n">
        <f aca="false">Capitalization!AD6/'Ratio (data)'!AC36</f>
        <v>20.4997098486967</v>
      </c>
      <c r="AD36" s="67" t="n">
        <f aca="false">Capitalization!AE6/'Ratio (data)'!AD36</f>
        <v>19.6910719652355</v>
      </c>
      <c r="AE36" s="63" t="n">
        <f aca="false">Capitalization!AF6/'Ratio (data)'!AE36</f>
        <v>19.58410200277</v>
      </c>
      <c r="AF36" s="65" t="n">
        <f aca="false">Capitalization!AG6/'Ratio (data)'!AF36</f>
        <v>20.3332356948918</v>
      </c>
      <c r="AG36" s="63" t="n">
        <f aca="false">Capitalization!AH6/'Ratio (data)'!AG36</f>
        <v>18.0576303197412</v>
      </c>
      <c r="AH36" s="63" t="n">
        <f aca="false">Capitalization!AI6/'Ratio (data)'!AH36</f>
        <v>17.9367454376766</v>
      </c>
      <c r="AI36" s="66" t="n">
        <f aca="false">Capitalization!AJ6/'Ratio (data)'!AI36</f>
        <v>25.3072202687462</v>
      </c>
      <c r="AJ36" s="67" t="n">
        <f aca="false">Capitalization!AK6/'Ratio (data)'!AJ36</f>
        <v>24.3273246999404</v>
      </c>
      <c r="AK36" s="63" t="n">
        <f aca="false">Capitalization!AL6/'Ratio (data)'!AK36</f>
        <v>24.2949314579964</v>
      </c>
      <c r="AL36" s="65" t="n">
        <f aca="false">Capitalization!AM6/'Ratio (data)'!AL36</f>
        <v>24.2949314579964</v>
      </c>
      <c r="AM36" s="63" t="n">
        <f aca="false">Capitalization!AN6/'Ratio (data)'!AM36</f>
        <v>20.9517464316139</v>
      </c>
      <c r="AN36" s="68" t="n">
        <f aca="false">Capitalization!AO6/'Ratio (data)'!AN36</f>
        <v>25.4240230049796</v>
      </c>
      <c r="AO36" s="67" t="n">
        <f aca="false">Capitalization!AP6/'Ratio (data)'!AO36</f>
        <v>25.8900437932582</v>
      </c>
      <c r="AP36" s="63" t="n">
        <f aca="false">Capitalization!AQ6/'Ratio (data)'!AP36</f>
        <v>24.9340539261922</v>
      </c>
      <c r="AQ36" s="65" t="n">
        <f aca="false">Capitalization!AR6/'Ratio (data)'!AQ36</f>
        <v>24.4762316517814</v>
      </c>
    </row>
    <row r="37" customFormat="false" ht="12.8" hidden="false" customHeight="false" outlineLevel="0" collapsed="false">
      <c r="A37" s="139" t="s">
        <v>182</v>
      </c>
      <c r="B37" s="65" t="n">
        <f aca="false">Capitalization!C7/'Ratio (data)'!B37</f>
        <v>5.8964403399271</v>
      </c>
      <c r="C37" s="65" t="n">
        <f aca="false">Capitalization!D7/'Ratio (data)'!C37</f>
        <v>6.03451125697774</v>
      </c>
      <c r="D37" s="63" t="n">
        <f aca="false">Capitalization!E7/'Ratio (data)'!D37</f>
        <v>6.03451125697774</v>
      </c>
      <c r="E37" s="65" t="n">
        <f aca="false">Capitalization!F7/'Ratio (data)'!E37</f>
        <v>6.04263307562777</v>
      </c>
      <c r="F37" s="63" t="n">
        <f aca="false">Capitalization!G7/'Ratio (data)'!F37</f>
        <v>6.04263307562777</v>
      </c>
      <c r="G37" s="65" t="n">
        <f aca="false">Capitalization!H7/'Ratio (data)'!G37</f>
        <v>7.42860136144788</v>
      </c>
      <c r="H37" s="63" t="n">
        <f aca="false">Capitalization!I7/'Ratio (data)'!H37</f>
        <v>7.42860136144788</v>
      </c>
      <c r="I37" s="66" t="n">
        <f aca="false">Capitalization!J7/'Ratio (data)'!I37</f>
        <v>7.25031492877313</v>
      </c>
      <c r="J37" s="67" t="n">
        <f aca="false">Capitalization!K7/'Ratio (data)'!J37</f>
        <v>7.222977675763</v>
      </c>
      <c r="K37" s="65" t="n">
        <f aca="false">Capitalization!L7/'Ratio (data)'!K37</f>
        <v>6.86973282382343</v>
      </c>
      <c r="L37" s="63" t="n">
        <f aca="false">Capitalization!M7/'Ratio (data)'!L37</f>
        <v>6.86973282382343</v>
      </c>
      <c r="M37" s="65" t="n">
        <f aca="false">Capitalization!N7/'Ratio (data)'!M37</f>
        <v>6.86973282382343</v>
      </c>
      <c r="N37" s="65" t="n">
        <f aca="false">Capitalization!O7/'Ratio (data)'!N37</f>
        <v>6.86973282382343</v>
      </c>
      <c r="O37" s="63" t="n">
        <f aca="false">Capitalization!P7/'Ratio (data)'!O37</f>
        <v>6.9412851121369</v>
      </c>
      <c r="P37" s="68" t="n">
        <f aca="false">Capitalization!Q7/'Ratio (data)'!P37</f>
        <v>6.82451455816597</v>
      </c>
      <c r="Q37" s="67" t="n">
        <f aca="false">Capitalization!R7/'Ratio (data)'!Q37</f>
        <v>6.63018164779944</v>
      </c>
      <c r="R37" s="63" t="n">
        <f aca="false">Capitalization!S7/'Ratio (data)'!R37</f>
        <v>6.51609679806661</v>
      </c>
      <c r="S37" s="65" t="n">
        <f aca="false">Capitalization!T7/'Ratio (data)'!S37</f>
        <v>6.45185262416897</v>
      </c>
      <c r="T37" s="63" t="n">
        <f aca="false">Capitalization!U7/'Ratio (data)'!T37</f>
        <v>8.0019433680338</v>
      </c>
      <c r="U37" s="63" t="n">
        <f aca="false">Capitalization!V7/'Ratio (data)'!U37</f>
        <v>11.6751880044911</v>
      </c>
      <c r="V37" s="65" t="n">
        <f aca="false">Capitalization!W7/'Ratio (data)'!V37</f>
        <v>11.3619512531511</v>
      </c>
      <c r="W37" s="65" t="n">
        <f aca="false">Capitalization!X7/'Ratio (data)'!W37</f>
        <v>11.3619512531511</v>
      </c>
      <c r="X37" s="66" t="n">
        <f aca="false">Capitalization!Y7/'Ratio (data)'!X37</f>
        <v>11.3619512531511</v>
      </c>
      <c r="Y37" s="67" t="n">
        <f aca="false">Capitalization!Z7/'Ratio (data)'!Y37</f>
        <v>9.99709329935776</v>
      </c>
      <c r="Z37" s="63" t="n">
        <f aca="false">Capitalization!AA7/'Ratio (data)'!Z37</f>
        <v>9.99538473525955</v>
      </c>
      <c r="AA37" s="65" t="n">
        <f aca="false">Capitalization!AB7/'Ratio (data)'!AA37</f>
        <v>9.54973426630763</v>
      </c>
      <c r="AB37" s="63" t="n">
        <f aca="false">Capitalization!AC7/'Ratio (data)'!AB37</f>
        <v>8.2583445687377</v>
      </c>
      <c r="AC37" s="68" t="n">
        <f aca="false">Capitalization!AD7/'Ratio (data)'!AC37</f>
        <v>6.8953380596013</v>
      </c>
      <c r="AD37" s="67" t="n">
        <f aca="false">Capitalization!AE7/'Ratio (data)'!AD37</f>
        <v>6.18226499612735</v>
      </c>
      <c r="AE37" s="63" t="n">
        <f aca="false">Capitalization!AF7/'Ratio (data)'!AE37</f>
        <v>5.94449471821007</v>
      </c>
      <c r="AF37" s="65" t="n">
        <f aca="false">Capitalization!AG7/'Ratio (data)'!AF37</f>
        <v>5.94425694793215</v>
      </c>
      <c r="AG37" s="63" t="n">
        <f aca="false">Capitalization!AH7/'Ratio (data)'!AG37</f>
        <v>5.02948578254289</v>
      </c>
      <c r="AH37" s="63" t="n">
        <f aca="false">Capitalization!AI7/'Ratio (data)'!AH37</f>
        <v>4.75235085166808</v>
      </c>
      <c r="AI37" s="66" t="n">
        <f aca="false">Capitalization!AJ7/'Ratio (data)'!AI37</f>
        <v>4.96790024234849</v>
      </c>
      <c r="AJ37" s="67" t="n">
        <f aca="false">Capitalization!AK7/'Ratio (data)'!AJ37</f>
        <v>5.1526568629317</v>
      </c>
      <c r="AK37" s="63" t="n">
        <f aca="false">Capitalization!AL7/'Ratio (data)'!AK37</f>
        <v>4.73202762340393</v>
      </c>
      <c r="AL37" s="65" t="n">
        <f aca="false">Capitalization!AM7/'Ratio (data)'!AL37</f>
        <v>4.73182233826995</v>
      </c>
      <c r="AM37" s="63" t="n">
        <f aca="false">Capitalization!AN7/'Ratio (data)'!AM37</f>
        <v>4.72176336670486</v>
      </c>
      <c r="AN37" s="68" t="n">
        <f aca="false">Capitalization!AO7/'Ratio (data)'!AN37</f>
        <v>6.48148065186612</v>
      </c>
      <c r="AO37" s="67" t="n">
        <f aca="false">Capitalization!AP7/'Ratio (data)'!AO37</f>
        <v>6.34357680820939</v>
      </c>
      <c r="AP37" s="63" t="n">
        <f aca="false">Capitalization!AQ7/'Ratio (data)'!AP37</f>
        <v>6.56422295806015</v>
      </c>
      <c r="AQ37" s="65" t="n">
        <f aca="false">Capitalization!AR7/'Ratio (data)'!AQ37</f>
        <v>6.56422295806015</v>
      </c>
    </row>
    <row r="38" customFormat="false" ht="12.8" hidden="false" customHeight="false" outlineLevel="0" collapsed="false">
      <c r="A38" s="139" t="s">
        <v>183</v>
      </c>
      <c r="B38" s="65" t="n">
        <f aca="false">Capitalization!C8/'Ratio (data)'!B38</f>
        <v>6.42653427477558</v>
      </c>
      <c r="C38" s="65" t="n">
        <f aca="false">Capitalization!D8/'Ratio (data)'!C38</f>
        <v>6.25656757938652</v>
      </c>
      <c r="D38" s="63" t="n">
        <f aca="false">Capitalization!E8/'Ratio (data)'!D38</f>
        <v>6.26576793816725</v>
      </c>
      <c r="E38" s="65" t="n">
        <f aca="false">Capitalization!F8/'Ratio (data)'!E38</f>
        <v>6.007736980131</v>
      </c>
      <c r="F38" s="63" t="n">
        <f aca="false">Capitalization!G8/'Ratio (data)'!F38</f>
        <v>5.81978531931189</v>
      </c>
      <c r="G38" s="65" t="n">
        <f aca="false">Capitalization!H8/'Ratio (data)'!G38</f>
        <v>7.66412021085409</v>
      </c>
      <c r="H38" s="63" t="n">
        <f aca="false">Capitalization!I8/'Ratio (data)'!H38</f>
        <v>7.34260162831263</v>
      </c>
      <c r="I38" s="66" t="n">
        <f aca="false">Capitalization!J8/'Ratio (data)'!I38</f>
        <v>7.07265727881846</v>
      </c>
      <c r="J38" s="67" t="n">
        <f aca="false">Capitalization!K8/'Ratio (data)'!J38</f>
        <v>6.95123220806006</v>
      </c>
      <c r="K38" s="65" t="n">
        <f aca="false">Capitalization!L8/'Ratio (data)'!K38</f>
        <v>7.50446500963823</v>
      </c>
      <c r="L38" s="63" t="n">
        <f aca="false">Capitalization!M8/'Ratio (data)'!L38</f>
        <v>7.04566025236183</v>
      </c>
      <c r="M38" s="65" t="n">
        <f aca="false">Capitalization!N8/'Ratio (data)'!M38</f>
        <v>7.05105922573529</v>
      </c>
      <c r="N38" s="65" t="n">
        <f aca="false">Capitalization!O8/'Ratio (data)'!N38</f>
        <v>7.05108622060215</v>
      </c>
      <c r="O38" s="63" t="n">
        <f aca="false">Capitalization!P8/'Ratio (data)'!O38</f>
        <v>7.11931304712253</v>
      </c>
      <c r="P38" s="68" t="n">
        <f aca="false">Capitalization!Q8/'Ratio (data)'!P38</f>
        <v>6.38149195932857</v>
      </c>
      <c r="Q38" s="67" t="n">
        <f aca="false">Capitalization!R8/'Ratio (data)'!Q38</f>
        <v>6.46026525445507</v>
      </c>
      <c r="R38" s="63" t="n">
        <f aca="false">Capitalization!S8/'Ratio (data)'!R38</f>
        <v>6.32663813112458</v>
      </c>
      <c r="S38" s="65" t="n">
        <f aca="false">Capitalization!T8/'Ratio (data)'!S38</f>
        <v>6.69400176455482</v>
      </c>
      <c r="T38" s="63" t="n">
        <f aca="false">Capitalization!U8/'Ratio (data)'!T38</f>
        <v>6.80592374263118</v>
      </c>
      <c r="U38" s="63" t="n">
        <f aca="false">Capitalization!V8/'Ratio (data)'!U38</f>
        <v>5.42680990238007</v>
      </c>
      <c r="V38" s="65" t="n">
        <f aca="false">Capitalization!W8/'Ratio (data)'!V38</f>
        <v>5.09383002606521</v>
      </c>
      <c r="W38" s="65" t="n">
        <f aca="false">Capitalization!X8/'Ratio (data)'!W38</f>
        <v>5.05002694874908</v>
      </c>
      <c r="X38" s="66" t="n">
        <f aca="false">Capitalization!Y8/'Ratio (data)'!X38</f>
        <v>5.61114105416565</v>
      </c>
      <c r="Y38" s="67" t="n">
        <f aca="false">Capitalization!Z8/'Ratio (data)'!Y38</f>
        <v>5.77947528579062</v>
      </c>
      <c r="Z38" s="63" t="n">
        <f aca="false">Capitalization!AA8/'Ratio (data)'!Z38</f>
        <v>5.57682228184712</v>
      </c>
      <c r="AA38" s="65" t="n">
        <f aca="false">Capitalization!AB8/'Ratio (data)'!AA38</f>
        <v>5.70233464753241</v>
      </c>
      <c r="AB38" s="63" t="n">
        <f aca="false">Capitalization!AC8/'Ratio (data)'!AB38</f>
        <v>5.6256798159602</v>
      </c>
      <c r="AC38" s="68" t="n">
        <f aca="false">Capitalization!AD8/'Ratio (data)'!AC38</f>
        <v>6.35438988261003</v>
      </c>
      <c r="AD38" s="67" t="n">
        <f aca="false">Capitalization!AE8/'Ratio (data)'!AD38</f>
        <v>6.49791781923744</v>
      </c>
      <c r="AE38" s="63" t="n">
        <f aca="false">Capitalization!AF8/'Ratio (data)'!AE38</f>
        <v>6.17432863722465</v>
      </c>
      <c r="AF38" s="65" t="n">
        <f aca="false">Capitalization!AG8/'Ratio (data)'!AF38</f>
        <v>5.93397573855261</v>
      </c>
      <c r="AG38" s="63" t="n">
        <f aca="false">Capitalization!AH8/'Ratio (data)'!AG38</f>
        <v>5.73659879035695</v>
      </c>
      <c r="AH38" s="63" t="n">
        <f aca="false">Capitalization!AI8/'Ratio (data)'!AH38</f>
        <v>5.4193130357856</v>
      </c>
      <c r="AI38" s="66" t="n">
        <f aca="false">Capitalization!AJ8/'Ratio (data)'!AI38</f>
        <v>8.27296664513896</v>
      </c>
      <c r="AJ38" s="67" t="n">
        <f aca="false">Capitalization!AK8/'Ratio (data)'!AJ38</f>
        <v>8.35494146030155</v>
      </c>
      <c r="AK38" s="63" t="n">
        <f aca="false">Capitalization!AL8/'Ratio (data)'!AK38</f>
        <v>7.8344110965478</v>
      </c>
      <c r="AL38" s="65" t="n">
        <f aca="false">Capitalization!AM8/'Ratio (data)'!AL38</f>
        <v>7.11623345742627</v>
      </c>
      <c r="AM38" s="63" t="n">
        <f aca="false">Capitalization!AN8/'Ratio (data)'!AM38</f>
        <v>6.65184580220191</v>
      </c>
      <c r="AN38" s="68" t="n">
        <f aca="false">Capitalization!AO8/'Ratio (data)'!AN38</f>
        <v>5.29318883080822</v>
      </c>
      <c r="AO38" s="67" t="n">
        <f aca="false">Capitalization!AP8/'Ratio (data)'!AO38</f>
        <v>4.88158430050264</v>
      </c>
      <c r="AP38" s="63" t="n">
        <f aca="false">Capitalization!AQ8/'Ratio (data)'!AP38</f>
        <v>4.96872252230162</v>
      </c>
      <c r="AQ38" s="65" t="n">
        <f aca="false">Capitalization!AR8/'Ratio (data)'!AQ38</f>
        <v>4.78473436195369</v>
      </c>
    </row>
    <row r="39" customFormat="false" ht="12.8" hidden="false" customHeight="false" outlineLevel="0" collapsed="false">
      <c r="A39" s="139" t="s">
        <v>27</v>
      </c>
      <c r="B39" s="65" t="n">
        <f aca="false">Capitalization!C9/'Ratio (data)'!B39</f>
        <v>5.27193090527064</v>
      </c>
      <c r="C39" s="65" t="n">
        <f aca="false">Capitalization!D9/'Ratio (data)'!C39</f>
        <v>5.27193090527064</v>
      </c>
      <c r="D39" s="63" t="n">
        <f aca="false">Capitalization!E9/'Ratio (data)'!D39</f>
        <v>5.27193090527064</v>
      </c>
      <c r="E39" s="65" t="n">
        <f aca="false">Capitalization!F9/'Ratio (data)'!E39</f>
        <v>4.76393195412668</v>
      </c>
      <c r="F39" s="63" t="n">
        <f aca="false">Capitalization!G9/'Ratio (data)'!F39</f>
        <v>4.36432867643624</v>
      </c>
      <c r="G39" s="65" t="n">
        <f aca="false">Capitalization!H9/'Ratio (data)'!G39</f>
        <v>3.25131360411635</v>
      </c>
      <c r="H39" s="63" t="n">
        <f aca="false">Capitalization!I9/'Ratio (data)'!H39</f>
        <v>3.25131360411635</v>
      </c>
      <c r="I39" s="66" t="n">
        <f aca="false">Capitalization!J9/'Ratio (data)'!I39</f>
        <v>3.0958874193879</v>
      </c>
      <c r="J39" s="67" t="n">
        <f aca="false">Capitalization!K9/'Ratio (data)'!J39</f>
        <v>3.15275065770319</v>
      </c>
      <c r="K39" s="65" t="n">
        <f aca="false">Capitalization!L9/'Ratio (data)'!K39</f>
        <v>3.83529906161436</v>
      </c>
      <c r="L39" s="63" t="n">
        <f aca="false">Capitalization!M9/'Ratio (data)'!L39</f>
        <v>3.83529906161436</v>
      </c>
      <c r="M39" s="65" t="n">
        <f aca="false">Capitalization!N9/'Ratio (data)'!M39</f>
        <v>3.85269921253884</v>
      </c>
      <c r="N39" s="65" t="n">
        <f aca="false">Capitalization!O9/'Ratio (data)'!N39</f>
        <v>3.51428712691179</v>
      </c>
      <c r="O39" s="63" t="n">
        <f aca="false">Capitalization!P9/'Ratio (data)'!O39</f>
        <v>2.08498540489389</v>
      </c>
      <c r="P39" s="68" t="n">
        <f aca="false">Capitalization!Q9/'Ratio (data)'!P39</f>
        <v>1.67499607107383</v>
      </c>
      <c r="Q39" s="67" t="n">
        <f aca="false">Capitalization!R9/'Ratio (data)'!Q39</f>
        <v>1.74999589515177</v>
      </c>
      <c r="R39" s="63" t="n">
        <f aca="false">Capitalization!S9/'Ratio (data)'!R39</f>
        <v>1.65149612619608</v>
      </c>
      <c r="S39" s="65" t="n">
        <f aca="false">Capitalization!T9/'Ratio (data)'!S39</f>
        <v>1.81499574268598</v>
      </c>
      <c r="T39" s="63" t="n">
        <f aca="false">Capitalization!U9/'Ratio (data)'!T39</f>
        <v>1.63149617310863</v>
      </c>
      <c r="U39" s="63" t="n">
        <f aca="false">Capitalization!V9/'Ratio (data)'!U39</f>
        <v>7.8614580394278</v>
      </c>
      <c r="V39" s="65" t="n">
        <f aca="false">Capitalization!W9/'Ratio (data)'!V39</f>
        <v>7.88955011048678</v>
      </c>
      <c r="W39" s="65" t="n">
        <f aca="false">Capitalization!X9/'Ratio (data)'!W39</f>
        <v>7.88955011048678</v>
      </c>
      <c r="X39" s="66" t="n">
        <f aca="false">Capitalization!Y9/'Ratio (data)'!X39</f>
        <v>7.88955011048678</v>
      </c>
      <c r="Y39" s="67" t="n">
        <f aca="false">Capitalization!Z9/'Ratio (data)'!Y39</f>
        <v>7.76421625499288</v>
      </c>
      <c r="Z39" s="63" t="n">
        <f aca="false">Capitalization!AA9/'Ratio (data)'!Z39</f>
        <v>7.77858642980382</v>
      </c>
      <c r="AA39" s="65" t="n">
        <f aca="false">Capitalization!AB9/'Ratio (data)'!AA39</f>
        <v>8.09343371851867</v>
      </c>
      <c r="AB39" s="63" t="n">
        <f aca="false">Capitalization!AC9/'Ratio (data)'!AB39</f>
        <v>7.34715704619421</v>
      </c>
      <c r="AC39" s="68" t="n">
        <f aca="false">Capitalization!AD9/'Ratio (data)'!AC39</f>
        <v>2.93313355696527</v>
      </c>
      <c r="AD39" s="67" t="n">
        <f aca="false">Capitalization!AE9/'Ratio (data)'!AD39</f>
        <v>2.93251242280026</v>
      </c>
      <c r="AE39" s="63" t="n">
        <f aca="false">Capitalization!AF9/'Ratio (data)'!AE39</f>
        <v>3.09916617001631</v>
      </c>
      <c r="AF39" s="65" t="n">
        <f aca="false">Capitalization!AG9/'Ratio (data)'!AF39</f>
        <v>2.71817800155673</v>
      </c>
      <c r="AG39" s="63" t="n">
        <f aca="false">Capitalization!AH9/'Ratio (data)'!AG39</f>
        <v>2.84686492293688</v>
      </c>
      <c r="AH39" s="63" t="n">
        <f aca="false">Capitalization!AI9/'Ratio (data)'!AH39</f>
        <v>2.9561965430534</v>
      </c>
      <c r="AI39" s="66" t="n">
        <f aca="false">Capitalization!AJ9/'Ratio (data)'!AI39</f>
        <v>4.45006119614305</v>
      </c>
      <c r="AJ39" s="67" t="n">
        <f aca="false">Capitalization!AK9/'Ratio (data)'!AJ39</f>
        <v>4.72991446888543</v>
      </c>
      <c r="AK39" s="63" t="n">
        <f aca="false">Capitalization!AL9/'Ratio (data)'!AK39</f>
        <v>4.71583311935202</v>
      </c>
      <c r="AL39" s="65" t="n">
        <f aca="false">Capitalization!AM9/'Ratio (data)'!AL39</f>
        <v>4.44316340420925</v>
      </c>
      <c r="AM39" s="63" t="n">
        <f aca="false">Capitalization!AN9/'Ratio (data)'!AM39</f>
        <v>4.33575492981165</v>
      </c>
      <c r="AN39" s="68" t="n">
        <f aca="false">Capitalization!AO9/'Ratio (data)'!AN39</f>
        <v>11.392728027864</v>
      </c>
      <c r="AO39" s="67" t="n">
        <f aca="false">Capitalization!AP9/'Ratio (data)'!AO39</f>
        <v>10.8205275204233</v>
      </c>
      <c r="AP39" s="63" t="n">
        <f aca="false">Capitalization!AQ9/'Ratio (data)'!AP39</f>
        <v>13.3513541704795</v>
      </c>
      <c r="AQ39" s="65" t="n">
        <f aca="false">Capitalization!AR9/'Ratio (data)'!AQ39</f>
        <v>11.8758595883918</v>
      </c>
    </row>
    <row r="40" customFormat="false" ht="12.8" hidden="false" customHeight="false" outlineLevel="0" collapsed="false">
      <c r="A40" s="139" t="s">
        <v>31</v>
      </c>
      <c r="B40" s="65" t="n">
        <f aca="false">Capitalization!C10/'Ratio (data)'!B40</f>
        <v>26.1223954062782</v>
      </c>
      <c r="C40" s="65" t="n">
        <f aca="false">Capitalization!D10/'Ratio (data)'!C40</f>
        <v>23.0788337478068</v>
      </c>
      <c r="D40" s="63" t="n">
        <f aca="false">Capitalization!E10/'Ratio (data)'!D40</f>
        <v>23.0730654814365</v>
      </c>
      <c r="E40" s="65" t="n">
        <f aca="false">Capitalization!F10/'Ratio (data)'!E40</f>
        <v>23.0730654814365</v>
      </c>
      <c r="F40" s="63" t="n">
        <f aca="false">Capitalization!G10/'Ratio (data)'!F40</f>
        <v>21.4707692674478</v>
      </c>
      <c r="G40" s="65" t="n">
        <f aca="false">Capitalization!H10/'Ratio (data)'!G40</f>
        <v>7.76286364210792</v>
      </c>
      <c r="H40" s="63" t="n">
        <f aca="false">Capitalization!I10/'Ratio (data)'!H40</f>
        <v>6.91907411579185</v>
      </c>
      <c r="I40" s="66" t="n">
        <f aca="false">Capitalization!J10/'Ratio (data)'!I40</f>
        <v>6.59764655890051</v>
      </c>
      <c r="J40" s="67" t="n">
        <f aca="false">Capitalization!K10/'Ratio (data)'!J40</f>
        <v>6.63359199272157</v>
      </c>
      <c r="K40" s="65" t="n">
        <f aca="false">Capitalization!L10/'Ratio (data)'!K40</f>
        <v>6.30029512982672</v>
      </c>
      <c r="L40" s="63" t="n">
        <f aca="false">Capitalization!M10/'Ratio (data)'!L40</f>
        <v>6.27554397038812</v>
      </c>
      <c r="M40" s="65" t="n">
        <f aca="false">Capitalization!N10/'Ratio (data)'!M40</f>
        <v>6.24404249473898</v>
      </c>
      <c r="N40" s="65" t="n">
        <f aca="false">Capitalization!O10/'Ratio (data)'!N40</f>
        <v>6.24404249473898</v>
      </c>
      <c r="O40" s="63" t="n">
        <f aca="false">Capitalization!P10/'Ratio (data)'!O40</f>
        <v>6.46550911907941</v>
      </c>
      <c r="P40" s="68" t="n">
        <f aca="false">Capitalization!Q10/'Ratio (data)'!P40</f>
        <v>9.75354959444598</v>
      </c>
      <c r="Q40" s="67" t="n">
        <f aca="false">Capitalization!R10/'Ratio (data)'!Q40</f>
        <v>10.355167374593</v>
      </c>
      <c r="R40" s="63" t="n">
        <f aca="false">Capitalization!S10/'Ratio (data)'!R40</f>
        <v>12.1785370290018</v>
      </c>
      <c r="S40" s="65" t="n">
        <f aca="false">Capitalization!T10/'Ratio (data)'!S40</f>
        <v>11.2752170278443</v>
      </c>
      <c r="T40" s="63" t="n">
        <f aca="false">Capitalization!U10/'Ratio (data)'!T40</f>
        <v>10.7199712445201</v>
      </c>
      <c r="U40" s="63" t="n">
        <f aca="false">Capitalization!V10/'Ratio (data)'!U40</f>
        <v>-7.66956404080253</v>
      </c>
      <c r="V40" s="65" t="n">
        <f aca="false">Capitalization!W10/'Ratio (data)'!V40</f>
        <v>-6.98641559641272</v>
      </c>
      <c r="W40" s="65" t="n">
        <f aca="false">Capitalization!X10/'Ratio (data)'!W40</f>
        <v>-6.98641559641272</v>
      </c>
      <c r="X40" s="66" t="n">
        <f aca="false">Capitalization!Y10/'Ratio (data)'!X40</f>
        <v>-7.76048136982962</v>
      </c>
      <c r="Y40" s="67" t="n">
        <f aca="false">Capitalization!Z10/'Ratio (data)'!Y40</f>
        <v>-8.21725097484437</v>
      </c>
      <c r="Z40" s="63" t="n">
        <f aca="false">Capitalization!AA10/'Ratio (data)'!Z40</f>
        <v>-7.6993584932092</v>
      </c>
      <c r="AA40" s="65" t="n">
        <f aca="false">Capitalization!AB10/'Ratio (data)'!AA40</f>
        <v>-7.67575892694649</v>
      </c>
      <c r="AB40" s="63" t="n">
        <f aca="false">Capitalization!AC10/'Ratio (data)'!AB40</f>
        <v>-7.07986987881306</v>
      </c>
      <c r="AC40" s="68" t="n">
        <f aca="false">Capitalization!AD10/'Ratio (data)'!AC40</f>
        <v>12.3085575897375</v>
      </c>
      <c r="AD40" s="67" t="n">
        <f aca="false">Capitalization!AE10/'Ratio (data)'!AD40</f>
        <v>13.0777109548938</v>
      </c>
      <c r="AE40" s="63" t="n">
        <f aca="false">Capitalization!AF10/'Ratio (data)'!AE40</f>
        <v>12.0381091948171</v>
      </c>
      <c r="AF40" s="65" t="n">
        <f aca="false">Capitalization!AG10/'Ratio (data)'!AF40</f>
        <v>12.0350704488067</v>
      </c>
      <c r="AG40" s="63" t="n">
        <f aca="false">Capitalization!AH10/'Ratio (data)'!AG40</f>
        <v>10.8822169624215</v>
      </c>
      <c r="AH40" s="63" t="n">
        <f aca="false">Capitalization!AI10/'Ratio (data)'!AH40</f>
        <v>-24.2594870816115</v>
      </c>
      <c r="AI40" s="66" t="n">
        <f aca="false">Capitalization!AJ10/'Ratio (data)'!AI40</f>
        <v>-36.7913774949862</v>
      </c>
      <c r="AJ40" s="67" t="n">
        <f aca="false">Capitalization!AK10/'Ratio (data)'!AJ40</f>
        <v>-34.5487415031082</v>
      </c>
      <c r="AK40" s="63" t="n">
        <f aca="false">Capitalization!AL10/'Ratio (data)'!AK40</f>
        <v>-31.4033455982092</v>
      </c>
      <c r="AL40" s="65" t="n">
        <f aca="false">Capitalization!AM10/'Ratio (data)'!AL40</f>
        <v>-28.7551885037102</v>
      </c>
      <c r="AM40" s="63" t="n">
        <f aca="false">Capitalization!AN10/'Ratio (data)'!AM40</f>
        <v>-26.7278897387913</v>
      </c>
      <c r="AN40" s="68" t="n">
        <f aca="false">Capitalization!AO10/'Ratio (data)'!AN40</f>
        <v>12.3918986458237</v>
      </c>
      <c r="AO40" s="67" t="n">
        <f aca="false">Capitalization!AP10/'Ratio (data)'!AO40</f>
        <v>12.096911009767</v>
      </c>
      <c r="AP40" s="63" t="n">
        <f aca="false">Capitalization!AQ10/'Ratio (data)'!AP40</f>
        <v>13.0657459148692</v>
      </c>
      <c r="AQ40" s="65" t="n">
        <f aca="false">Capitalization!AR10/'Ratio (data)'!AQ40</f>
        <v>12.3074221660308</v>
      </c>
    </row>
    <row r="41" customFormat="false" ht="12.8" hidden="false" customHeight="false" outlineLevel="0" collapsed="false">
      <c r="A41" s="139" t="s">
        <v>184</v>
      </c>
      <c r="B41" s="65" t="n">
        <f aca="false">Capitalization!C11/'Ratio (data)'!B41</f>
        <v>30.1022212203445</v>
      </c>
      <c r="C41" s="65" t="n">
        <f aca="false">Capitalization!D11/'Ratio (data)'!C41</f>
        <v>30.0658415520665</v>
      </c>
      <c r="D41" s="63" t="n">
        <f aca="false">Capitalization!E11/'Ratio (data)'!D41</f>
        <v>30.8819143941941</v>
      </c>
      <c r="E41" s="65" t="n">
        <f aca="false">Capitalization!F11/'Ratio (data)'!E41</f>
        <v>29.8510855409803</v>
      </c>
      <c r="F41" s="63" t="n">
        <f aca="false">Capitalization!G11/'Ratio (data)'!F41</f>
        <v>28.9920614966356</v>
      </c>
      <c r="G41" s="65" t="n">
        <f aca="false">Capitalization!H11/'Ratio (data)'!G41</f>
        <v>84.7072720811663</v>
      </c>
      <c r="H41" s="63" t="n">
        <f aca="false">Capitalization!I11/'Ratio (data)'!H41</f>
        <v>82.3030079286067</v>
      </c>
      <c r="I41" s="66" t="n">
        <f aca="false">Capitalization!J11/'Ratio (data)'!I41</f>
        <v>84.0601985191194</v>
      </c>
      <c r="J41" s="67" t="n">
        <f aca="false">Capitalization!K11/'Ratio (data)'!J41</f>
        <v>67.2618126611002</v>
      </c>
      <c r="K41" s="65" t="n">
        <f aca="false">Capitalization!L11/'Ratio (data)'!K41</f>
        <v>59.3890051701337</v>
      </c>
      <c r="L41" s="63" t="n">
        <f aca="false">Capitalization!M11/'Ratio (data)'!L41</f>
        <v>59.3645469767792</v>
      </c>
      <c r="M41" s="65" t="n">
        <f aca="false">Capitalization!N11/'Ratio (data)'!M41</f>
        <v>59.3645469767792</v>
      </c>
      <c r="N41" s="65" t="n">
        <f aca="false">Capitalization!O11/'Ratio (data)'!N41</f>
        <v>59.3764198861746</v>
      </c>
      <c r="O41" s="63" t="n">
        <f aca="false">Capitalization!P11/'Ratio (data)'!O41</f>
        <v>61.1454833860826</v>
      </c>
      <c r="P41" s="68" t="n">
        <f aca="false">Capitalization!Q11/'Ratio (data)'!P41</f>
        <v>19.6995544657144</v>
      </c>
      <c r="Q41" s="67" t="n">
        <f aca="false">Capitalization!R11/'Ratio (data)'!Q41</f>
        <v>16.1037827281358</v>
      </c>
      <c r="R41" s="63" t="n">
        <f aca="false">Capitalization!S11/'Ratio (data)'!R41</f>
        <v>12.7444056441458</v>
      </c>
      <c r="S41" s="65" t="n">
        <f aca="false">Capitalization!T11/'Ratio (data)'!S41</f>
        <v>11.4579041280175</v>
      </c>
      <c r="T41" s="63" t="n">
        <f aca="false">Capitalization!U11/'Ratio (data)'!T41</f>
        <v>12.4629834374928</v>
      </c>
      <c r="U41" s="63" t="n">
        <f aca="false">Capitalization!V11/'Ratio (data)'!U41</f>
        <v>26.3752647843642</v>
      </c>
      <c r="V41" s="65" t="n">
        <f aca="false">Capitalization!W11/'Ratio (data)'!V41</f>
        <v>27.9310217664267</v>
      </c>
      <c r="W41" s="65" t="n">
        <f aca="false">Capitalization!X11/'Ratio (data)'!W41</f>
        <v>27.8367421835793</v>
      </c>
      <c r="X41" s="66" t="n">
        <f aca="false">Capitalization!Y11/'Ratio (data)'!X41</f>
        <v>27.8367421835793</v>
      </c>
      <c r="Y41" s="67" t="n">
        <f aca="false">Capitalization!Z11/'Ratio (data)'!Y41</f>
        <v>25.9053055209337</v>
      </c>
      <c r="Z41" s="63" t="n">
        <f aca="false">Capitalization!AA11/'Ratio (data)'!Z41</f>
        <v>27.7084145316466</v>
      </c>
      <c r="AA41" s="65" t="n">
        <f aca="false">Capitalization!AB11/'Ratio (data)'!AA41</f>
        <v>27.7755515692795</v>
      </c>
      <c r="AB41" s="63" t="n">
        <f aca="false">Capitalization!AC11/'Ratio (data)'!AB41</f>
        <v>27.9961446929306</v>
      </c>
      <c r="AC41" s="68" t="n">
        <f aca="false">Capitalization!AD11/'Ratio (data)'!AC41</f>
        <v>4.62945522614838</v>
      </c>
      <c r="AD41" s="67" t="n">
        <f aca="false">Capitalization!AE11/'Ratio (data)'!AD41</f>
        <v>4.30992794325529</v>
      </c>
      <c r="AE41" s="63" t="n">
        <f aca="false">Capitalization!AF11/'Ratio (data)'!AE41</f>
        <v>4.30992794325529</v>
      </c>
      <c r="AF41" s="65" t="n">
        <f aca="false">Capitalization!AG11/'Ratio (data)'!AF41</f>
        <v>4.30992794325529</v>
      </c>
      <c r="AG41" s="63" t="n">
        <f aca="false">Capitalization!AH11/'Ratio (data)'!AG41</f>
        <v>3.69935481796079</v>
      </c>
      <c r="AH41" s="63" t="n">
        <f aca="false">Capitalization!AI11/'Ratio (data)'!AH41</f>
        <v>13.6797931328797</v>
      </c>
      <c r="AI41" s="66" t="n">
        <f aca="false">Capitalization!AJ11/'Ratio (data)'!AI41</f>
        <v>16.332294135568</v>
      </c>
      <c r="AJ41" s="67" t="n">
        <f aca="false">Capitalization!AK11/'Ratio (data)'!AJ41</f>
        <v>17.7726275801742</v>
      </c>
      <c r="AK41" s="63" t="n">
        <f aca="false">Capitalization!AL11/'Ratio (data)'!AK41</f>
        <v>15.9295203855018</v>
      </c>
      <c r="AL41" s="65" t="n">
        <f aca="false">Capitalization!AM11/'Ratio (data)'!AL41</f>
        <v>15.9658063089312</v>
      </c>
      <c r="AM41" s="63" t="n">
        <f aca="false">Capitalization!AN11/'Ratio (data)'!AM41</f>
        <v>15.9658063089312</v>
      </c>
      <c r="AN41" s="68" t="n">
        <f aca="false">Capitalization!AO11/'Ratio (data)'!AN41</f>
        <v>9.27153848513711</v>
      </c>
      <c r="AO41" s="67" t="n">
        <f aca="false">Capitalization!AP11/'Ratio (data)'!AO41</f>
        <v>8.28520460373954</v>
      </c>
      <c r="AP41" s="63" t="n">
        <f aca="false">Capitalization!AQ11/'Ratio (data)'!AP41</f>
        <v>9.32787787644254</v>
      </c>
      <c r="AQ41" s="65" t="n">
        <f aca="false">Capitalization!AR11/'Ratio (data)'!AQ41</f>
        <v>9.46485992589103</v>
      </c>
    </row>
    <row r="42" customFormat="false" ht="12.8" hidden="false" customHeight="false" outlineLevel="0" collapsed="false">
      <c r="A42" s="139" t="s">
        <v>185</v>
      </c>
      <c r="B42" s="65" t="n">
        <f aca="false">Capitalization!C12/'Ratio (data)'!B42</f>
        <v>8.14457311855547</v>
      </c>
      <c r="C42" s="65" t="n">
        <f aca="false">Capitalization!D12/'Ratio (data)'!C42</f>
        <v>7.77121327748854</v>
      </c>
      <c r="D42" s="63" t="n">
        <f aca="false">Capitalization!E12/'Ratio (data)'!D42</f>
        <v>7.77121327748854</v>
      </c>
      <c r="E42" s="65" t="n">
        <f aca="false">Capitalization!F12/'Ratio (data)'!E42</f>
        <v>8.08450416659151</v>
      </c>
      <c r="F42" s="63" t="n">
        <f aca="false">Capitalization!G12/'Ratio (data)'!F42</f>
        <v>6.30987813802311</v>
      </c>
      <c r="G42" s="65" t="n">
        <f aca="false">Capitalization!H12/'Ratio (data)'!G42</f>
        <v>7.5460941969397</v>
      </c>
      <c r="H42" s="63" t="n">
        <f aca="false">Capitalization!I12/'Ratio (data)'!H42</f>
        <v>7.17094393160105</v>
      </c>
      <c r="I42" s="66" t="n">
        <f aca="false">Capitalization!J12/'Ratio (data)'!I42</f>
        <v>6.82547058552298</v>
      </c>
      <c r="J42" s="67" t="n">
        <f aca="false">Capitalization!K12/'Ratio (data)'!J42</f>
        <v>6.43841064509534</v>
      </c>
      <c r="K42" s="65" t="n">
        <f aca="false">Capitalization!L12/'Ratio (data)'!K42</f>
        <v>6.02302931315371</v>
      </c>
      <c r="L42" s="63" t="n">
        <f aca="false">Capitalization!M12/'Ratio (data)'!L42</f>
        <v>5.88456886917316</v>
      </c>
      <c r="M42" s="65" t="n">
        <f aca="false">Capitalization!N12/'Ratio (data)'!M42</f>
        <v>5.88456886917316</v>
      </c>
      <c r="N42" s="65" t="n">
        <f aca="false">Capitalization!O12/'Ratio (data)'!N42</f>
        <v>5.5384177592218</v>
      </c>
      <c r="O42" s="63" t="n">
        <f aca="false">Capitalization!P12/'Ratio (data)'!O42</f>
        <v>5.53635054479317</v>
      </c>
      <c r="P42" s="68" t="n">
        <f aca="false">Capitalization!Q12/'Ratio (data)'!P42</f>
        <v>9.74110257668511</v>
      </c>
      <c r="Q42" s="67" t="n">
        <f aca="false">Capitalization!R12/'Ratio (data)'!Q42</f>
        <v>10.4004089096193</v>
      </c>
      <c r="R42" s="63" t="n">
        <f aca="false">Capitalization!S12/'Ratio (data)'!R42</f>
        <v>10.8102479814432</v>
      </c>
      <c r="S42" s="65" t="n">
        <f aca="false">Capitalization!T12/'Ratio (data)'!S42</f>
        <v>10.8102479814432</v>
      </c>
      <c r="T42" s="63" t="n">
        <f aca="false">Capitalization!U12/'Ratio (data)'!T42</f>
        <v>10.2174662514718</v>
      </c>
      <c r="U42" s="63" t="n">
        <f aca="false">Capitalization!V12/'Ratio (data)'!U42</f>
        <v>5.75586291646481</v>
      </c>
      <c r="V42" s="65" t="n">
        <f aca="false">Capitalization!W12/'Ratio (data)'!V42</f>
        <v>6.379677660113</v>
      </c>
      <c r="W42" s="65" t="n">
        <f aca="false">Capitalization!X12/'Ratio (data)'!W42</f>
        <v>6.379677660113</v>
      </c>
      <c r="X42" s="66" t="n">
        <f aca="false">Capitalization!Y12/'Ratio (data)'!X42</f>
        <v>6.379677660113</v>
      </c>
      <c r="Y42" s="67" t="n">
        <f aca="false">Capitalization!Z12/'Ratio (data)'!Y42</f>
        <v>7.06264246782653</v>
      </c>
      <c r="Z42" s="63" t="n">
        <f aca="false">Capitalization!AA12/'Ratio (data)'!Z42</f>
        <v>7.35041827775761</v>
      </c>
      <c r="AA42" s="65" t="n">
        <f aca="false">Capitalization!AB12/'Ratio (data)'!AA42</f>
        <v>7.23484543218223</v>
      </c>
      <c r="AB42" s="63" t="n">
        <f aca="false">Capitalization!AC12/'Ratio (data)'!AB42</f>
        <v>7.48910541507379</v>
      </c>
      <c r="AC42" s="68" t="n">
        <f aca="false">Capitalization!AD12/'Ratio (data)'!AC42</f>
        <v>10.2191845519653</v>
      </c>
      <c r="AD42" s="67" t="n">
        <f aca="false">Capitalization!AE12/'Ratio (data)'!AD42</f>
        <v>10.6385905245684</v>
      </c>
      <c r="AE42" s="63" t="n">
        <f aca="false">Capitalization!AF12/'Ratio (data)'!AE42</f>
        <v>9.10417842967876</v>
      </c>
      <c r="AF42" s="65" t="n">
        <f aca="false">Capitalization!AG12/'Ratio (data)'!AF42</f>
        <v>8.67227006732641</v>
      </c>
      <c r="AG42" s="63" t="n">
        <f aca="false">Capitalization!AH12/'Ratio (data)'!AG42</f>
        <v>8.38809387852866</v>
      </c>
      <c r="AH42" s="63" t="n">
        <f aca="false">Capitalization!AI12/'Ratio (data)'!AH42</f>
        <v>8.05868276851297</v>
      </c>
      <c r="AI42" s="66" t="n">
        <f aca="false">Capitalization!AJ12/'Ratio (data)'!AI42</f>
        <v>8.01042718307277</v>
      </c>
      <c r="AJ42" s="67" t="n">
        <f aca="false">Capitalization!AK12/'Ratio (data)'!AJ42</f>
        <v>7.40503866615619</v>
      </c>
      <c r="AK42" s="63" t="n">
        <f aca="false">Capitalization!AL12/'Ratio (data)'!AK42</f>
        <v>7.4805808549394</v>
      </c>
      <c r="AL42" s="65" t="n">
        <f aca="false">Capitalization!AM12/'Ratio (data)'!AL42</f>
        <v>7.46513906759854</v>
      </c>
      <c r="AM42" s="63" t="n">
        <f aca="false">Capitalization!AN12/'Ratio (data)'!AM42</f>
        <v>7.14182664514922</v>
      </c>
      <c r="AN42" s="68" t="n">
        <f aca="false">Capitalization!AO12/'Ratio (data)'!AN42</f>
        <v>8.1346525831034</v>
      </c>
      <c r="AO42" s="67" t="n">
        <f aca="false">Capitalization!AP12/'Ratio (data)'!AO42</f>
        <v>7.49672456474424</v>
      </c>
      <c r="AP42" s="63" t="n">
        <f aca="false">Capitalization!AQ12/'Ratio (data)'!AP42</f>
        <v>7.17133846142011</v>
      </c>
      <c r="AQ42" s="65" t="n">
        <f aca="false">Capitalization!AR12/'Ratio (data)'!AQ42</f>
        <v>7.01078610780622</v>
      </c>
    </row>
    <row r="43" customFormat="false" ht="12.8" hidden="false" customHeight="false" outlineLevel="0" collapsed="false">
      <c r="A43" s="139" t="s">
        <v>29</v>
      </c>
      <c r="B43" s="72" t="n">
        <f aca="false">Capitalization!C12/'Ratio (data)'!B43</f>
        <v>13.1774522794427</v>
      </c>
      <c r="C43" s="72" t="n">
        <f aca="false">Capitalization!D12/'Ratio (data)'!C43</f>
        <v>12.5733774658088</v>
      </c>
      <c r="D43" s="31" t="n">
        <f aca="false">Capitalization!E12/'Ratio (data)'!D43</f>
        <v>12.5733774658088</v>
      </c>
      <c r="E43" s="96" t="n">
        <f aca="false">Capitalization!F12/'Ratio (data)'!E43</f>
        <v>13.0802641596409</v>
      </c>
      <c r="F43" s="31" t="n">
        <f aca="false">Capitalization!G12/'Ratio (data)'!F43</f>
        <v>10.2090210060814</v>
      </c>
      <c r="G43" s="96" t="n">
        <f aca="false">Capitalization!H12/'Ratio (data)'!G43</f>
        <v>34.4811501508074</v>
      </c>
      <c r="H43" s="31" t="n">
        <f aca="false">Capitalization!I12/'Ratio (data)'!H43</f>
        <v>32.7669371698055</v>
      </c>
      <c r="I43" s="74" t="n">
        <f aca="false">Capitalization!J12/'Ratio (data)'!I43</f>
        <v>31.1883300111444</v>
      </c>
      <c r="J43" s="75" t="n">
        <f aca="false">Capitalization!K12/'Ratio (data)'!J43</f>
        <v>29.4196969176614</v>
      </c>
      <c r="K43" s="96" t="n">
        <f aca="false">Capitalization!L12/'Ratio (data)'!K43</f>
        <v>27.5216519552316</v>
      </c>
      <c r="L43" s="31" t="n">
        <f aca="false">Capitalization!M12/'Ratio (data)'!L43</f>
        <v>26.8889703010884</v>
      </c>
      <c r="M43" s="96" t="n">
        <f aca="false">Capitalization!N12/'Ratio (data)'!M43</f>
        <v>26.8889703010884</v>
      </c>
      <c r="N43" s="96" t="n">
        <f aca="false">Capitalization!O12/'Ratio (data)'!N43</f>
        <v>25.3072661657302</v>
      </c>
      <c r="O43" s="31" t="n">
        <f aca="false">Capitalization!P12/'Ratio (data)'!O43</f>
        <v>25.2978202286339</v>
      </c>
      <c r="P43" s="76" t="n">
        <f aca="false">Capitalization!Q12/'Ratio (data)'!P43</f>
        <v>15.8697869288243</v>
      </c>
      <c r="Q43" s="75" t="n">
        <f aca="false">Capitalization!R12/'Ratio (data)'!Q43</f>
        <v>16.943900556324</v>
      </c>
      <c r="R43" s="31" t="n">
        <f aca="false">Capitalization!S12/'Ratio (data)'!R43</f>
        <v>17.6115928112562</v>
      </c>
      <c r="S43" s="96" t="n">
        <f aca="false">Capitalization!T12/'Ratio (data)'!S43</f>
        <v>17.6115928112562</v>
      </c>
      <c r="T43" s="31" t="n">
        <f aca="false">Capitalization!U12/'Ratio (data)'!T43</f>
        <v>16.6458582164412</v>
      </c>
      <c r="U43" s="31" t="n">
        <f aca="false">Capitalization!V12/'Ratio (data)'!U43</f>
        <v>13.1417582507796</v>
      </c>
      <c r="V43" s="96" t="n">
        <f aca="false">Capitalization!W12/'Ratio (data)'!V43</f>
        <v>14.5660490431899</v>
      </c>
      <c r="W43" s="96" t="n">
        <f aca="false">Capitalization!X12/'Ratio (data)'!W43</f>
        <v>14.5660490431899</v>
      </c>
      <c r="X43" s="74" t="n">
        <f aca="false">Capitalization!Y12/'Ratio (data)'!X43</f>
        <v>14.5660490431899</v>
      </c>
      <c r="Y43" s="75" t="n">
        <f aca="false">Capitalization!Z12/'Ratio (data)'!Y43</f>
        <v>16.1253909745425</v>
      </c>
      <c r="Z43" s="31" t="n">
        <f aca="false">Capitalization!AA12/'Ratio (data)'!Z43</f>
        <v>16.7824393058567</v>
      </c>
      <c r="AA43" s="96" t="n">
        <f aca="false">Capitalization!AB12/'Ratio (data)'!AA43</f>
        <v>16.518563946254</v>
      </c>
      <c r="AB43" s="31" t="n">
        <f aca="false">Capitalization!AC12/'Ratio (data)'!AB43</f>
        <v>17.0990891040804</v>
      </c>
      <c r="AC43" s="76" t="n">
        <f aca="false">Capitalization!AD12/'Ratio (data)'!AC43</f>
        <v>19.3340452949945</v>
      </c>
      <c r="AD43" s="75" t="n">
        <f aca="false">Capitalization!AE12/'Ratio (data)'!AD43</f>
        <v>20.1275346414357</v>
      </c>
      <c r="AE43" s="31" t="n">
        <f aca="false">Capitalization!AF12/'Ratio (data)'!AE43</f>
        <v>17.2245248373825</v>
      </c>
      <c r="AF43" s="96" t="n">
        <f aca="false">Capitalization!AG12/'Ratio (data)'!AF43</f>
        <v>16.4073817670578</v>
      </c>
      <c r="AG43" s="31" t="n">
        <f aca="false">Capitalization!AH12/'Ratio (data)'!AG43</f>
        <v>15.8697385453275</v>
      </c>
      <c r="AH43" s="31" t="n">
        <f aca="false">Capitalization!AI12/'Ratio (data)'!AH43</f>
        <v>21.6536040153893</v>
      </c>
      <c r="AI43" s="74" t="n">
        <f aca="false">Capitalization!AJ12/'Ratio (data)'!AI43</f>
        <v>21.5239417158959</v>
      </c>
      <c r="AJ43" s="75" t="n">
        <f aca="false">Capitalization!AK12/'Ratio (data)'!AJ43</f>
        <v>19.8972685240941</v>
      </c>
      <c r="AK43" s="31" t="n">
        <f aca="false">Capitalization!AL12/'Ratio (data)'!AK43</f>
        <v>20.100249667459</v>
      </c>
      <c r="AL43" s="96" t="n">
        <f aca="false">Capitalization!AM12/'Ratio (data)'!AL43</f>
        <v>20.0587577316211</v>
      </c>
      <c r="AM43" s="31" t="n">
        <f aca="false">Capitalization!AN12/'Ratio (data)'!AM43</f>
        <v>19.1900203250157</v>
      </c>
      <c r="AN43" s="76" t="n">
        <f aca="false">Capitalization!AO12/'Ratio (data)'!AN43</f>
        <v>15.2524895716062</v>
      </c>
      <c r="AO43" s="31" t="n">
        <f aca="false">Capitalization!AP12/'Ratio (data)'!AO43</f>
        <v>14.0563732841486</v>
      </c>
      <c r="AP43" s="31" t="n">
        <f aca="false">Capitalization!AQ12/'Ratio (data)'!AP43</f>
        <v>13.4462737012844</v>
      </c>
      <c r="AQ43" s="96" t="n">
        <f aca="false">Capitalization!AR12/'Ratio (data)'!AQ43</f>
        <v>13.1452377228974</v>
      </c>
    </row>
    <row r="44" customFormat="false" ht="12.8" hidden="false" customHeight="false" outlineLevel="0" collapsed="false">
      <c r="A44" s="139" t="s">
        <v>186</v>
      </c>
      <c r="B44" s="65" t="n">
        <f aca="false">Capitalization!C13/'Ratio (data)'!B44</f>
        <v>37.6405082512766</v>
      </c>
      <c r="C44" s="65" t="n">
        <f aca="false">Capitalization!D13/'Ratio (data)'!C44</f>
        <v>35.5158001391228</v>
      </c>
      <c r="D44" s="63" t="n">
        <f aca="false">Capitalization!E13/'Ratio (data)'!D44</f>
        <v>34.4836368589898</v>
      </c>
      <c r="E44" s="65" t="n">
        <f aca="false">Capitalization!F13/'Ratio (data)'!E44</f>
        <v>37.5332101866555</v>
      </c>
      <c r="F44" s="63" t="n">
        <f aca="false">Capitalization!G13/'Ratio (data)'!F44</f>
        <v>30.5051165792043</v>
      </c>
      <c r="G44" s="65" t="n">
        <f aca="false">Capitalization!H13/'Ratio (data)'!G44</f>
        <v>26.8456285860054</v>
      </c>
      <c r="H44" s="63" t="n">
        <f aca="false">Capitalization!I13/'Ratio (data)'!H44</f>
        <v>75.4306518954766</v>
      </c>
      <c r="I44" s="66" t="n">
        <f aca="false">Capitalization!J13/'Ratio (data)'!I44</f>
        <v>73.2336426169675</v>
      </c>
      <c r="J44" s="67" t="n">
        <f aca="false">Capitalization!K13/'Ratio (data)'!J44</f>
        <v>69.9252395781034</v>
      </c>
      <c r="K44" s="65" t="n">
        <f aca="false">Capitalization!L13/'Ratio (data)'!K44</f>
        <v>64.4456055029314</v>
      </c>
      <c r="L44" s="63" t="n">
        <f aca="false">Capitalization!M13/'Ratio (data)'!L44</f>
        <v>64.4456055029314</v>
      </c>
      <c r="M44" s="65" t="n">
        <f aca="false">Capitalization!N13/'Ratio (data)'!M44</f>
        <v>64.4456055029314</v>
      </c>
      <c r="N44" s="65" t="n">
        <f aca="false">Capitalization!O13/'Ratio (data)'!N44</f>
        <v>63.7132690767618</v>
      </c>
      <c r="O44" s="63" t="n">
        <f aca="false">Capitalization!P13/'Ratio (data)'!O44</f>
        <v>64.8850073586332</v>
      </c>
      <c r="P44" s="68" t="n">
        <f aca="false">Capitalization!Q13/'Ratio (data)'!P44</f>
        <v>93.5628700347136</v>
      </c>
      <c r="Q44" s="67" t="n">
        <f aca="false">Capitalization!R13/'Ratio (data)'!Q44</f>
        <v>90.478379813789</v>
      </c>
      <c r="R44" s="63" t="n">
        <f aca="false">Capitalization!S13/'Ratio (data)'!R44</f>
        <v>90.478379813789</v>
      </c>
      <c r="S44" s="65" t="n">
        <f aca="false">Capitalization!T13/'Ratio (data)'!S44</f>
        <v>90.3153130974428</v>
      </c>
      <c r="T44" s="63" t="n">
        <f aca="false">Capitalization!U13/'Ratio (data)'!T44</f>
        <v>93.7479394479691</v>
      </c>
      <c r="U44" s="63" t="n">
        <f aca="false">Capitalization!V13/'Ratio (data)'!U44</f>
        <v>-58.7732734214044</v>
      </c>
      <c r="V44" s="65" t="n">
        <f aca="false">Capitalization!W13/'Ratio (data)'!V44</f>
        <v>-60.0509532783915</v>
      </c>
      <c r="W44" s="65" t="n">
        <f aca="false">Capitalization!X13/'Ratio (data)'!W44</f>
        <v>-60.0509532783915</v>
      </c>
      <c r="X44" s="66" t="n">
        <f aca="false">Capitalization!Y13/'Ratio (data)'!X44</f>
        <v>-60.0509532783915</v>
      </c>
      <c r="Y44" s="67" t="n">
        <f aca="false">Capitalization!Z13/'Ratio (data)'!Y44</f>
        <v>-61.9674730638721</v>
      </c>
      <c r="Z44" s="63" t="n">
        <f aca="false">Capitalization!AA13/'Ratio (data)'!Z44</f>
        <v>-60.0509532783915</v>
      </c>
      <c r="AA44" s="65" t="n">
        <f aca="false">Capitalization!AB13/'Ratio (data)'!AA44</f>
        <v>-63.8712160507828</v>
      </c>
      <c r="AB44" s="63" t="n">
        <f aca="false">Capitalization!AC13/'Ratio (data)'!AB44</f>
        <v>-57.4955935644174</v>
      </c>
      <c r="AC44" s="68" t="n">
        <f aca="false">Capitalization!AD13/'Ratio (data)'!AC44</f>
        <v>17.7347620402102</v>
      </c>
      <c r="AD44" s="67" t="n">
        <f aca="false">Capitalization!AE13/'Ratio (data)'!AD44</f>
        <v>17.7598660412717</v>
      </c>
      <c r="AE44" s="63" t="n">
        <f aca="false">Capitalization!AF13/'Ratio (data)'!AE44</f>
        <v>17.0485575969336</v>
      </c>
      <c r="AF44" s="65" t="n">
        <f aca="false">Capitalization!AG13/'Ratio (data)'!AF44</f>
        <v>17.0485575969336</v>
      </c>
      <c r="AG44" s="63" t="n">
        <f aca="false">Capitalization!AH13/'Ratio (data)'!AG44</f>
        <v>19.0943845085656</v>
      </c>
      <c r="AH44" s="63" t="n">
        <f aca="false">Capitalization!AI13/'Ratio (data)'!AH44</f>
        <v>17.7567081409331</v>
      </c>
      <c r="AI44" s="66" t="n">
        <f aca="false">Capitalization!AJ13/'Ratio (data)'!AI44</f>
        <v>23.0030082734816</v>
      </c>
      <c r="AJ44" s="67" t="n">
        <f aca="false">Capitalization!AK13/'Ratio (data)'!AJ44</f>
        <v>22.7214030248283</v>
      </c>
      <c r="AK44" s="63" t="n">
        <f aca="false">Capitalization!AL13/'Ratio (data)'!AK44</f>
        <v>21.4331538492036</v>
      </c>
      <c r="AL44" s="65" t="n">
        <f aca="false">Capitalization!AM13/'Ratio (data)'!AL44</f>
        <v>21.429118233717</v>
      </c>
      <c r="AM44" s="63" t="n">
        <f aca="false">Capitalization!AN13/'Ratio (data)'!AM44</f>
        <v>21.5300086208814</v>
      </c>
      <c r="AN44" s="68" t="n">
        <f aca="false">Capitalization!AO13/'Ratio (data)'!AN44</f>
        <v>20.7772139179313</v>
      </c>
      <c r="AO44" s="67" t="n">
        <f aca="false">Capitalization!AP13/'Ratio (data)'!AO44</f>
        <v>20.5664082335375</v>
      </c>
      <c r="AP44" s="63" t="n">
        <f aca="false">Capitalization!AQ13/'Ratio (data)'!AP44</f>
        <v>20.0550039264024</v>
      </c>
      <c r="AQ44" s="65" t="n">
        <f aca="false">Capitalization!AR13/'Ratio (data)'!AQ44</f>
        <v>19.5354141887903</v>
      </c>
    </row>
    <row r="45" customFormat="false" ht="12.8" hidden="false" customHeight="false" outlineLevel="0" collapsed="false">
      <c r="A45" s="139" t="s">
        <v>187</v>
      </c>
      <c r="B45" s="65" t="n">
        <f aca="false">Capitalization!C14/'Ratio (data)'!B45</f>
        <v>5.67476428615974</v>
      </c>
      <c r="C45" s="65" t="n">
        <f aca="false">Capitalization!D14/'Ratio (data)'!C45</f>
        <v>5.75784171664273</v>
      </c>
      <c r="D45" s="63" t="n">
        <f aca="false">Capitalization!E14/'Ratio (data)'!D45</f>
        <v>5.75784171664273</v>
      </c>
      <c r="E45" s="65" t="n">
        <f aca="false">Capitalization!F14/'Ratio (data)'!E45</f>
        <v>5.61924224103497</v>
      </c>
      <c r="F45" s="63" t="n">
        <f aca="false">Capitalization!G14/'Ratio (data)'!F45</f>
        <v>5.71671427580957</v>
      </c>
      <c r="G45" s="65" t="n">
        <f aca="false">Capitalization!H14/'Ratio (data)'!G45</f>
        <v>1.79183441078715</v>
      </c>
      <c r="H45" s="63" t="n">
        <f aca="false">Capitalization!I14/'Ratio (data)'!H45</f>
        <v>1.80540891389917</v>
      </c>
      <c r="I45" s="66" t="n">
        <f aca="false">Capitalization!J14/'Ratio (data)'!I45</f>
        <v>1.96830295124346</v>
      </c>
      <c r="J45" s="67" t="n">
        <f aca="false">Capitalization!K14/'Ratio (data)'!J45</f>
        <v>1.72396189522703</v>
      </c>
      <c r="K45" s="65" t="n">
        <f aca="false">Capitalization!L14/'Ratio (data)'!K45</f>
        <v>1.76183475890957</v>
      </c>
      <c r="L45" s="63" t="n">
        <f aca="false">Capitalization!M14/'Ratio (data)'!L45</f>
        <v>1.710387392115</v>
      </c>
      <c r="M45" s="65" t="n">
        <f aca="false">Capitalization!N14/'Ratio (data)'!M45</f>
        <v>1.710387392115</v>
      </c>
      <c r="N45" s="65" t="n">
        <f aca="false">Capitalization!O14/'Ratio (data)'!N45</f>
        <v>1.69681288900298</v>
      </c>
      <c r="O45" s="63" t="n">
        <f aca="false">Capitalization!P14/'Ratio (data)'!O45</f>
        <v>1.7646854045631</v>
      </c>
      <c r="P45" s="68" t="n">
        <f aca="false">Capitalization!Q14/'Ratio (data)'!P45</f>
        <v>2.30692777945948</v>
      </c>
      <c r="Q45" s="67" t="n">
        <f aca="false">Capitalization!R14/'Ratio (data)'!Q45</f>
        <v>2.2724960215571</v>
      </c>
      <c r="R45" s="63" t="n">
        <f aca="false">Capitalization!S14/'Ratio (data)'!R45</f>
        <v>2.03147371624044</v>
      </c>
      <c r="S45" s="65" t="n">
        <f aca="false">Capitalization!T14/'Ratio (data)'!S45</f>
        <v>2.09121281620107</v>
      </c>
      <c r="T45" s="63" t="n">
        <f aca="false">Capitalization!U14/'Ratio (data)'!T45</f>
        <v>2.08105544761987</v>
      </c>
      <c r="U45" s="63" t="n">
        <f aca="false">Capitalization!V14/'Ratio (data)'!U45</f>
        <v>19.5342068182812</v>
      </c>
      <c r="V45" s="65" t="n">
        <f aca="false">Capitalization!W14/'Ratio (data)'!V45</f>
        <v>17.0480350414091</v>
      </c>
      <c r="W45" s="65" t="n">
        <f aca="false">Capitalization!X14/'Ratio (data)'!W45</f>
        <v>15.6096070847902</v>
      </c>
      <c r="X45" s="66" t="n">
        <f aca="false">Capitalization!Y14/'Ratio (data)'!X45</f>
        <v>16.160116549669</v>
      </c>
      <c r="Y45" s="67" t="n">
        <f aca="false">Capitalization!Z14/'Ratio (data)'!Y45</f>
        <v>17.5807861364531</v>
      </c>
      <c r="Z45" s="63" t="n">
        <f aca="false">Capitalization!AA14/'Ratio (data)'!Z45</f>
        <v>16.0375837978089</v>
      </c>
      <c r="AA45" s="65" t="n">
        <f aca="false">Capitalization!AB14/'Ratio (data)'!AA45</f>
        <v>17.4032024381051</v>
      </c>
      <c r="AB45" s="63" t="n">
        <f aca="false">Capitalization!AC14/'Ratio (data)'!AB45</f>
        <v>16.515283946365</v>
      </c>
      <c r="AC45" s="68" t="n">
        <f aca="false">Capitalization!AD14/'Ratio (data)'!AC45</f>
        <v>56.2701729327749</v>
      </c>
      <c r="AD45" s="67" t="n">
        <f aca="false">Capitalization!AE14/'Ratio (data)'!AD45</f>
        <v>58.4665248440219</v>
      </c>
      <c r="AE45" s="63" t="n">
        <f aca="false">Capitalization!AF14/'Ratio (data)'!AE45</f>
        <v>65.3460072767708</v>
      </c>
      <c r="AF45" s="65" t="n">
        <f aca="false">Capitalization!AG14/'Ratio (data)'!AF45</f>
        <v>68.9309618426492</v>
      </c>
      <c r="AG45" s="63" t="n">
        <f aca="false">Capitalization!AH14/'Ratio (data)'!AG45</f>
        <v>261.54857398374</v>
      </c>
      <c r="AH45" s="63" t="n">
        <f aca="false">Capitalization!AI14/'Ratio (data)'!AH45</f>
        <v>251.358369802555</v>
      </c>
      <c r="AI45" s="66" t="n">
        <f aca="false">Capitalization!AJ14/'Ratio (data)'!AI45</f>
        <v>312.499594889663</v>
      </c>
      <c r="AJ45" s="67" t="n">
        <f aca="false">Capitalization!AK14/'Ratio (data)'!AJ45</f>
        <v>315.522688796748</v>
      </c>
      <c r="AK45" s="63" t="n">
        <f aca="false">Capitalization!AL14/'Ratio (data)'!AL45</f>
        <v>366.847350522648</v>
      </c>
      <c r="AL45" s="65" t="n">
        <f aca="false">Capitalization!AM14/'Ratio (data)'!AM45</f>
        <v>99.2231734831411</v>
      </c>
      <c r="AM45" s="63" t="n">
        <f aca="false">Capitalization!AN14/'Ratio (data)'!AM45</f>
        <v>104.194751632461</v>
      </c>
      <c r="AN45" s="68" t="n">
        <f aca="false">Capitalization!AO14/'Ratio (data)'!AN45</f>
        <v>109.156406472102</v>
      </c>
      <c r="AO45" s="67" t="n">
        <f aca="false">Capitalization!AP14/'Ratio (data)'!AO45</f>
        <v>113.125730343815</v>
      </c>
      <c r="AP45" s="63" t="n">
        <f aca="false">Capitalization!AQ14/'Ratio (data)'!AP45</f>
        <v>142.657499949359</v>
      </c>
      <c r="AQ45" s="65" t="n">
        <f aca="false">Capitalization!AR14/'Ratio (data)'!AQ45</f>
        <v>133.964680670308</v>
      </c>
    </row>
    <row r="46" customFormat="false" ht="12.8" hidden="false" customHeight="false" outlineLevel="0" collapsed="false">
      <c r="A46" s="139" t="s">
        <v>188</v>
      </c>
      <c r="B46" s="65" t="n">
        <f aca="false">Capitalization!C15/'Ratio (data)'!B46</f>
        <v>6.72983579197325</v>
      </c>
      <c r="C46" s="65" t="n">
        <f aca="false">Capitalization!D15/'Ratio (data)'!C46</f>
        <v>6.72983579197325</v>
      </c>
      <c r="D46" s="63" t="n">
        <f aca="false">Capitalization!E15/'Ratio (data)'!D46</f>
        <v>6.72983579197325</v>
      </c>
      <c r="E46" s="65" t="n">
        <f aca="false">Capitalization!F15/'Ratio (data)'!E46</f>
        <v>6.72983579197325</v>
      </c>
      <c r="F46" s="63" t="n">
        <f aca="false">Capitalization!G15/'Ratio (data)'!F46</f>
        <v>6.72983579197325</v>
      </c>
      <c r="G46" s="65" t="n">
        <f aca="false">Capitalization!H15/'Ratio (data)'!G46</f>
        <v>9.12132291100419</v>
      </c>
      <c r="H46" s="63" t="n">
        <f aca="false">Capitalization!I15/'Ratio (data)'!H46</f>
        <v>9.12132291100419</v>
      </c>
      <c r="I46" s="66" t="n">
        <f aca="false">Capitalization!J15/'Ratio (data)'!I46</f>
        <v>8.56001073186547</v>
      </c>
      <c r="J46" s="67" t="n">
        <f aca="false">Capitalization!K15/'Ratio (data)'!J46</f>
        <v>8.56141401231332</v>
      </c>
      <c r="K46" s="65" t="n">
        <f aca="false">Capitalization!L15/'Ratio (data)'!K46</f>
        <v>8.0842986600454</v>
      </c>
      <c r="L46" s="63" t="n">
        <f aca="false">Capitalization!M15/'Ratio (data)'!L46</f>
        <v>8.0842986600454</v>
      </c>
      <c r="M46" s="65" t="n">
        <f aca="false">Capitalization!N15/'Ratio (data)'!M46</f>
        <v>8.0842986600454</v>
      </c>
      <c r="N46" s="65" t="n">
        <f aca="false">Capitalization!O15/'Ratio (data)'!N46</f>
        <v>7.99869855272675</v>
      </c>
      <c r="O46" s="63" t="n">
        <f aca="false">Capitalization!P15/'Ratio (data)'!O46</f>
        <v>8.00150511362244</v>
      </c>
      <c r="P46" s="68" t="n">
        <f aca="false">Capitalization!Q15/'Ratio (data)'!P46</f>
        <v>11.3138096488624</v>
      </c>
      <c r="Q46" s="67" t="n">
        <f aca="false">Capitalization!R15/'Ratio (data)'!Q46</f>
        <v>10.8769143260599</v>
      </c>
      <c r="R46" s="63" t="n">
        <f aca="false">Capitalization!S15/'Ratio (data)'!R46</f>
        <v>10.2601209291623</v>
      </c>
      <c r="S46" s="65" t="n">
        <f aca="false">Capitalization!T15/'Ratio (data)'!S46</f>
        <v>10.2601209291623</v>
      </c>
      <c r="T46" s="63" t="n">
        <f aca="false">Capitalization!U15/'Ratio (data)'!T46</f>
        <v>9.90427858479831</v>
      </c>
      <c r="U46" s="63" t="n">
        <f aca="false">Capitalization!V15/'Ratio (data)'!U46</f>
        <v>25.4408444374651</v>
      </c>
      <c r="V46" s="65" t="n">
        <f aca="false">Capitalization!W15/'Ratio (data)'!V46</f>
        <v>25.4408444374651</v>
      </c>
      <c r="W46" s="65" t="n">
        <f aca="false">Capitalization!X15/'Ratio (data)'!W46</f>
        <v>25.4408444374651</v>
      </c>
      <c r="X46" s="66" t="n">
        <f aca="false">Capitalization!Y15/'Ratio (data)'!X46</f>
        <v>25.4408444374651</v>
      </c>
      <c r="Y46" s="67" t="n">
        <f aca="false">Capitalization!Z15/'Ratio (data)'!Y46</f>
        <v>25.4408444374651</v>
      </c>
      <c r="Z46" s="63" t="n">
        <f aca="false">Capitalization!AA15/'Ratio (data)'!Z46</f>
        <v>25.1216774799769</v>
      </c>
      <c r="AA46" s="65" t="n">
        <f aca="false">Capitalization!AB15/'Ratio (data)'!AA46</f>
        <v>24.8210129548069</v>
      </c>
      <c r="AB46" s="63" t="n">
        <f aca="false">Capitalization!AC15/'Ratio (data)'!AB46</f>
        <v>24.0531620136034</v>
      </c>
      <c r="AC46" s="68" t="n">
        <f aca="false">Capitalization!AD15/'Ratio (data)'!AC46</f>
        <v>10.8116876610292</v>
      </c>
      <c r="AD46" s="67" t="n">
        <f aca="false">Capitalization!AE15/'Ratio (data)'!AD46</f>
        <v>9.73268123245852</v>
      </c>
      <c r="AE46" s="63" t="n">
        <f aca="false">Capitalization!AF15/'Ratio (data)'!AE46</f>
        <v>9.73484356999072</v>
      </c>
      <c r="AF46" s="65" t="n">
        <f aca="false">Capitalization!AG15/'Ratio (data)'!AF46</f>
        <v>9.73484356999072</v>
      </c>
      <c r="AG46" s="63" t="n">
        <f aca="false">Capitalization!AH15/'Ratio (data)'!AG46</f>
        <v>9.57155852991419</v>
      </c>
      <c r="AH46" s="63" t="n">
        <f aca="false">Capitalization!AI15/'Ratio (data)'!AH46</f>
        <v>10.0285023887567</v>
      </c>
      <c r="AI46" s="66" t="n">
        <f aca="false">Capitalization!AJ15/'Ratio (data)'!AI46</f>
        <v>11.097346643352</v>
      </c>
      <c r="AJ46" s="67" t="n">
        <f aca="false">Capitalization!AK15/'Ratio (data)'!AJ46</f>
        <v>11.5651277547759</v>
      </c>
      <c r="AK46" s="63" t="n">
        <f aca="false">Capitalization!AL15/'Ratio (data)'!AL46</f>
        <v>11.120315148823</v>
      </c>
      <c r="AL46" s="65" t="n">
        <f aca="false">Capitalization!AM15/'Ratio (data)'!AM46</f>
        <v>9.74782307331332</v>
      </c>
      <c r="AM46" s="63" t="n">
        <f aca="false">Capitalization!AN15/'Ratio (data)'!AM46</f>
        <v>10.4102964860628</v>
      </c>
      <c r="AN46" s="68" t="n">
        <f aca="false">Capitalization!AO15/'Ratio (data)'!AN46</f>
        <v>10.4102964860628</v>
      </c>
      <c r="AO46" s="67" t="n">
        <f aca="false">Capitalization!AP15/'Ratio (data)'!AO46</f>
        <v>9.10049190999814</v>
      </c>
      <c r="AP46" s="63" t="n">
        <f aca="false">Capitalization!AQ15/'Ratio (data)'!AP46</f>
        <v>9.10049190999814</v>
      </c>
      <c r="AQ46" s="65" t="n">
        <f aca="false">Capitalization!AR15/'Ratio (data)'!AQ46</f>
        <v>9.27462777849228</v>
      </c>
    </row>
    <row r="47" customFormat="false" ht="12.8" hidden="false" customHeight="false" outlineLevel="0" collapsed="false">
      <c r="A47" s="139" t="s">
        <v>189</v>
      </c>
      <c r="B47" s="65" t="n">
        <f aca="false">Capitalization!C16/'Ratio (data)'!B47</f>
        <v>15.059990395421</v>
      </c>
      <c r="C47" s="65" t="n">
        <f aca="false">Capitalization!D16/'Ratio (data)'!C47</f>
        <v>15.5337703923889</v>
      </c>
      <c r="D47" s="63" t="n">
        <f aca="false">Capitalization!E16/'Ratio (data)'!D47</f>
        <v>15.818556182916</v>
      </c>
      <c r="E47" s="65" t="n">
        <f aca="false">Capitalization!F16/'Ratio (data)'!E47</f>
        <v>13.3763022823349</v>
      </c>
      <c r="F47" s="63" t="n">
        <f aca="false">Capitalization!G16/'Ratio (data)'!F47</f>
        <v>12.621188443816</v>
      </c>
      <c r="G47" s="65" t="n">
        <f aca="false">Capitalization!H16/'Ratio (data)'!G47</f>
        <v>12.5133150383133</v>
      </c>
      <c r="H47" s="63" t="n">
        <f aca="false">Capitalization!I16/'Ratio (data)'!H47</f>
        <v>12.5564644005143</v>
      </c>
      <c r="I47" s="66" t="n">
        <f aca="false">Capitalization!J16/'Ratio (data)'!I47</f>
        <v>21.6174508488934</v>
      </c>
      <c r="J47" s="67" t="n">
        <f aca="false">Capitalization!K16/'Ratio (data)'!J47</f>
        <v>21.6323697245656</v>
      </c>
      <c r="K47" s="65" t="n">
        <f aca="false">Capitalization!L16/'Ratio (data)'!K47</f>
        <v>18.6490421564129</v>
      </c>
      <c r="L47" s="63" t="n">
        <f aca="false">Capitalization!M16/'Ratio (data)'!L47</f>
        <v>18.6508324214935</v>
      </c>
      <c r="M47" s="65" t="n">
        <f aca="false">Capitalization!N16/'Ratio (data)'!M47</f>
        <v>18.6485945901427</v>
      </c>
      <c r="N47" s="65" t="n">
        <f aca="false">Capitalization!O16/'Ratio (data)'!N47</f>
        <v>18.6478486463591</v>
      </c>
      <c r="O47" s="63" t="n">
        <f aca="false">Capitalization!P16/'Ratio (data)'!O47</f>
        <v>18.6336757144706</v>
      </c>
      <c r="P47" s="68" t="n">
        <f aca="false">Capitalization!Q16/'Ratio (data)'!P47</f>
        <v>20.1554010330263</v>
      </c>
      <c r="Q47" s="67" t="n">
        <f aca="false">Capitalization!R16/'Ratio (data)'!Q47</f>
        <v>27.5802335316161</v>
      </c>
      <c r="R47" s="63" t="n">
        <f aca="false">Capitalization!S16/'Ratio (data)'!R47</f>
        <v>28.0890939288784</v>
      </c>
      <c r="S47" s="65" t="n">
        <f aca="false">Capitalization!T16/'Ratio (data)'!S47</f>
        <v>27.6820056110685</v>
      </c>
      <c r="T47" s="63" t="n">
        <f aca="false">Capitalization!U16/'Ratio (data)'!T47</f>
        <v>28.9181292880981</v>
      </c>
      <c r="U47" s="63" t="n">
        <f aca="false">Capitalization!V16/'Ratio (data)'!U47</f>
        <v>28.2926380877833</v>
      </c>
      <c r="V47" s="65" t="n">
        <f aca="false">Capitalization!W16/'Ratio (data)'!V47</f>
        <v>13.9599225761607</v>
      </c>
      <c r="W47" s="65" t="n">
        <f aca="false">Capitalization!X16/'Ratio (data)'!W47</f>
        <v>13.1229583256938</v>
      </c>
      <c r="X47" s="66" t="n">
        <f aca="false">Capitalization!Y16/'Ratio (data)'!X47</f>
        <v>13.1229583256938</v>
      </c>
      <c r="Y47" s="67" t="n">
        <f aca="false">Capitalization!Z16/'Ratio (data)'!Y47</f>
        <v>14.3250613784291</v>
      </c>
      <c r="Z47" s="63" t="n">
        <f aca="false">Capitalization!AA16/'Ratio (data)'!Z47</f>
        <v>14.1247108696398</v>
      </c>
      <c r="AA47" s="65" t="n">
        <f aca="false">Capitalization!AB16/'Ratio (data)'!AA47</f>
        <v>14.5057775373569</v>
      </c>
      <c r="AB47" s="63" t="n">
        <f aca="false">Capitalization!AC16/'Ratio (data)'!AB47</f>
        <v>14.627390296192</v>
      </c>
      <c r="AC47" s="68" t="n">
        <f aca="false">Capitalization!AD16/'Ratio (data)'!AC47</f>
        <v>14.0245356152452</v>
      </c>
      <c r="AD47" s="67" t="n">
        <f aca="false">Capitalization!AE16/'Ratio (data)'!AD47</f>
        <v>11.3413778043309</v>
      </c>
      <c r="AE47" s="63" t="n">
        <f aca="false">Capitalization!AF16/'Ratio (data)'!AE47</f>
        <v>10.8910737917859</v>
      </c>
      <c r="AF47" s="65" t="n">
        <f aca="false">Capitalization!AG16/'Ratio (data)'!AF47</f>
        <v>11.1840436767849</v>
      </c>
      <c r="AG47" s="63" t="n">
        <f aca="false">Capitalization!AH16/'Ratio (data)'!AG47</f>
        <v>9.80196641260731</v>
      </c>
      <c r="AH47" s="63" t="n">
        <f aca="false">Capitalization!AI16/'Ratio (data)'!AH47</f>
        <v>9.76845541632489</v>
      </c>
      <c r="AI47" s="66" t="n">
        <f aca="false">Capitalization!AJ16/'Ratio (data)'!AI47</f>
        <v>14.0159741951214</v>
      </c>
      <c r="AJ47" s="67" t="n">
        <f aca="false">Capitalization!AK16/'Ratio (data)'!AJ47</f>
        <v>13.9684750302011</v>
      </c>
      <c r="AK47" s="63" t="n">
        <f aca="false">Capitalization!AL16/'Ratio (data)'!AK47</f>
        <v>12.8192268599587</v>
      </c>
      <c r="AL47" s="65" t="n">
        <f aca="false">Capitalization!AM16/'Ratio (data)'!AL47</f>
        <v>13.2674515753419</v>
      </c>
      <c r="AM47" s="63" t="n">
        <f aca="false">Capitalization!AN16/'Ratio (data)'!AM47</f>
        <v>11.5641976568858</v>
      </c>
      <c r="AN47" s="68" t="n">
        <f aca="false">Capitalization!AO16/'Ratio (data)'!AN47</f>
        <v>12.3710021445755</v>
      </c>
      <c r="AO47" s="67" t="n">
        <f aca="false">Capitalization!AP16/'Ratio (data)'!AO47</f>
        <v>11.5527083158401</v>
      </c>
      <c r="AP47" s="63" t="n">
        <f aca="false">Capitalization!AQ16/'Ratio (data)'!AP47</f>
        <v>10.8721185031968</v>
      </c>
      <c r="AQ47" s="65" t="n">
        <f aca="false">Capitalization!AR16/'Ratio (data)'!AQ47</f>
        <v>10.08281203916</v>
      </c>
    </row>
    <row r="48" customFormat="false" ht="12.8" hidden="false" customHeight="false" outlineLevel="0" collapsed="false">
      <c r="A48" s="139" t="s">
        <v>190</v>
      </c>
      <c r="B48" s="65" t="n">
        <f aca="false">Capitalization!C17/'Ratio (data)'!B48</f>
        <v>11.2727282909915</v>
      </c>
      <c r="C48" s="65" t="n">
        <f aca="false">Capitalization!D17/'Ratio (data)'!C48</f>
        <v>11.2759966958309</v>
      </c>
      <c r="D48" s="63" t="n">
        <f aca="false">Capitalization!E17/'Ratio (data)'!D48</f>
        <v>11.2759966958309</v>
      </c>
      <c r="E48" s="65" t="n">
        <f aca="false">Capitalization!F17/'Ratio (data)'!E48</f>
        <v>11.2759966958309</v>
      </c>
      <c r="F48" s="63" t="n">
        <f aca="false">Capitalization!G17/'Ratio (data)'!F48</f>
        <v>11.2759966958309</v>
      </c>
      <c r="G48" s="65" t="n">
        <f aca="false">Capitalization!H17/'Ratio (data)'!G48</f>
        <v>17.7328412152633</v>
      </c>
      <c r="H48" s="63" t="n">
        <f aca="false">Capitalization!I17/'Ratio (data)'!H48</f>
        <v>17.2163657524631</v>
      </c>
      <c r="I48" s="66" t="n">
        <f aca="false">Capitalization!J17/'Ratio (data)'!I48</f>
        <v>17.2163657524631</v>
      </c>
      <c r="J48" s="67" t="n">
        <f aca="false">Capitalization!K17/'Ratio (data)'!J48</f>
        <v>15.5619898956455</v>
      </c>
      <c r="K48" s="65" t="n">
        <f aca="false">Capitalization!L17/'Ratio (data)'!K48</f>
        <v>15.5619898956455</v>
      </c>
      <c r="L48" s="63" t="n">
        <f aca="false">Capitalization!M17/'Ratio (data)'!L48</f>
        <v>15.5619898956455</v>
      </c>
      <c r="M48" s="65" t="n">
        <f aca="false">Capitalization!N17/'Ratio (data)'!M48</f>
        <v>15.5619898956455</v>
      </c>
      <c r="N48" s="65" t="n">
        <f aca="false">Capitalization!O17/'Ratio (data)'!N48</f>
        <v>15.5619898956455</v>
      </c>
      <c r="O48" s="63" t="n">
        <f aca="false">Capitalization!P17/'Ratio (data)'!O48</f>
        <v>15.5097736576647</v>
      </c>
      <c r="P48" s="68" t="n">
        <f aca="false">Capitalization!Q17/'Ratio (data)'!P48</f>
        <v>13.7799787322194</v>
      </c>
      <c r="Q48" s="67" t="n">
        <f aca="false">Capitalization!R17/'Ratio (data)'!Q48</f>
        <v>13.7799787322194</v>
      </c>
      <c r="R48" s="63" t="n">
        <f aca="false">Capitalization!S17/'Ratio (data)'!R48</f>
        <v>14.2097418189305</v>
      </c>
      <c r="S48" s="65" t="n">
        <f aca="false">Capitalization!T17/'Ratio (data)'!S48</f>
        <v>14.2106030676013</v>
      </c>
      <c r="T48" s="63" t="n">
        <f aca="false">Capitalization!U17/'Ratio (data)'!T48</f>
        <v>14.2106030676013</v>
      </c>
      <c r="U48" s="63" t="n">
        <f aca="false">Capitalization!V17/'Ratio (data)'!U48</f>
        <v>16.0011524089014</v>
      </c>
      <c r="V48" s="65" t="n">
        <f aca="false">Capitalization!W17/'Ratio (data)'!V48</f>
        <v>17.9406860342228</v>
      </c>
      <c r="W48" s="65" t="n">
        <f aca="false">Capitalization!X17/'Ratio (data)'!W48</f>
        <v>17.9406860342228</v>
      </c>
      <c r="X48" s="66" t="n">
        <f aca="false">Capitalization!Y17/'Ratio (data)'!X48</f>
        <v>17.9406860342228</v>
      </c>
      <c r="Y48" s="67" t="n">
        <f aca="false">Capitalization!Z17/'Ratio (data)'!Y48</f>
        <v>17.9358372001595</v>
      </c>
      <c r="Z48" s="63" t="n">
        <f aca="false">Capitalization!AA17/'Ratio (data)'!Z48</f>
        <v>18.3761113331074</v>
      </c>
      <c r="AA48" s="65" t="n">
        <f aca="false">Capitalization!AB17/'Ratio (data)'!AA48</f>
        <v>16.7289624018032</v>
      </c>
      <c r="AB48" s="63" t="n">
        <f aca="false">Capitalization!AC17/'Ratio (data)'!AB48</f>
        <v>16.7284775183969</v>
      </c>
      <c r="AC48" s="68" t="n">
        <f aca="false">Capitalization!AD17/'Ratio (data)'!AC48</f>
        <v>68.7830949448455</v>
      </c>
      <c r="AD48" s="67" t="n">
        <f aca="false">Capitalization!AE17/'Ratio (data)'!AD48</f>
        <v>65.7925255994174</v>
      </c>
      <c r="AE48" s="63" t="n">
        <f aca="false">Capitalization!AF17/'Ratio (data)'!AE48</f>
        <v>64.6860149416091</v>
      </c>
      <c r="AF48" s="65" t="n">
        <f aca="false">Capitalization!AG17/'Ratio (data)'!AF48</f>
        <v>64.6860149416091</v>
      </c>
      <c r="AG48" s="63" t="n">
        <f aca="false">Capitalization!AH17/'Ratio (data)'!AG48</f>
        <v>62.8019562539894</v>
      </c>
      <c r="AH48" s="63" t="n">
        <f aca="false">Capitalization!AI17/'Ratio (data)'!AH48</f>
        <v>14.0019673620844</v>
      </c>
      <c r="AI48" s="66" t="n">
        <f aca="false">Capitalization!AJ17/'Ratio (data)'!AI48</f>
        <v>14.0019673620844</v>
      </c>
      <c r="AJ48" s="67" t="n">
        <f aca="false">Capitalization!AK17/'Ratio (data)'!AJ48</f>
        <v>15.1752752272129</v>
      </c>
      <c r="AK48" s="63" t="n">
        <f aca="false">Capitalization!AL17/'Ratio (data)'!AM48</f>
        <v>14.6200822310953</v>
      </c>
      <c r="AL48" s="65" t="n">
        <f aca="false">Capitalization!AM17/'Ratio (data)'!AN48</f>
        <v>8.82874710487497</v>
      </c>
      <c r="AM48" s="63" t="n">
        <f aca="false">Capitalization!AN17/'Ratio (data)'!AM48</f>
        <v>15.2130283509488</v>
      </c>
      <c r="AN48" s="68" t="n">
        <f aca="false">Capitalization!AO17/'Ratio (data)'!AN48</f>
        <v>9.94631002954268</v>
      </c>
      <c r="AO48" s="67" t="n">
        <f aca="false">Capitalization!AP17/'Ratio (data)'!AO48</f>
        <v>10.2860491586417</v>
      </c>
      <c r="AP48" s="63" t="n">
        <f aca="false">Capitalization!AQ17/'Ratio (data)'!AP48</f>
        <v>10.3933351994098</v>
      </c>
      <c r="AQ48" s="65" t="n">
        <f aca="false">Capitalization!AR17/'Ratio (data)'!AQ48</f>
        <v>9.94631002954268</v>
      </c>
    </row>
    <row r="49" customFormat="false" ht="12.8" hidden="false" customHeight="false" outlineLevel="0" collapsed="false">
      <c r="A49" s="139" t="s">
        <v>26</v>
      </c>
      <c r="B49" s="65" t="n">
        <f aca="false">Capitalization!C18/'Ratio (data)'!B49</f>
        <v>-6.58117849371229</v>
      </c>
      <c r="C49" s="65" t="n">
        <f aca="false">Capitalization!D18/'Ratio (data)'!C49</f>
        <v>-6.88956358617402</v>
      </c>
      <c r="D49" s="63" t="n">
        <f aca="false">Capitalization!E18/'Ratio (data)'!D49</f>
        <v>-6.33516965903225</v>
      </c>
      <c r="E49" s="65" t="n">
        <f aca="false">Capitalization!F18/'Ratio (data)'!E49</f>
        <v>-6.37541704989238</v>
      </c>
      <c r="F49" s="63" t="n">
        <f aca="false">Capitalization!G18/'Ratio (data)'!F49</f>
        <v>-6.16975843537972</v>
      </c>
      <c r="G49" s="65" t="n">
        <f aca="false">Capitalization!H18/'Ratio (data)'!G49</f>
        <v>37.8057980698925</v>
      </c>
      <c r="H49" s="63" t="n">
        <f aca="false">Capitalization!I18/'Ratio (data)'!H49</f>
        <v>34.5075681003468</v>
      </c>
      <c r="I49" s="66" t="n">
        <f aca="false">Capitalization!J18/'Ratio (data)'!I49</f>
        <v>33.2430293373193</v>
      </c>
      <c r="J49" s="67" t="n">
        <f aca="false">Capitalization!K18/'Ratio (data)'!J49</f>
        <v>31.2875570233594</v>
      </c>
      <c r="K49" s="65" t="n">
        <f aca="false">Capitalization!L18/'Ratio (data)'!K49</f>
        <v>36.2674931829107</v>
      </c>
      <c r="L49" s="63" t="n">
        <f aca="false">Capitalization!M18/'Ratio (data)'!L49</f>
        <v>35.2115381333723</v>
      </c>
      <c r="M49" s="65" t="n">
        <f aca="false">Capitalization!N18/'Ratio (data)'!M49</f>
        <v>31.2875570233594</v>
      </c>
      <c r="N49" s="65" t="n">
        <f aca="false">Capitalization!O18/'Ratio (data)'!N49</f>
        <v>31.2875570233594</v>
      </c>
      <c r="O49" s="63" t="n">
        <f aca="false">Capitalization!P18/'Ratio (data)'!O49</f>
        <v>31.1571922024287</v>
      </c>
      <c r="P49" s="68" t="n">
        <f aca="false">Capitalization!Q18/'Ratio (data)'!P49</f>
        <v>2.94108508722098</v>
      </c>
      <c r="Q49" s="67" t="n">
        <f aca="false">Capitalization!R18/'Ratio (data)'!Q49</f>
        <v>2.74878336997961</v>
      </c>
      <c r="R49" s="63" t="n">
        <f aca="false">Capitalization!S18/'Ratio (data)'!R49</f>
        <v>3.05307255784978</v>
      </c>
      <c r="S49" s="65" t="n">
        <f aca="false">Capitalization!T18/'Ratio (data)'!S49</f>
        <v>3.05307255784978</v>
      </c>
      <c r="T49" s="63" t="n">
        <f aca="false">Capitalization!U18/'Ratio (data)'!T49</f>
        <v>3.39280182102096</v>
      </c>
      <c r="U49" s="63" t="n">
        <f aca="false">Capitalization!V18/'Ratio (data)'!U49</f>
        <v>14.6190766518073</v>
      </c>
      <c r="V49" s="65" t="n">
        <f aca="false">Capitalization!W18/'Ratio (data)'!V49</f>
        <v>14.4116774889471</v>
      </c>
      <c r="W49" s="65" t="n">
        <f aca="false">Capitalization!X18/'Ratio (data)'!W49</f>
        <v>14.4116774889471</v>
      </c>
      <c r="X49" s="66" t="n">
        <f aca="false">Capitalization!Y18/'Ratio (data)'!X49</f>
        <v>15.8173616232669</v>
      </c>
      <c r="Y49" s="67" t="n">
        <f aca="false">Capitalization!Z18/'Ratio (data)'!Y49</f>
        <v>14.8587336460992</v>
      </c>
      <c r="Z49" s="63" t="n">
        <f aca="false">Capitalization!AA18/'Ratio (data)'!Z49</f>
        <v>14.3794196575154</v>
      </c>
      <c r="AA49" s="65" t="n">
        <f aca="false">Capitalization!AB18/'Ratio (data)'!AA49</f>
        <v>14.3794196575154</v>
      </c>
      <c r="AB49" s="63" t="n">
        <f aca="false">Capitalization!AC18/'Ratio (data)'!AB49</f>
        <v>15.0983906403911</v>
      </c>
      <c r="AC49" s="68" t="n">
        <f aca="false">Capitalization!AD18/'Ratio (data)'!AC49</f>
        <v>68.6979948636175</v>
      </c>
      <c r="AD49" s="67" t="n">
        <f aca="false">Capitalization!AE18/'Ratio (data)'!AD49</f>
        <v>66.4893520280826</v>
      </c>
      <c r="AE49" s="63" t="n">
        <f aca="false">Capitalization!AF18/'Ratio (data)'!AE49</f>
        <v>67.2255663065942</v>
      </c>
      <c r="AF49" s="65" t="n">
        <f aca="false">Capitalization!AG18/'Ratio (data)'!AF49</f>
        <v>63.3721747594719</v>
      </c>
      <c r="AG49" s="63" t="n">
        <f aca="false">Capitalization!AH18/'Ratio (data)'!AG49</f>
        <v>59.831674280717</v>
      </c>
      <c r="AH49" s="63" t="n">
        <f aca="false">Capitalization!AI18/'Ratio (data)'!AH49</f>
        <v>26.0780638661796</v>
      </c>
      <c r="AI49" s="66" t="n">
        <f aca="false">Capitalization!AJ18/'Ratio (data)'!AI49</f>
        <v>36.4742541007617</v>
      </c>
      <c r="AJ49" s="67" t="n">
        <f aca="false">Capitalization!AK18/'Ratio (data)'!AJ49</f>
        <v>35.1486947761552</v>
      </c>
      <c r="AK49" s="63" t="n">
        <f aca="false">Capitalization!AL18/'Ratio (data)'!AK49</f>
        <v>30.075831056865</v>
      </c>
      <c r="AL49" s="65" t="n">
        <f aca="false">Capitalization!AM18/'Ratio (data)'!AL49</f>
        <v>28.7419947815531</v>
      </c>
      <c r="AM49" s="63" t="n">
        <f aca="false">Capitalization!AN18/'Ratio (data)'!AM49</f>
        <v>26.9921566961324</v>
      </c>
      <c r="AN49" s="68" t="n">
        <f aca="false">Capitalization!AO18/'Ratio (data)'!AN49</f>
        <v>24.0363378428794</v>
      </c>
      <c r="AO49" s="67" t="n">
        <f aca="false">Capitalization!AP18/'Ratio (data)'!AO49</f>
        <v>19.4222032109054</v>
      </c>
      <c r="AP49" s="63" t="n">
        <f aca="false">Capitalization!AQ18/'Ratio (data)'!AP49</f>
        <v>22.1540177746823</v>
      </c>
      <c r="AQ49" s="65" t="n">
        <f aca="false">Capitalization!AR18/'Ratio (data)'!AQ49</f>
        <v>20.8743305537768</v>
      </c>
    </row>
    <row r="50" customFormat="false" ht="12.8" hidden="false" customHeight="false" outlineLevel="0" collapsed="false">
      <c r="A50" s="139" t="s">
        <v>191</v>
      </c>
      <c r="B50" s="65" t="n">
        <f aca="false">Capitalization!C19/'Ratio (data)'!B50</f>
        <v>25.5759583625402</v>
      </c>
      <c r="C50" s="65" t="n">
        <f aca="false">Capitalization!D19/'Ratio (data)'!C50</f>
        <v>27.8839145766341</v>
      </c>
      <c r="D50" s="63" t="n">
        <f aca="false">Capitalization!E19/'Ratio (data)'!D50</f>
        <v>27.8839145766341</v>
      </c>
      <c r="E50" s="65" t="n">
        <f aca="false">Capitalization!F19/'Ratio (data)'!E50</f>
        <v>27.1287844059801</v>
      </c>
      <c r="F50" s="63" t="n">
        <f aca="false">Capitalization!G19/'Ratio (data)'!F50</f>
        <v>27.4028125312931</v>
      </c>
      <c r="G50" s="65" t="n">
        <f aca="false">Capitalization!H19/'Ratio (data)'!G50</f>
        <v>26.3158343008851</v>
      </c>
      <c r="H50" s="63" t="n">
        <f aca="false">Capitalization!I19/'Ratio (data)'!H50</f>
        <v>25.5759583625402</v>
      </c>
      <c r="I50" s="66" t="n">
        <f aca="false">Capitalization!J19/'Ratio (data)'!I50</f>
        <v>25.5759583625402</v>
      </c>
      <c r="J50" s="67" t="n">
        <f aca="false">Capitalization!K19/'Ratio (data)'!J50</f>
        <v>18.5169979364649</v>
      </c>
      <c r="K50" s="65" t="n">
        <f aca="false">Capitalization!L19/'Ratio (data)'!K50</f>
        <v>19.2046482445772</v>
      </c>
      <c r="L50" s="63" t="n">
        <f aca="false">Capitalization!M19/'Ratio (data)'!L50</f>
        <v>19.2046482445772</v>
      </c>
      <c r="M50" s="65" t="n">
        <f aca="false">Capitalization!N19/'Ratio (data)'!M50</f>
        <v>19.2046482445772</v>
      </c>
      <c r="N50" s="65" t="n">
        <f aca="false">Capitalization!O19/'Ratio (data)'!N50</f>
        <v>19.1426977663688</v>
      </c>
      <c r="O50" s="63" t="n">
        <f aca="false">Capitalization!P19/'Ratio (data)'!O50</f>
        <v>19.2046482445772</v>
      </c>
      <c r="P50" s="68" t="n">
        <f aca="false">Capitalization!Q19/'Ratio (data)'!P50</f>
        <v>16.0658033651965</v>
      </c>
      <c r="Q50" s="67" t="n">
        <f aca="false">Capitalization!R19/'Ratio (data)'!Q50</f>
        <v>16.5615136847069</v>
      </c>
      <c r="R50" s="63" t="n">
        <f aca="false">Capitalization!S19/'Ratio (data)'!R50</f>
        <v>15.0179806092922</v>
      </c>
      <c r="S50" s="65" t="n">
        <f aca="false">Capitalization!T19/'Ratio (data)'!S50</f>
        <v>15.1041004804527</v>
      </c>
      <c r="T50" s="63" t="n">
        <f aca="false">Capitalization!U19/'Ratio (data)'!T50</f>
        <v>14.9738607368361</v>
      </c>
      <c r="U50" s="63" t="n">
        <f aca="false">Capitalization!V19/'Ratio (data)'!U50</f>
        <v>15.5678228636245</v>
      </c>
      <c r="V50" s="65" t="n">
        <f aca="false">Capitalization!W19/'Ratio (data)'!V50</f>
        <v>15.2697156172998</v>
      </c>
      <c r="W50" s="65" t="n">
        <f aca="false">Capitalization!X19/'Ratio (data)'!W50</f>
        <v>39.0465779339438</v>
      </c>
      <c r="X50" s="66" t="n">
        <f aca="false">Capitalization!Y19/'Ratio (data)'!X50</f>
        <v>39.0465779339438</v>
      </c>
      <c r="Y50" s="67" t="n">
        <f aca="false">Capitalization!Z19/'Ratio (data)'!Y50</f>
        <v>39.8088755508754</v>
      </c>
      <c r="Z50" s="63" t="n">
        <f aca="false">Capitalization!AA19/'Ratio (data)'!Z50</f>
        <v>37.6744422234668</v>
      </c>
      <c r="AA50" s="65" t="n">
        <f aca="false">Capitalization!AB19/'Ratio (data)'!AA50</f>
        <v>38.0132411643253</v>
      </c>
      <c r="AB50" s="63" t="n">
        <f aca="false">Capitalization!AC19/'Ratio (data)'!AB50</f>
        <v>34.5574919675685</v>
      </c>
      <c r="AC50" s="68" t="n">
        <f aca="false">Capitalization!AD19/'Ratio (data)'!AC50</f>
        <v>32.1858993815589</v>
      </c>
      <c r="AD50" s="67" t="n">
        <f aca="false">Capitalization!AE19/'Ratio (data)'!AD50</f>
        <v>18.8998941031965</v>
      </c>
      <c r="AE50" s="63" t="n">
        <f aca="false">Capitalization!AF19/'Ratio (data)'!AE50</f>
        <v>19.4232757860542</v>
      </c>
      <c r="AF50" s="65" t="n">
        <f aca="false">Capitalization!AG19/'Ratio (data)'!AF50</f>
        <v>18.2892821398624</v>
      </c>
      <c r="AG50" s="63" t="n">
        <f aca="false">Capitalization!AH19/'Ratio (data)'!AG50</f>
        <v>13.8057426459149</v>
      </c>
      <c r="AH50" s="63" t="n">
        <f aca="false">Capitalization!AI19/'Ratio (data)'!AH50</f>
        <v>-172.176839895578</v>
      </c>
      <c r="AI50" s="66" t="n">
        <f aca="false">Capitalization!AJ19/'Ratio (data)'!AI50</f>
        <v>-194.164555935776</v>
      </c>
      <c r="AJ50" s="67" t="n">
        <f aca="false">Capitalization!AK19/'Ratio (data)'!AJ50</f>
        <v>-198.499614917207</v>
      </c>
      <c r="AK50" s="63" t="n">
        <f aca="false">Capitalization!AL19/'Ratio (data)'!AK50</f>
        <v>-207.130032957086</v>
      </c>
      <c r="AL50" s="65" t="n">
        <f aca="false">Capitalization!AM19/'Ratio (data)'!AL50</f>
        <v>-202.901128117545</v>
      </c>
      <c r="AM50" s="63" t="n">
        <f aca="false">Capitalization!AN19/'Ratio (data)'!AM50</f>
        <v>-205.802674662552</v>
      </c>
      <c r="AN50" s="68" t="n">
        <f aca="false">Capitalization!AO19/'Ratio (data)'!AN50</f>
        <v>-280.77145860149</v>
      </c>
      <c r="AO50" s="67" t="n">
        <f aca="false">Capitalization!AP19/'Ratio (data)'!AO50</f>
        <v>-288.822086215447</v>
      </c>
      <c r="AP50" s="63" t="n">
        <f aca="false">Capitalization!AQ19/'Ratio (data)'!AP50</f>
        <v>-289.455111960299</v>
      </c>
      <c r="AQ50" s="65" t="n">
        <f aca="false">Capitalization!AR19/'Ratio (data)'!AQ50</f>
        <v>-283.162609526379</v>
      </c>
    </row>
    <row r="51" customFormat="false" ht="12.8" hidden="false" customHeight="false" outlineLevel="0" collapsed="false">
      <c r="A51" s="139" t="s">
        <v>192</v>
      </c>
      <c r="B51" s="65" t="n">
        <f aca="false">Capitalization!C20/'Ratio (data)'!B51</f>
        <v>6.67371055669864</v>
      </c>
      <c r="C51" s="65" t="n">
        <f aca="false">Capitalization!D20/'Ratio (data)'!C51</f>
        <v>6.67358595651275</v>
      </c>
      <c r="D51" s="63" t="n">
        <f aca="false">Capitalization!E20/'Ratio (data)'!D51</f>
        <v>6.67358595651275</v>
      </c>
      <c r="E51" s="65" t="n">
        <f aca="false">Capitalization!F20/'Ratio (data)'!E51</f>
        <v>6.67358595651275</v>
      </c>
      <c r="F51" s="63" t="n">
        <f aca="false">Capitalization!G20/'Ratio (data)'!F51</f>
        <v>6.67358595651275</v>
      </c>
      <c r="G51" s="65" t="n">
        <f aca="false">Capitalization!H20/'Ratio (data)'!G51</f>
        <v>10.4066090909903</v>
      </c>
      <c r="H51" s="63" t="n">
        <f aca="false">Capitalization!I20/'Ratio (data)'!H51</f>
        <v>10.1060297506829</v>
      </c>
      <c r="I51" s="66" t="n">
        <f aca="false">Capitalization!J20/'Ratio (data)'!I51</f>
        <v>10.2861372115861</v>
      </c>
      <c r="J51" s="67" t="n">
        <f aca="false">Capitalization!K20/'Ratio (data)'!J51</f>
        <v>10.2861372115861</v>
      </c>
      <c r="K51" s="65" t="n">
        <f aca="false">Capitalization!L20/'Ratio (data)'!K51</f>
        <v>10.2887387637992</v>
      </c>
      <c r="L51" s="63" t="n">
        <f aca="false">Capitalization!M20/'Ratio (data)'!L51</f>
        <v>10.2881384055962</v>
      </c>
      <c r="M51" s="65" t="n">
        <f aca="false">Capitalization!N20/'Ratio (data)'!M51</f>
        <v>10.2881384055962</v>
      </c>
      <c r="N51" s="65" t="n">
        <f aca="false">Capitalization!O20/'Ratio (data)'!N51</f>
        <v>10.2881384055962</v>
      </c>
      <c r="O51" s="63" t="n">
        <f aca="false">Capitalization!P20/'Ratio (data)'!O51</f>
        <v>10.2881384055962</v>
      </c>
      <c r="P51" s="68" t="n">
        <f aca="false">Capitalization!Q20/'Ratio (data)'!P51</f>
        <v>12.6576839027041</v>
      </c>
      <c r="Q51" s="67" t="n">
        <f aca="false">Capitalization!R20/'Ratio (data)'!Q51</f>
        <v>12.6457539461511</v>
      </c>
      <c r="R51" s="63" t="n">
        <f aca="false">Capitalization!S20/'Ratio (data)'!R51</f>
        <v>12.8843530772105</v>
      </c>
      <c r="S51" s="65" t="n">
        <f aca="false">Capitalization!T20/'Ratio (data)'!S51</f>
        <v>12.8843530772105</v>
      </c>
      <c r="T51" s="63" t="n">
        <f aca="false">Capitalization!U20/'Ratio (data)'!T51</f>
        <v>13.2422517737997</v>
      </c>
      <c r="U51" s="63" t="n">
        <f aca="false">Capitalization!V20/'Ratio (data)'!U51</f>
        <v>147.808610339993</v>
      </c>
      <c r="V51" s="65" t="n">
        <f aca="false">Capitalization!W20/'Ratio (data)'!V51</f>
        <v>154.291444126835</v>
      </c>
      <c r="W51" s="65" t="n">
        <f aca="false">Capitalization!X20/'Ratio (data)'!W51</f>
        <v>154.291444126835</v>
      </c>
      <c r="X51" s="66" t="n">
        <f aca="false">Capitalization!Y20/'Ratio (data)'!X51</f>
        <v>154.291444126835</v>
      </c>
      <c r="Y51" s="67" t="n">
        <f aca="false">Capitalization!Z20/'Ratio (data)'!Y51</f>
        <v>155.199040856993</v>
      </c>
      <c r="Z51" s="63" t="n">
        <f aca="false">Capitalization!AA20/'Ratio (data)'!Z51</f>
        <v>160.981728594855</v>
      </c>
      <c r="AA51" s="65" t="n">
        <f aca="false">Capitalization!AB20/'Ratio (data)'!AA51</f>
        <v>160.981728594855</v>
      </c>
      <c r="AB51" s="63" t="n">
        <f aca="false">Capitalization!AC20/'Ratio (data)'!AB51</f>
        <v>171.146811972623</v>
      </c>
      <c r="AC51" s="68" t="n">
        <f aca="false">Capitalization!AD20/'Ratio (data)'!AC51</f>
        <v>69.4662535696073</v>
      </c>
      <c r="AD51" s="67" t="n">
        <f aca="false">Capitalization!AE20/'Ratio (data)'!AD51</f>
        <v>62.3143993139225</v>
      </c>
      <c r="AE51" s="63" t="n">
        <f aca="false">Capitalization!AF20/'Ratio (data)'!AE51</f>
        <v>62.3143993139225</v>
      </c>
      <c r="AF51" s="65" t="n">
        <f aca="false">Capitalization!AG20/'Ratio (data)'!AF51</f>
        <v>63.335946843659</v>
      </c>
      <c r="AG51" s="63" t="n">
        <f aca="false">Capitalization!AH20/'Ratio (data)'!AG51</f>
        <v>60.7820780193179</v>
      </c>
      <c r="AH51" s="63" t="n">
        <f aca="false">Capitalization!AI20/'Ratio (data)'!AH51</f>
        <v>34.2490077402389</v>
      </c>
      <c r="AI51" s="66" t="n">
        <f aca="false">Capitalization!AJ20/'Ratio (data)'!AI51</f>
        <v>47.4079044664736</v>
      </c>
      <c r="AJ51" s="67" t="n">
        <f aca="false">Capitalization!AK20/'Ratio (data)'!AJ51</f>
        <v>47.4079044664736</v>
      </c>
      <c r="AK51" s="63" t="n">
        <f aca="false">Capitalization!AL20/'Ratio (data)'!AK51</f>
        <v>48.3688755029562</v>
      </c>
      <c r="AL51" s="65" t="n">
        <f aca="false">Capitalization!AM20/'Ratio (data)'!AL51</f>
        <v>48.3688755029562</v>
      </c>
      <c r="AM51" s="63" t="n">
        <f aca="false">Capitalization!AN20/'Ratio (data)'!AM51</f>
        <v>49.3939112752043</v>
      </c>
      <c r="AN51" s="68" t="n">
        <f aca="false">Capitalization!AO20/'Ratio (data)'!AN51</f>
        <v>17.077992955831</v>
      </c>
      <c r="AO51" s="67" t="n">
        <f aca="false">Capitalization!AP20/'Ratio (data)'!AO51</f>
        <v>15.2578384434332</v>
      </c>
      <c r="AP51" s="63" t="n">
        <f aca="false">Capitalization!AQ20/'Ratio (data)'!AP51</f>
        <v>14.1186127225408</v>
      </c>
      <c r="AQ51" s="65" t="n">
        <f aca="false">Capitalization!AR20/'Ratio (data)'!AQ51</f>
        <v>13.7298074947536</v>
      </c>
    </row>
    <row r="52" customFormat="false" ht="12.8" hidden="false" customHeight="false" outlineLevel="0" collapsed="false">
      <c r="A52" s="139" t="s">
        <v>193</v>
      </c>
      <c r="B52" s="65" t="n">
        <f aca="false">Capitalization!C21/'Ratio (data)'!B52</f>
        <v>23.2025884464636</v>
      </c>
      <c r="C52" s="65" t="n">
        <f aca="false">Capitalization!D21/'Ratio (data)'!C52</f>
        <v>23.2025884464636</v>
      </c>
      <c r="D52" s="63" t="n">
        <f aca="false">Capitalization!E21/'Ratio (data)'!D52</f>
        <v>23.2025884464636</v>
      </c>
      <c r="E52" s="65" t="n">
        <f aca="false">Capitalization!F21/'Ratio (data)'!E52</f>
        <v>23.2025884464636</v>
      </c>
      <c r="F52" s="63" t="n">
        <f aca="false">Capitalization!G21/'Ratio (data)'!F52</f>
        <v>23.2025884464636</v>
      </c>
      <c r="G52" s="65" t="n">
        <f aca="false">Capitalization!H21/'Ratio (data)'!G52</f>
        <v>22.1686808869121</v>
      </c>
      <c r="H52" s="63" t="n">
        <f aca="false">Capitalization!I21/'Ratio (data)'!H52</f>
        <v>22.1686808869121</v>
      </c>
      <c r="I52" s="66" t="n">
        <f aca="false">Capitalization!J21/'Ratio (data)'!I52</f>
        <v>22.1686808869121</v>
      </c>
      <c r="J52" s="67" t="n">
        <f aca="false">Capitalization!K21/'Ratio (data)'!J52</f>
        <v>22.1686808869121</v>
      </c>
      <c r="K52" s="65" t="n">
        <f aca="false">Capitalization!L21/'Ratio (data)'!K52</f>
        <v>22.1686808869121</v>
      </c>
      <c r="L52" s="63" t="n">
        <f aca="false">Capitalization!M21/'Ratio (data)'!L52</f>
        <v>22.1686808869121</v>
      </c>
      <c r="M52" s="65" t="n">
        <f aca="false">Capitalization!N21/'Ratio (data)'!M52</f>
        <v>22.1686808869121</v>
      </c>
      <c r="N52" s="65" t="n">
        <f aca="false">Capitalization!O21/'Ratio (data)'!N52</f>
        <v>22.1686808869121</v>
      </c>
      <c r="O52" s="63" t="n">
        <f aca="false">Capitalization!P21/'Ratio (data)'!O52</f>
        <v>22.1686808869121</v>
      </c>
      <c r="P52" s="68" t="n">
        <f aca="false">Capitalization!Q21/'Ratio (data)'!P52</f>
        <v>16.1189470178178</v>
      </c>
      <c r="Q52" s="67" t="n">
        <f aca="false">Capitalization!R21/'Ratio (data)'!Q52</f>
        <v>15.6494631240949</v>
      </c>
      <c r="R52" s="63" t="n">
        <f aca="false">Capitalization!S21/'Ratio (data)'!R52</f>
        <v>15.6494631240949</v>
      </c>
      <c r="S52" s="65" t="n">
        <f aca="false">Capitalization!T21/'Ratio (data)'!S52</f>
        <v>15.6494631240949</v>
      </c>
      <c r="T52" s="63" t="n">
        <f aca="false">Capitalization!U21/'Ratio (data)'!T52</f>
        <v>15.6494631240949</v>
      </c>
      <c r="U52" s="63" t="n">
        <f aca="false">Capitalization!V21/'Ratio (data)'!U52</f>
        <v>14.8698843488085</v>
      </c>
      <c r="V52" s="65" t="n">
        <f aca="false">Capitalization!W21/'Ratio (data)'!V52</f>
        <v>14.8698843488085</v>
      </c>
      <c r="W52" s="65" t="n">
        <f aca="false">Capitalization!X21/'Ratio (data)'!W52</f>
        <v>14.8698843488085</v>
      </c>
      <c r="X52" s="66" t="n">
        <f aca="false">Capitalization!Y21/'Ratio (data)'!X52</f>
        <v>14.8698843488085</v>
      </c>
      <c r="Y52" s="67" t="n">
        <f aca="false">Capitalization!Z21/'Ratio (data)'!Y52</f>
        <v>14.8698843488085</v>
      </c>
      <c r="Z52" s="63" t="n">
        <f aca="false">Capitalization!AA21/'Ratio (data)'!Z52</f>
        <v>16.5790664578669</v>
      </c>
      <c r="AA52" s="65" t="n">
        <f aca="false">Capitalization!AB21/'Ratio (data)'!AA52</f>
        <v>16.5790664578669</v>
      </c>
      <c r="AB52" s="63" t="n">
        <f aca="false">Capitalization!AC21/'Ratio (data)'!AB52</f>
        <v>16.5790664578669</v>
      </c>
      <c r="AC52" s="68" t="n">
        <f aca="false">Capitalization!AD21/'Ratio (data)'!AC52</f>
        <v>10.6634633594734</v>
      </c>
      <c r="AD52" s="67" t="n">
        <f aca="false">Capitalization!AE21/'Ratio (data)'!AD52</f>
        <v>10.6634633594734</v>
      </c>
      <c r="AE52" s="63" t="n">
        <f aca="false">Capitalization!AF21/'Ratio (data)'!AE52</f>
        <v>13.9614417180734</v>
      </c>
      <c r="AF52" s="65" t="n">
        <f aca="false">Capitalization!AG21/'Ratio (data)'!AF52</f>
        <v>13.9614417180734</v>
      </c>
      <c r="AG52" s="63" t="n">
        <f aca="false">Capitalization!AH21/'Ratio (data)'!AG52</f>
        <v>13.9614417180734</v>
      </c>
      <c r="AH52" s="63" t="n">
        <f aca="false">Capitalization!AI21/'Ratio (data)'!AH52</f>
        <v>13.6957293204525</v>
      </c>
      <c r="AI52" s="66" t="n">
        <f aca="false">Capitalization!AJ21/'Ratio (data)'!AI52</f>
        <v>13.6957293204525</v>
      </c>
      <c r="AJ52" s="67" t="n">
        <f aca="false">Capitalization!AK21/'Ratio (data)'!AJ52</f>
        <v>12.8661878716062</v>
      </c>
      <c r="AK52" s="63" t="n">
        <f aca="false">Capitalization!AL21/'Ratio (data)'!AK52</f>
        <v>12.8661878716062</v>
      </c>
      <c r="AL52" s="65" t="n">
        <f aca="false">Capitalization!AM21/'Ratio (data)'!AL52</f>
        <v>12.8661878716062</v>
      </c>
      <c r="AM52" s="63" t="n">
        <f aca="false">Capitalization!AN21/'Ratio (data)'!AM52</f>
        <v>12.4431217326946</v>
      </c>
      <c r="AN52" s="68" t="n">
        <f aca="false">Capitalization!AO21/'Ratio (data)'!AN52</f>
        <v>11.2450202297265</v>
      </c>
      <c r="AO52" s="67" t="n">
        <f aca="false">Capitalization!AP21/'Ratio (data)'!AO52</f>
        <v>11.6198542373841</v>
      </c>
      <c r="AP52" s="63" t="n">
        <f aca="false">Capitalization!AQ21/'Ratio (data)'!AP52</f>
        <v>11.6198542373841</v>
      </c>
      <c r="AQ52" s="65" t="n">
        <f aca="false">Capitalization!AR21/'Ratio (data)'!AQ52</f>
        <v>11.6273509175372</v>
      </c>
    </row>
    <row r="53" customFormat="false" ht="12.8" hidden="false" customHeight="false" outlineLevel="0" collapsed="false">
      <c r="A53" s="139" t="s">
        <v>194</v>
      </c>
      <c r="B53" s="65" t="n">
        <f aca="false">Capitalization!C22/'Ratio (data)'!B53</f>
        <v>22.023341037955</v>
      </c>
      <c r="C53" s="65" t="n">
        <f aca="false">Capitalization!D22/'Ratio (data)'!C53</f>
        <v>22.023341037955</v>
      </c>
      <c r="D53" s="63" t="n">
        <f aca="false">Capitalization!E22/'Ratio (data)'!D53</f>
        <v>22.023341037955</v>
      </c>
      <c r="E53" s="65" t="n">
        <f aca="false">Capitalization!F22/'Ratio (data)'!E53</f>
        <v>22.023341037955</v>
      </c>
      <c r="F53" s="63" t="n">
        <f aca="false">Capitalization!G22/'Ratio (data)'!F53</f>
        <v>17.8960264544535</v>
      </c>
      <c r="G53" s="65" t="n">
        <f aca="false">Capitalization!H22/'Ratio (data)'!G53</f>
        <v>17.8960264544535</v>
      </c>
      <c r="H53" s="63" t="n">
        <f aca="false">Capitalization!I22/'Ratio (data)'!H53</f>
        <v>17.8960264544535</v>
      </c>
      <c r="I53" s="66" t="n">
        <f aca="false">Capitalization!J22/'Ratio (data)'!I53</f>
        <v>16.8735577712919</v>
      </c>
      <c r="J53" s="67" t="n">
        <f aca="false">Capitalization!K22/'Ratio (data)'!J53</f>
        <v>16.8735577712919</v>
      </c>
      <c r="K53" s="65" t="n">
        <f aca="false">Capitalization!L22/'Ratio (data)'!K53</f>
        <v>16.3820949235844</v>
      </c>
      <c r="L53" s="63" t="n">
        <f aca="false">Capitalization!M22/'Ratio (data)'!L53</f>
        <v>16.3820949235844</v>
      </c>
      <c r="M53" s="65" t="n">
        <f aca="false">Capitalization!N22/'Ratio (data)'!M53</f>
        <v>16.3820949235844</v>
      </c>
      <c r="N53" s="65" t="n">
        <f aca="false">Capitalization!O22/'Ratio (data)'!N53</f>
        <v>16.3820949235844</v>
      </c>
      <c r="O53" s="63" t="n">
        <f aca="false">Capitalization!P22/'Ratio (data)'!O53</f>
        <v>16.3820949235844</v>
      </c>
      <c r="P53" s="68" t="n">
        <f aca="false">Capitalization!Q22/'Ratio (data)'!P53</f>
        <v>11.6190485058723</v>
      </c>
      <c r="Q53" s="67" t="n">
        <f aca="false">Capitalization!R22/'Ratio (data)'!Q53</f>
        <v>11.6190485058723</v>
      </c>
      <c r="R53" s="63" t="n">
        <f aca="false">Capitalization!S22/'Ratio (data)'!R53</f>
        <v>11.6190485058723</v>
      </c>
      <c r="S53" s="65" t="n">
        <f aca="false">Capitalization!T22/'Ratio (data)'!S53</f>
        <v>11.6190485058723</v>
      </c>
      <c r="T53" s="63" t="n">
        <f aca="false">Capitalization!U22/'Ratio (data)'!T53</f>
        <v>11.6190485058723</v>
      </c>
      <c r="U53" s="63" t="n">
        <f aca="false">Capitalization!V22/'Ratio (data)'!U53</f>
        <v>9.17781258010333</v>
      </c>
      <c r="V53" s="65" t="n">
        <f aca="false">Capitalization!W22/'Ratio (data)'!V53</f>
        <v>9.17781258010333</v>
      </c>
      <c r="W53" s="65" t="n">
        <f aca="false">Capitalization!X22/'Ratio (data)'!W53</f>
        <v>9.17781258010333</v>
      </c>
      <c r="X53" s="66" t="n">
        <f aca="false">Capitalization!Y22/'Ratio (data)'!X53</f>
        <v>9.17781258010333</v>
      </c>
      <c r="Y53" s="67" t="n">
        <f aca="false">Capitalization!Z22/'Ratio (data)'!Y53</f>
        <v>9.17781258010333</v>
      </c>
      <c r="Z53" s="63" t="n">
        <f aca="false">Capitalization!AA22/'Ratio (data)'!Z53</f>
        <v>9.17781258010333</v>
      </c>
      <c r="AA53" s="65" t="n">
        <f aca="false">Capitalization!AB22/'Ratio (data)'!AA53</f>
        <v>9.17781258010333</v>
      </c>
      <c r="AB53" s="63" t="n">
        <f aca="false">Capitalization!AC22/'Ratio (data)'!AB53</f>
        <v>10.4468825265245</v>
      </c>
      <c r="AC53" s="68" t="n">
        <f aca="false">Capitalization!AD22/'Ratio (data)'!AC53</f>
        <v>9.23305719068654</v>
      </c>
      <c r="AD53" s="67" t="n">
        <f aca="false">Capitalization!AE22/'Ratio (data)'!AD53</f>
        <v>9.23305719068654</v>
      </c>
      <c r="AE53" s="63" t="n">
        <f aca="false">Capitalization!AF22/'Ratio (data)'!AE53</f>
        <v>8.41911606905983</v>
      </c>
      <c r="AF53" s="65" t="n">
        <f aca="false">Capitalization!AG22/'Ratio (data)'!AF53</f>
        <v>8.41911606905983</v>
      </c>
      <c r="AG53" s="63" t="n">
        <f aca="false">Capitalization!AH22/'Ratio (data)'!AG53</f>
        <v>8.41911606905983</v>
      </c>
      <c r="AH53" s="63" t="n">
        <f aca="false">Capitalization!AI22/'Ratio (data)'!AH53</f>
        <v>7.23704454747361</v>
      </c>
      <c r="AI53" s="66" t="n">
        <f aca="false">Capitalization!AJ22/'Ratio (data)'!AI53</f>
        <v>7.23704454747361</v>
      </c>
      <c r="AJ53" s="67" t="n">
        <f aca="false">Capitalization!AK22/'Ratio (data)'!AJ53</f>
        <v>7.23704454747361</v>
      </c>
      <c r="AK53" s="63" t="n">
        <f aca="false">Capitalization!AL22/'Ratio (data)'!AK53</f>
        <v>7.23704454747361</v>
      </c>
      <c r="AL53" s="65" t="n">
        <f aca="false">Capitalization!AM22/'Ratio (data)'!AL53</f>
        <v>7.23704454747361</v>
      </c>
      <c r="AM53" s="63" t="n">
        <f aca="false">Capitalization!AN22/'Ratio (data)'!AM53</f>
        <v>7.23704454747361</v>
      </c>
      <c r="AN53" s="68" t="n">
        <f aca="false">Capitalization!AO22/'Ratio (data)'!AN53</f>
        <v>15.3046819668559</v>
      </c>
      <c r="AO53" s="67" t="n">
        <f aca="false">Capitalization!AP22/'Ratio (data)'!AO53</f>
        <v>16.6571887453223</v>
      </c>
      <c r="AP53" s="63" t="n">
        <f aca="false">Capitalization!AQ22/'Ratio (data)'!AP53</f>
        <v>16.6571887453223</v>
      </c>
      <c r="AQ53" s="65" t="n">
        <f aca="false">Capitalization!AR22/'Ratio (data)'!AQ53</f>
        <v>16.6571887453223</v>
      </c>
    </row>
    <row r="54" customFormat="false" ht="12.8" hidden="false" customHeight="false" outlineLevel="0" collapsed="false">
      <c r="A54" s="139" t="s">
        <v>195</v>
      </c>
      <c r="B54" s="65" t="n">
        <f aca="false">Capitalization!C23/'Ratio (data)'!B54</f>
        <v>6.55329219288618</v>
      </c>
      <c r="C54" s="65" t="n">
        <f aca="false">Capitalization!D23/'Ratio (data)'!C54</f>
        <v>6.48527166300747</v>
      </c>
      <c r="D54" s="63" t="n">
        <f aca="false">Capitalization!E23/'Ratio (data)'!D54</f>
        <v>6.48527166300747</v>
      </c>
      <c r="E54" s="65" t="n">
        <f aca="false">Capitalization!F23/'Ratio (data)'!E54</f>
        <v>6.47814570273446</v>
      </c>
      <c r="F54" s="63" t="n">
        <f aca="false">Capitalization!G23/'Ratio (data)'!F54</f>
        <v>7.12531245843763</v>
      </c>
      <c r="G54" s="65" t="n">
        <f aca="false">Capitalization!H23/'Ratio (data)'!G54</f>
        <v>37.0927418527119</v>
      </c>
      <c r="H54" s="63" t="n">
        <f aca="false">Capitalization!I23/'Ratio (data)'!H54</f>
        <v>37.0556861665453</v>
      </c>
      <c r="I54" s="66" t="n">
        <f aca="false">Capitalization!J23/'Ratio (data)'!I54</f>
        <v>37.0630973037786</v>
      </c>
      <c r="J54" s="67" t="n">
        <f aca="false">Capitalization!K23/'Ratio (data)'!J54</f>
        <v>39.6495841982035</v>
      </c>
      <c r="K54" s="65" t="n">
        <f aca="false">Capitalization!L23/'Ratio (data)'!K54</f>
        <v>40.2054194907017</v>
      </c>
      <c r="L54" s="63" t="n">
        <f aca="false">Capitalization!M23/'Ratio (data)'!L54</f>
        <v>40.2054194907017</v>
      </c>
      <c r="M54" s="65" t="n">
        <f aca="false">Capitalization!N23/'Ratio (data)'!M54</f>
        <v>40.2054194907017</v>
      </c>
      <c r="N54" s="65" t="n">
        <f aca="false">Capitalization!O23/'Ratio (data)'!N54</f>
        <v>40.2054194907017</v>
      </c>
      <c r="O54" s="63" t="n">
        <f aca="false">Capitalization!P23/'Ratio (data)'!O54</f>
        <v>40.7612547831998</v>
      </c>
      <c r="P54" s="68" t="n">
        <f aca="false">Capitalization!Q23/'Ratio (data)'!P54</f>
        <v>6.51389237947108</v>
      </c>
      <c r="Q54" s="67" t="n">
        <f aca="false">Capitalization!R23/'Ratio (data)'!Q54</f>
        <v>7.22449882086793</v>
      </c>
      <c r="R54" s="63" t="n">
        <f aca="false">Capitalization!S23/'Ratio (data)'!R54</f>
        <v>7.22449882086793</v>
      </c>
      <c r="S54" s="65" t="n">
        <f aca="false">Capitalization!T23/'Ratio (data)'!S54</f>
        <v>7.22449882086793</v>
      </c>
      <c r="T54" s="63" t="n">
        <f aca="false">Capitalization!U23/'Ratio (data)'!T54</f>
        <v>7.22449882086793</v>
      </c>
      <c r="U54" s="63" t="n">
        <f aca="false">Capitalization!V23/'Ratio (data)'!U54</f>
        <v>25.4345028154553</v>
      </c>
      <c r="V54" s="65" t="n">
        <f aca="false">Capitalization!W23/'Ratio (data)'!V54</f>
        <v>25.4345028154553</v>
      </c>
      <c r="W54" s="65" t="n">
        <f aca="false">Capitalization!X23/'Ratio (data)'!W54</f>
        <v>25.4345028154553</v>
      </c>
      <c r="X54" s="66" t="n">
        <f aca="false">Capitalization!Y23/'Ratio (data)'!X54</f>
        <v>25.4345028154553</v>
      </c>
      <c r="Y54" s="67" t="n">
        <f aca="false">Capitalization!Z23/'Ratio (data)'!Y54</f>
        <v>25.4345028154553</v>
      </c>
      <c r="Z54" s="63" t="n">
        <f aca="false">Capitalization!AA23/'Ratio (data)'!Z54</f>
        <v>28.2647454332739</v>
      </c>
      <c r="AA54" s="65" t="n">
        <f aca="false">Capitalization!AB23/'Ratio (data)'!AA54</f>
        <v>28.2647454332739</v>
      </c>
      <c r="AB54" s="63" t="n">
        <f aca="false">Capitalization!AC23/'Ratio (data)'!AB54</f>
        <v>28.2605586838392</v>
      </c>
      <c r="AC54" s="68" t="n">
        <f aca="false">Capitalization!AD23/'Ratio (data)'!AC54</f>
        <v>39.1407423392636</v>
      </c>
      <c r="AD54" s="67" t="n">
        <f aca="false">Capitalization!AE23/'Ratio (data)'!AD54</f>
        <v>39.1407423392636</v>
      </c>
      <c r="AE54" s="63" t="n">
        <f aca="false">Capitalization!AF23/'Ratio (data)'!AE54</f>
        <v>41.9567302730744</v>
      </c>
      <c r="AF54" s="65" t="n">
        <f aca="false">Capitalization!AG23/'Ratio (data)'!AF54</f>
        <v>41.9567302730744</v>
      </c>
      <c r="AG54" s="63" t="n">
        <f aca="false">Capitalization!AH23/'Ratio (data)'!AG54</f>
        <v>41.9567302730744</v>
      </c>
      <c r="AH54" s="63" t="n">
        <f aca="false">Capitalization!AI23/'Ratio (data)'!AH54</f>
        <v>26.5501448411908</v>
      </c>
      <c r="AI54" s="66" t="n">
        <f aca="false">Capitalization!AJ23/'Ratio (data)'!AI54</f>
        <v>26.5539161685831</v>
      </c>
      <c r="AJ54" s="67" t="n">
        <f aca="false">Capitalization!AK23/'Ratio (data)'!AJ54</f>
        <v>24.638081853338</v>
      </c>
      <c r="AK54" s="63" t="n">
        <f aca="false">Capitalization!AL23/'Ratio (data)'!AK54</f>
        <v>22.5148245315212</v>
      </c>
      <c r="AL54" s="65" t="n">
        <f aca="false">Capitalization!AM23/'Ratio (data)'!AL54</f>
        <v>20.8893824254767</v>
      </c>
      <c r="AM54" s="63" t="n">
        <f aca="false">Capitalization!AN23/'Ratio (data)'!AM54</f>
        <v>20.2708847331535</v>
      </c>
      <c r="AN54" s="68" t="n">
        <f aca="false">Capitalization!AO23/'Ratio (data)'!AN54</f>
        <v>23.7904255939773</v>
      </c>
      <c r="AO54" s="67" t="n">
        <f aca="false">Capitalization!AP23/'Ratio (data)'!AO54</f>
        <v>20.819105852909</v>
      </c>
      <c r="AP54" s="63" t="n">
        <f aca="false">Capitalization!AQ23/'Ratio (data)'!AP54</f>
        <v>20.2848864046634</v>
      </c>
      <c r="AQ54" s="65" t="n">
        <f aca="false">Capitalization!AR23/'Ratio (data)'!AQ54</f>
        <v>19.3533136478054</v>
      </c>
    </row>
    <row r="55" customFormat="false" ht="12.8" hidden="false" customHeight="false" outlineLevel="0" collapsed="false">
      <c r="A55" s="139" t="s">
        <v>196</v>
      </c>
      <c r="B55" s="65" t="n">
        <f aca="false">Capitalization!C24/'Ratio (data)'!B55</f>
        <v>25.9682350709489</v>
      </c>
      <c r="C55" s="65" t="n">
        <f aca="false">Capitalization!D24/'Ratio (data)'!C55</f>
        <v>26.083649449042</v>
      </c>
      <c r="D55" s="63" t="n">
        <f aca="false">Capitalization!E24/'Ratio (data)'!D55</f>
        <v>26.083649449042</v>
      </c>
      <c r="E55" s="65" t="n">
        <f aca="false">Capitalization!F24/'Ratio (data)'!E55</f>
        <v>6.54393817517011</v>
      </c>
      <c r="F55" s="63" t="n">
        <f aca="false">Capitalization!G24/'Ratio (data)'!F55</f>
        <v>6.54393817517011</v>
      </c>
      <c r="G55" s="65" t="n">
        <f aca="false">Capitalization!H24/'Ratio (data)'!G55</f>
        <v>6.54393817517011</v>
      </c>
      <c r="H55" s="63" t="n">
        <f aca="false">Capitalization!I24/'Ratio (data)'!H55</f>
        <v>6.52222156618171</v>
      </c>
      <c r="I55" s="66" t="n">
        <f aca="false">Capitalization!J24/'Ratio (data)'!I55</f>
        <v>6.51498269651891</v>
      </c>
      <c r="J55" s="67" t="n">
        <f aca="false">Capitalization!K24/'Ratio (data)'!J55</f>
        <v>6.51498269651891</v>
      </c>
      <c r="K55" s="65" t="n">
        <f aca="false">Capitalization!L24/'Ratio (data)'!K55</f>
        <v>6.51498269651891</v>
      </c>
      <c r="L55" s="63" t="n">
        <f aca="false">Capitalization!M24/'Ratio (data)'!L55</f>
        <v>6.51498269651891</v>
      </c>
      <c r="M55" s="65" t="n">
        <f aca="false">Capitalization!N24/'Ratio (data)'!M55</f>
        <v>6.51498269651891</v>
      </c>
      <c r="N55" s="65" t="n">
        <f aca="false">Capitalization!O24/'Ratio (data)'!N55</f>
        <v>6.51498269651891</v>
      </c>
      <c r="O55" s="63" t="n">
        <f aca="false">Capitalization!P24/'Ratio (data)'!O55</f>
        <v>6.51498269651891</v>
      </c>
      <c r="P55" s="68" t="n">
        <f aca="false">Capitalization!Q24/'Ratio (data)'!P55</f>
        <v>10.9350860082741</v>
      </c>
      <c r="Q55" s="67" t="n">
        <f aca="false">Capitalization!R24/'Ratio (data)'!Q55</f>
        <v>10.3627428192506</v>
      </c>
      <c r="R55" s="63" t="n">
        <f aca="false">Capitalization!S24/'Ratio (data)'!R55</f>
        <v>10.5989479448793</v>
      </c>
      <c r="S55" s="65" t="n">
        <f aca="false">Capitalization!T24/'Ratio (data)'!S55</f>
        <v>10.5989479448793</v>
      </c>
      <c r="T55" s="63" t="n">
        <f aca="false">Capitalization!U24/'Ratio (data)'!T55</f>
        <v>10.9017750290187</v>
      </c>
      <c r="U55" s="63" t="n">
        <f aca="false">Capitalization!V24/'Ratio (data)'!U55</f>
        <v>9.06918291275114</v>
      </c>
      <c r="V55" s="65" t="n">
        <f aca="false">Capitalization!W24/'Ratio (data)'!V55</f>
        <v>9.06918291275114</v>
      </c>
      <c r="W55" s="65" t="n">
        <f aca="false">Capitalization!X24/'Ratio (data)'!W55</f>
        <v>9.06918291275114</v>
      </c>
      <c r="X55" s="66" t="n">
        <f aca="false">Capitalization!Y24/'Ratio (data)'!X55</f>
        <v>9.06918291275114</v>
      </c>
      <c r="Y55" s="67" t="n">
        <f aca="false">Capitalization!Z24/'Ratio (data)'!Y55</f>
        <v>9.06918291275114</v>
      </c>
      <c r="Z55" s="63" t="n">
        <f aca="false">Capitalization!AA24/'Ratio (data)'!Z55</f>
        <v>9.07422274765681</v>
      </c>
      <c r="AA55" s="65" t="n">
        <f aca="false">Capitalization!AB24/'Ratio (data)'!AA55</f>
        <v>9.07422274765681</v>
      </c>
      <c r="AB55" s="63" t="n">
        <f aca="false">Capitalization!AC24/'Ratio (data)'!AB55</f>
        <v>9.22289787737404</v>
      </c>
      <c r="AC55" s="68" t="n">
        <f aca="false">Capitalization!AD24/'Ratio (data)'!AC55</f>
        <v>532.460104974613</v>
      </c>
      <c r="AD55" s="67" t="n">
        <f aca="false">Capitalization!AE24/'Ratio (data)'!AD55</f>
        <v>395.031677880572</v>
      </c>
      <c r="AE55" s="63" t="n">
        <f aca="false">Capitalization!AF24/'Ratio (data)'!AE55</f>
        <v>348.848268775504</v>
      </c>
      <c r="AF55" s="65" t="n">
        <f aca="false">Capitalization!AG24/'Ratio (data)'!AF55</f>
        <v>329.166731561952</v>
      </c>
      <c r="AG55" s="63" t="n">
        <f aca="false">Capitalization!AH24/'Ratio (data)'!AG55</f>
        <v>329.166731561952</v>
      </c>
      <c r="AH55" s="63" t="n">
        <f aca="false">Capitalization!AI24/'Ratio (data)'!AH55</f>
        <v>-101.32403344749</v>
      </c>
      <c r="AI55" s="66" t="n">
        <f aca="false">Capitalization!AJ24/'Ratio (data)'!AI55</f>
        <v>-101.32403344749</v>
      </c>
      <c r="AJ55" s="67" t="n">
        <f aca="false">Capitalization!AK24/'Ratio (data)'!AJ55</f>
        <v>-51.3608031613137</v>
      </c>
      <c r="AK55" s="63" t="n">
        <f aca="false">Capitalization!AL24/'Ratio (data)'!AK55</f>
        <v>-57.4751844900415</v>
      </c>
      <c r="AL55" s="65" t="n">
        <f aca="false">Capitalization!AM24/'Ratio (data)'!AL55</f>
        <v>-64.6726847970011</v>
      </c>
      <c r="AM55" s="63" t="n">
        <f aca="false">Capitalization!AN24/'Ratio (data)'!AM55</f>
        <v>-82.107406414345</v>
      </c>
      <c r="AN55" s="68" t="n">
        <f aca="false">Capitalization!AO24/'Ratio (data)'!AN55</f>
        <v>5.43472613665093</v>
      </c>
      <c r="AO55" s="67" t="n">
        <f aca="false">Capitalization!AP24/'Ratio (data)'!AO55</f>
        <v>5.43472613665093</v>
      </c>
      <c r="AP55" s="63" t="n">
        <f aca="false">Capitalization!AQ24/'Ratio (data)'!AP55</f>
        <v>6.59798879483622</v>
      </c>
      <c r="AQ55" s="65" t="n">
        <f aca="false">Capitalization!AR24/'Ratio (data)'!AQ55</f>
        <v>6.59798879483622</v>
      </c>
    </row>
    <row r="56" customFormat="false" ht="12.8" hidden="false" customHeight="false" outlineLevel="0" collapsed="false">
      <c r="A56" s="139" t="s">
        <v>197</v>
      </c>
      <c r="B56" s="65" t="n">
        <f aca="false">Capitalization!C25/'Ratio (data)'!B56</f>
        <v>3.8484759005409</v>
      </c>
      <c r="C56" s="65" t="n">
        <f aca="false">Capitalization!D25/'Ratio (data)'!C56</f>
        <v>3.50711655577846</v>
      </c>
      <c r="D56" s="63" t="n">
        <f aca="false">Capitalization!E25/'Ratio (data)'!D56</f>
        <v>3.50711655577846</v>
      </c>
      <c r="E56" s="65" t="n">
        <f aca="false">Capitalization!F25/'Ratio (data)'!E56</f>
        <v>3.50711655577846</v>
      </c>
      <c r="F56" s="63" t="n">
        <f aca="false">Capitalization!G25/'Ratio (data)'!F56</f>
        <v>3.74092432616369</v>
      </c>
      <c r="G56" s="65" t="n">
        <f aca="false">Capitalization!H25/'Ratio (data)'!G56</f>
        <v>6.90596579871375</v>
      </c>
      <c r="H56" s="63" t="n">
        <f aca="false">Capitalization!I25/'Ratio (data)'!H56</f>
        <v>6.90596579871375</v>
      </c>
      <c r="I56" s="66" t="n">
        <f aca="false">Capitalization!J25/'Ratio (data)'!I56</f>
        <v>6.90596579871375</v>
      </c>
      <c r="J56" s="67" t="n">
        <f aca="false">Capitalization!K25/'Ratio (data)'!J56</f>
        <v>5.75497149892813</v>
      </c>
      <c r="K56" s="65" t="n">
        <f aca="false">Capitalization!L25/'Ratio (data)'!K56</f>
        <v>5.75497149892813</v>
      </c>
      <c r="L56" s="63" t="n">
        <f aca="false">Capitalization!M25/'Ratio (data)'!L56</f>
        <v>4.97805034657283</v>
      </c>
      <c r="M56" s="65" t="n">
        <f aca="false">Capitalization!N25/'Ratio (data)'!M56</f>
        <v>4.97805034657283</v>
      </c>
      <c r="N56" s="65" t="n">
        <f aca="false">Capitalization!O25/'Ratio (data)'!N56</f>
        <v>4.97805034657283</v>
      </c>
      <c r="O56" s="63" t="n">
        <f aca="false">Capitalization!P25/'Ratio (data)'!O56</f>
        <v>4.15508942222611</v>
      </c>
      <c r="P56" s="68" t="n">
        <f aca="false">Capitalization!Q25/'Ratio (data)'!P56</f>
        <v>4.60980884136923</v>
      </c>
      <c r="Q56" s="67" t="n">
        <f aca="false">Capitalization!R25/'Ratio (data)'!Q56</f>
        <v>5.36321250242403</v>
      </c>
      <c r="R56" s="63" t="n">
        <f aca="false">Capitalization!S25/'Ratio (data)'!R56</f>
        <v>5.20359308270903</v>
      </c>
      <c r="S56" s="65" t="n">
        <f aca="false">Capitalization!T25/'Ratio (data)'!S56</f>
        <v>5.20359308270903</v>
      </c>
      <c r="T56" s="63" t="n">
        <f aca="false">Capitalization!U25/'Ratio (data)'!T56</f>
        <v>5.13974531482303</v>
      </c>
      <c r="U56" s="63" t="n">
        <f aca="false">Capitalization!V25/'Ratio (data)'!U56</f>
        <v>4.42791976023878</v>
      </c>
      <c r="V56" s="65" t="n">
        <f aca="false">Capitalization!W25/'Ratio (data)'!V56</f>
        <v>4.36965765813038</v>
      </c>
      <c r="W56" s="65" t="n">
        <f aca="false">Capitalization!X25/'Ratio (data)'!W56</f>
        <v>4.36965765813038</v>
      </c>
      <c r="X56" s="66" t="n">
        <f aca="false">Capitalization!Y25/'Ratio (data)'!X56</f>
        <v>4.26478587433525</v>
      </c>
      <c r="Y56" s="67" t="n">
        <f aca="false">Capitalization!Z25/'Ratio (data)'!Y56</f>
        <v>4.07834714758835</v>
      </c>
      <c r="Z56" s="63" t="n">
        <f aca="false">Capitalization!AA25/'Ratio (data)'!Z56</f>
        <v>4.07834714758835</v>
      </c>
      <c r="AA56" s="65" t="n">
        <f aca="false">Capitalization!AB25/'Ratio (data)'!AA56</f>
        <v>3.79868905746801</v>
      </c>
      <c r="AB56" s="63" t="n">
        <f aca="false">Capitalization!AC25/'Ratio (data)'!AB56</f>
        <v>3.85112494936557</v>
      </c>
      <c r="AC56" s="68" t="n">
        <f aca="false">Capitalization!AD25/'Ratio (data)'!AC56</f>
        <v>6.7204745239403</v>
      </c>
      <c r="AD56" s="67" t="n">
        <f aca="false">Capitalization!AE25/'Ratio (data)'!AD56</f>
        <v>6.08426960234062</v>
      </c>
      <c r="AE56" s="63" t="n">
        <f aca="false">Capitalization!AF25/'Ratio (data)'!AE56</f>
        <v>5.53767100772681</v>
      </c>
      <c r="AF56" s="65" t="n">
        <f aca="false">Capitalization!AG25/'Ratio (data)'!AF56</f>
        <v>5.53767100772681</v>
      </c>
      <c r="AG56" s="63" t="n">
        <f aca="false">Capitalization!AH25/'Ratio (data)'!AG56</f>
        <v>5.53767100772681</v>
      </c>
      <c r="AH56" s="63" t="n">
        <f aca="false">Capitalization!AI25/'Ratio (data)'!AH56</f>
        <v>48.808621891937</v>
      </c>
      <c r="AI56" s="66" t="n">
        <f aca="false">Capitalization!AJ25/'Ratio (data)'!AI56</f>
        <v>48.808621891937</v>
      </c>
      <c r="AJ56" s="67" t="n">
        <f aca="false">Capitalization!AK25/'Ratio (data)'!AJ56</f>
        <v>48.808621891937</v>
      </c>
      <c r="AK56" s="63" t="n">
        <f aca="false">Capitalization!AL25/'Ratio (data)'!AK56</f>
        <v>48.808621891937</v>
      </c>
      <c r="AL56" s="65" t="n">
        <f aca="false">Capitalization!AM25/'Ratio (data)'!AL56</f>
        <v>50.2137185827655</v>
      </c>
      <c r="AM56" s="63" t="n">
        <f aca="false">Capitalization!AN25/'Ratio (data)'!AM56</f>
        <v>50.2137185827655</v>
      </c>
      <c r="AN56" s="68" t="n">
        <f aca="false">Capitalization!AO25/'Ratio (data)'!AN56</f>
        <v>-138.489343807598</v>
      </c>
      <c r="AO56" s="67" t="n">
        <f aca="false">Capitalization!AP25/'Ratio (data)'!AO56</f>
        <v>-132.276363115796</v>
      </c>
      <c r="AP56" s="63" t="n">
        <f aca="false">Capitalization!AQ25/'Ratio (data)'!AP56</f>
        <v>-112.234489916433</v>
      </c>
      <c r="AQ56" s="65" t="n">
        <f aca="false">Capitalization!AR25/'Ratio (data)'!AQ56</f>
        <v>-115.040352164343</v>
      </c>
    </row>
    <row r="57" customFormat="false" ht="12.8" hidden="false" customHeight="false" outlineLevel="0" collapsed="false">
      <c r="A57" s="139" t="s">
        <v>198</v>
      </c>
      <c r="B57" s="65" t="n">
        <f aca="false">Capitalization!C26/'Ratio (data)'!B57</f>
        <v>13.6017722865918</v>
      </c>
      <c r="C57" s="65" t="n">
        <f aca="false">Capitalization!D26/'Ratio (data)'!C57</f>
        <v>13.6017722865918</v>
      </c>
      <c r="D57" s="63" t="n">
        <f aca="false">Capitalization!E26/'Ratio (data)'!D57</f>
        <v>13.6017722865918</v>
      </c>
      <c r="E57" s="65" t="n">
        <f aca="false">Capitalization!F26/'Ratio (data)'!E57</f>
        <v>13.6017722865918</v>
      </c>
      <c r="F57" s="63" t="n">
        <f aca="false">Capitalization!G26/'Ratio (data)'!F57</f>
        <v>13.6017722865918</v>
      </c>
      <c r="G57" s="65" t="n">
        <f aca="false">Capitalization!H26/'Ratio (data)'!G57</f>
        <v>48.3265839446214</v>
      </c>
      <c r="H57" s="63" t="n">
        <f aca="false">Capitalization!I26/'Ratio (data)'!H57</f>
        <v>48.3265839446214</v>
      </c>
      <c r="I57" s="66" t="n">
        <f aca="false">Capitalization!J26/'Ratio (data)'!I57</f>
        <v>48.3265839446214</v>
      </c>
      <c r="J57" s="67" t="n">
        <f aca="false">Capitalization!K26/'Ratio (data)'!J57</f>
        <v>33.828608761235</v>
      </c>
      <c r="K57" s="65" t="n">
        <f aca="false">Capitalization!L26/'Ratio (data)'!K57</f>
        <v>48.3265839446214</v>
      </c>
      <c r="L57" s="63" t="n">
        <f aca="false">Capitalization!M26/'Ratio (data)'!L57</f>
        <v>48.3265839446214</v>
      </c>
      <c r="M57" s="65" t="n">
        <f aca="false">Capitalization!N26/'Ratio (data)'!M57</f>
        <v>48.3265839446214</v>
      </c>
      <c r="N57" s="65" t="n">
        <f aca="false">Capitalization!O26/'Ratio (data)'!N57</f>
        <v>48.3265839446214</v>
      </c>
      <c r="O57" s="63" t="n">
        <f aca="false">Capitalization!P26/'Ratio (data)'!O57</f>
        <v>48.3265839446214</v>
      </c>
      <c r="P57" s="68" t="n">
        <f aca="false">Capitalization!Q26/'Ratio (data)'!P57</f>
        <v>10.8817593774435</v>
      </c>
      <c r="Q57" s="67" t="n">
        <f aca="false">Capitalization!R26/'Ratio (data)'!Q57</f>
        <v>10.8817593774435</v>
      </c>
      <c r="R57" s="63" t="n">
        <f aca="false">Capitalization!S26/'Ratio (data)'!R57</f>
        <v>10.8817593774435</v>
      </c>
      <c r="S57" s="65" t="n">
        <f aca="false">Capitalization!T26/'Ratio (data)'!S57</f>
        <v>10.8817593774435</v>
      </c>
      <c r="T57" s="63" t="n">
        <f aca="false">Capitalization!U26/'Ratio (data)'!T57</f>
        <v>11.1408488864302</v>
      </c>
      <c r="U57" s="63" t="n">
        <f aca="false">Capitalization!V26/'Ratio (data)'!U57</f>
        <v>15.7226806701675</v>
      </c>
      <c r="V57" s="65" t="n">
        <f aca="false">Capitalization!W26/'Ratio (data)'!V57</f>
        <v>15.7226806701675</v>
      </c>
      <c r="W57" s="65" t="n">
        <f aca="false">Capitalization!X26/'Ratio (data)'!W57</f>
        <v>15.7226806701675</v>
      </c>
      <c r="X57" s="66" t="n">
        <f aca="false">Capitalization!Y26/'Ratio (data)'!X57</f>
        <v>15.7226806701675</v>
      </c>
      <c r="Y57" s="67" t="n">
        <f aca="false">Capitalization!Z26/'Ratio (data)'!Y57</f>
        <v>14.625749460621</v>
      </c>
      <c r="Z57" s="63" t="n">
        <f aca="false">Capitalization!AA26/'Ratio (data)'!Z57</f>
        <v>14.625749460621</v>
      </c>
      <c r="AA57" s="65" t="n">
        <f aca="false">Capitalization!AB26/'Ratio (data)'!AA57</f>
        <v>14.6330623353513</v>
      </c>
      <c r="AB57" s="63" t="n">
        <f aca="false">Capitalization!AC26/'Ratio (data)'!AB57</f>
        <v>14.6330623353513</v>
      </c>
      <c r="AC57" s="68" t="n">
        <f aca="false">Capitalization!AD26/'Ratio (data)'!AC57</f>
        <v>14.9305985127299</v>
      </c>
      <c r="AD57" s="67" t="n">
        <f aca="false">Capitalization!AE26/'Ratio (data)'!AD57</f>
        <v>14.1769800970449</v>
      </c>
      <c r="AE57" s="63" t="n">
        <f aca="false">Capitalization!AF26/'Ratio (data)'!AE57</f>
        <v>13.4382848183041</v>
      </c>
      <c r="AF57" s="65" t="n">
        <f aca="false">Capitalization!AG26/'Ratio (data)'!AF57</f>
        <v>13.4382848183041</v>
      </c>
      <c r="AG57" s="63" t="n">
        <f aca="false">Capitalization!AH26/'Ratio (data)'!AG57</f>
        <v>13.4382848183041</v>
      </c>
      <c r="AH57" s="63" t="n">
        <f aca="false">Capitalization!AI26/'Ratio (data)'!AH57</f>
        <v>16.5665072015332</v>
      </c>
      <c r="AI57" s="66" t="n">
        <f aca="false">Capitalization!AJ26/'Ratio (data)'!AI57</f>
        <v>16.5665072015332</v>
      </c>
      <c r="AJ57" s="67" t="n">
        <f aca="false">Capitalization!AK26/'Ratio (data)'!AJ57</f>
        <v>16.5665072015332</v>
      </c>
      <c r="AK57" s="63" t="n">
        <f aca="false">Capitalization!AL26/'Ratio (data)'!AK57</f>
        <v>16.5665072015332</v>
      </c>
      <c r="AL57" s="65" t="n">
        <f aca="false">Capitalization!AM26/'Ratio (data)'!AL57</f>
        <v>16.5665072015332</v>
      </c>
      <c r="AM57" s="63" t="n">
        <f aca="false">Capitalization!AN26/'Ratio (data)'!AM57</f>
        <v>16.5665072015332</v>
      </c>
      <c r="AN57" s="68" t="n">
        <f aca="false">Capitalization!AO26/'Ratio (data)'!AN57</f>
        <v>4.1697010703839</v>
      </c>
      <c r="AO57" s="67" t="n">
        <f aca="false">Capitalization!AP26/'Ratio (data)'!AO57</f>
        <v>4.1697010703839</v>
      </c>
      <c r="AP57" s="63" t="n">
        <f aca="false">Capitalization!AQ26/'Ratio (data)'!AP57</f>
        <v>3.93586441957392</v>
      </c>
      <c r="AQ57" s="65" t="n">
        <f aca="false">Capitalization!AR26/'Ratio (data)'!AQ57</f>
        <v>3.93586441957392</v>
      </c>
    </row>
    <row r="58" customFormat="false" ht="12.8" hidden="false" customHeight="false" outlineLevel="0" collapsed="false">
      <c r="A58" s="139" t="s">
        <v>28</v>
      </c>
      <c r="B58" s="65" t="n">
        <f aca="false">Capitalization!C27/'Ratio (data)'!B58</f>
        <v>12.1510683883485</v>
      </c>
      <c r="C58" s="65" t="n">
        <f aca="false">Capitalization!D27/'Ratio (data)'!C58</f>
        <v>12.1510683883485</v>
      </c>
      <c r="D58" s="63" t="n">
        <f aca="false">Capitalization!E27/'Ratio (data)'!D58</f>
        <v>12.1510683883485</v>
      </c>
      <c r="E58" s="65" t="n">
        <f aca="false">Capitalization!F27/'Ratio (data)'!E58</f>
        <v>12.1510683883485</v>
      </c>
      <c r="F58" s="63" t="n">
        <f aca="false">Capitalization!G27/'Ratio (data)'!F58</f>
        <v>12.1510683883485</v>
      </c>
      <c r="G58" s="65" t="n">
        <f aca="false">Capitalization!H27/'Ratio (data)'!G58</f>
        <v>56.3863545800196</v>
      </c>
      <c r="H58" s="63" t="n">
        <f aca="false">Capitalization!I27/'Ratio (data)'!H58</f>
        <v>55.3123287784954</v>
      </c>
      <c r="I58" s="66" t="n">
        <f aca="false">Capitalization!J27/'Ratio (data)'!I58</f>
        <v>53.7012900762091</v>
      </c>
      <c r="J58" s="67" t="n">
        <f aca="false">Capitalization!K27/'Ratio (data)'!J58</f>
        <v>53.7012900762091</v>
      </c>
      <c r="K58" s="65" t="n">
        <f aca="false">Capitalization!L27/'Ratio (data)'!K58</f>
        <v>53.7012900762091</v>
      </c>
      <c r="L58" s="63" t="n">
        <f aca="false">Capitalization!M27/'Ratio (data)'!L58</f>
        <v>53.7012900762091</v>
      </c>
      <c r="M58" s="65" t="n">
        <f aca="false">Capitalization!N27/'Ratio (data)'!M58</f>
        <v>53.7012900762091</v>
      </c>
      <c r="N58" s="65" t="n">
        <f aca="false">Capitalization!O27/'Ratio (data)'!N58</f>
        <v>34.9058385495359</v>
      </c>
      <c r="O58" s="63" t="n">
        <f aca="false">Capitalization!P27/'Ratio (data)'!O58</f>
        <v>34.9058385495359</v>
      </c>
      <c r="P58" s="68" t="n">
        <f aca="false">Capitalization!Q27/'Ratio (data)'!P58</f>
        <v>-21.219500213473</v>
      </c>
      <c r="Q58" s="67" t="n">
        <f aca="false">Capitalization!R27/'Ratio (data)'!Q58</f>
        <v>-21.219500213473</v>
      </c>
      <c r="R58" s="63" t="n">
        <f aca="false">Capitalization!S27/'Ratio (data)'!R58</f>
        <v>-21.219500213473</v>
      </c>
      <c r="S58" s="65" t="n">
        <f aca="false">Capitalization!T27/'Ratio (data)'!S58</f>
        <v>-21.219500213473</v>
      </c>
      <c r="T58" s="63" t="n">
        <f aca="false">Capitalization!U27/'Ratio (data)'!T58</f>
        <v>-21.219500213473</v>
      </c>
      <c r="U58" s="63" t="n">
        <f aca="false">Capitalization!V27/'Ratio (data)'!U58</f>
        <v>-11.1805737898668</v>
      </c>
      <c r="V58" s="65" t="n">
        <f aca="false">Capitalization!W27/'Ratio (data)'!V58</f>
        <v>-11.1805737898668</v>
      </c>
      <c r="W58" s="65" t="n">
        <f aca="false">Capitalization!X27/'Ratio (data)'!W58</f>
        <v>-11.1805737898668</v>
      </c>
      <c r="X58" s="66" t="n">
        <f aca="false">Capitalization!Y27/'Ratio (data)'!X58</f>
        <v>-11.1805737898668</v>
      </c>
      <c r="Y58" s="67" t="n">
        <f aca="false">Capitalization!Z27/'Ratio (data)'!Y58</f>
        <v>-11.1805737898668</v>
      </c>
      <c r="Z58" s="63" t="n">
        <f aca="false">Capitalization!AA27/'Ratio (data)'!Z58</f>
        <v>-9.07514106320354</v>
      </c>
      <c r="AA58" s="65" t="n">
        <f aca="false">Capitalization!AB27/'Ratio (data)'!AA58</f>
        <v>-9.07514106320354</v>
      </c>
      <c r="AB58" s="63" t="n">
        <f aca="false">Capitalization!AC27/'Ratio (data)'!AB58</f>
        <v>-9.07514106320354</v>
      </c>
      <c r="AC58" s="68" t="n">
        <f aca="false">Capitalization!AD27/'Ratio (data)'!AC58</f>
        <v>6.85249766389417</v>
      </c>
      <c r="AD58" s="67" t="n">
        <f aca="false">Capitalization!AE27/'Ratio (data)'!AD58</f>
        <v>6.85249766389417</v>
      </c>
      <c r="AE58" s="63" t="n">
        <f aca="false">Capitalization!AF27/'Ratio (data)'!AE58</f>
        <v>7.97630728077281</v>
      </c>
      <c r="AF58" s="65" t="n">
        <f aca="false">Capitalization!AG27/'Ratio (data)'!AF58</f>
        <v>8.222997196673</v>
      </c>
      <c r="AG58" s="63" t="n">
        <f aca="false">Capitalization!AH27/'Ratio (data)'!AG58</f>
        <v>8.77119700978453</v>
      </c>
      <c r="AH58" s="63" t="n">
        <f aca="false">Capitalization!AI27/'Ratio (data)'!AH58</f>
        <v>10.8936748025844</v>
      </c>
      <c r="AI58" s="66" t="n">
        <f aca="false">Capitalization!AJ27/'Ratio (data)'!AI58</f>
        <v>10.8936748025844</v>
      </c>
      <c r="AJ58" s="67" t="n">
        <f aca="false">Capitalization!AK27/'Ratio (data)'!AJ58</f>
        <v>9.67195426397682</v>
      </c>
      <c r="AK58" s="63" t="n">
        <f aca="false">Capitalization!AL27/'Ratio (data)'!AK58</f>
        <v>10.0113210802567</v>
      </c>
      <c r="AL58" s="65" t="n">
        <f aca="false">Capitalization!AM27/'Ratio (data)'!AL58</f>
        <v>10.0452577618847</v>
      </c>
      <c r="AM58" s="63" t="n">
        <f aca="false">Capitalization!AN27/'Ratio (data)'!AM58</f>
        <v>12.7941289737518</v>
      </c>
      <c r="AN58" s="68" t="n">
        <f aca="false">Capitalization!AO27/'Ratio (data)'!AN58</f>
        <v>16.7553980928648</v>
      </c>
      <c r="AO58" s="67" t="n">
        <f aca="false">Capitalization!AP27/'Ratio (data)'!AO58</f>
        <v>15.5062810113916</v>
      </c>
      <c r="AP58" s="63" t="n">
        <f aca="false">Capitalization!AQ27/'Ratio (data)'!AP58</f>
        <v>15.0755509832974</v>
      </c>
      <c r="AQ58" s="65" t="n">
        <f aca="false">Capitalization!AR27/'Ratio (data)'!AQ58</f>
        <v>13.1372658568734</v>
      </c>
    </row>
    <row r="59" customFormat="false" ht="12.8" hidden="false" customHeight="false" outlineLevel="0" collapsed="false">
      <c r="A59" s="139" t="s">
        <v>199</v>
      </c>
      <c r="B59" s="65" t="n">
        <f aca="false">Capitalization!C28/'Ratio (data)'!B59</f>
        <v>4.18422468745636</v>
      </c>
      <c r="C59" s="65" t="n">
        <f aca="false">Capitalization!D28/'Ratio (data)'!C59</f>
        <v>4.18422468745636</v>
      </c>
      <c r="D59" s="63" t="n">
        <f aca="false">Capitalization!E28/'Ratio (data)'!D59</f>
        <v>4.18422468745636</v>
      </c>
      <c r="E59" s="65" t="n">
        <f aca="false">Capitalization!F28/'Ratio (data)'!E59</f>
        <v>3.61450441030756</v>
      </c>
      <c r="F59" s="63" t="n">
        <f aca="false">Capitalization!G28/'Ratio (data)'!F59</f>
        <v>3.61450441030756</v>
      </c>
      <c r="G59" s="65" t="n">
        <f aca="false">Capitalization!H28/'Ratio (data)'!G59</f>
        <v>3.18040553459776</v>
      </c>
      <c r="H59" s="63" t="n">
        <f aca="false">Capitalization!I28/'Ratio (data)'!H59</f>
        <v>3.18040553459776</v>
      </c>
      <c r="I59" s="66" t="n">
        <f aca="false">Capitalization!J28/'Ratio (data)'!I59</f>
        <v>3.18040553459776</v>
      </c>
      <c r="J59" s="67" t="n">
        <f aca="false">Capitalization!K28/'Ratio (data)'!J59</f>
        <v>3.18040553459776</v>
      </c>
      <c r="K59" s="65" t="n">
        <f aca="false">Capitalization!L28/'Ratio (data)'!K59</f>
        <v>3.18040553459776</v>
      </c>
      <c r="L59" s="63" t="n">
        <f aca="false">Capitalization!M28/'Ratio (data)'!L59</f>
        <v>3.18040553459776</v>
      </c>
      <c r="M59" s="65" t="n">
        <f aca="false">Capitalization!N28/'Ratio (data)'!M59</f>
        <v>3.18040553459776</v>
      </c>
      <c r="N59" s="65" t="n">
        <f aca="false">Capitalization!O28/'Ratio (data)'!N59</f>
        <v>3.18040553459776</v>
      </c>
      <c r="O59" s="63" t="n">
        <f aca="false">Capitalization!P28/'Ratio (data)'!O59</f>
        <v>3.18040553459776</v>
      </c>
      <c r="P59" s="68" t="n">
        <f aca="false">Capitalization!Q28/'Ratio (data)'!P59</f>
        <v>3.33207412740115</v>
      </c>
      <c r="Q59" s="67" t="n">
        <f aca="false">Capitalization!R28/'Ratio (data)'!Q59</f>
        <v>3.33207412740115</v>
      </c>
      <c r="R59" s="63" t="n">
        <f aca="false">Capitalization!S28/'Ratio (data)'!R59</f>
        <v>3.33207412740115</v>
      </c>
      <c r="S59" s="65" t="n">
        <f aca="false">Capitalization!T28/'Ratio (data)'!S59</f>
        <v>3.33207412740115</v>
      </c>
      <c r="T59" s="63" t="n">
        <f aca="false">Capitalization!U28/'Ratio (data)'!T59</f>
        <v>3.33207412740115</v>
      </c>
      <c r="U59" s="63" t="n">
        <f aca="false">Capitalization!V28/'Ratio (data)'!U59</f>
        <v>3.54353132477517</v>
      </c>
      <c r="V59" s="65" t="n">
        <f aca="false">Capitalization!W28/'Ratio (data)'!V59</f>
        <v>3.54353132477517</v>
      </c>
      <c r="W59" s="65" t="n">
        <f aca="false">Capitalization!X28/'Ratio (data)'!W59</f>
        <v>3.54353132477517</v>
      </c>
      <c r="X59" s="66" t="n">
        <f aca="false">Capitalization!Y28/'Ratio (data)'!X59</f>
        <v>3.54353132477517</v>
      </c>
      <c r="Y59" s="67" t="n">
        <f aca="false">Capitalization!Z28/'Ratio (data)'!Y59</f>
        <v>3.54353132477517</v>
      </c>
      <c r="Z59" s="63" t="n">
        <f aca="false">Capitalization!AA28/'Ratio (data)'!Z59</f>
        <v>2.80292188390576</v>
      </c>
      <c r="AA59" s="65" t="n">
        <f aca="false">Capitalization!AB28/'Ratio (data)'!AA59</f>
        <v>2.80292188390576</v>
      </c>
      <c r="AB59" s="63" t="n">
        <f aca="false">Capitalization!AC28/'Ratio (data)'!AB59</f>
        <v>2.80292188390576</v>
      </c>
      <c r="AC59" s="68" t="n">
        <f aca="false">Capitalization!AD28/'Ratio (data)'!AC59</f>
        <v>5.32923997323572</v>
      </c>
      <c r="AD59" s="67" t="n">
        <f aca="false">Capitalization!AE28/'Ratio (data)'!AD59</f>
        <v>5.32923997323572</v>
      </c>
      <c r="AE59" s="63" t="n">
        <f aca="false">Capitalization!AF28/'Ratio (data)'!AE59</f>
        <v>4.37604257964885</v>
      </c>
      <c r="AF59" s="65" t="n">
        <f aca="false">Capitalization!AG28/'Ratio (data)'!AF59</f>
        <v>4.37604257964885</v>
      </c>
      <c r="AG59" s="63" t="n">
        <f aca="false">Capitalization!AH28/'Ratio (data)'!AG59</f>
        <v>2.04285505193958</v>
      </c>
      <c r="AH59" s="63" t="n">
        <f aca="false">Capitalization!AI28/'Ratio (data)'!AH59</f>
        <v>2.04285505193958</v>
      </c>
      <c r="AI59" s="66" t="n">
        <f aca="false">Capitalization!AJ28/'Ratio (data)'!AI59</f>
        <v>2.04285505193958</v>
      </c>
      <c r="AJ59" s="67" t="n">
        <f aca="false">Capitalization!AK28/'Ratio (data)'!AJ59</f>
        <v>2.04285505193958</v>
      </c>
      <c r="AK59" s="63" t="n">
        <f aca="false">Capitalization!AL28/'Ratio (data)'!AK59</f>
        <v>2.04285505193958</v>
      </c>
      <c r="AL59" s="65" t="n">
        <f aca="false">Capitalization!AM28/'Ratio (data)'!AL59</f>
        <v>2.04285505193958</v>
      </c>
      <c r="AM59" s="63" t="n">
        <f aca="false">Capitalization!AN28/'Ratio (data)'!AM59</f>
        <v>2.04285505193958</v>
      </c>
      <c r="AN59" s="68" t="n">
        <f aca="false">Capitalization!AO28/'Ratio (data)'!AN59</f>
        <v>2.10602499263413</v>
      </c>
      <c r="AO59" s="67" t="n">
        <f aca="false">Capitalization!AP28/'Ratio (data)'!AO59</f>
        <v>2.10602499263413</v>
      </c>
      <c r="AP59" s="63" t="n">
        <f aca="false">Capitalization!AQ28/'Ratio (data)'!AP59</f>
        <v>2.10602499263413</v>
      </c>
      <c r="AQ59" s="65" t="n">
        <f aca="false">Capitalization!AR28/'Ratio (data)'!AQ59</f>
        <v>2.10602499263413</v>
      </c>
    </row>
    <row r="60" customFormat="false" ht="12.8" hidden="false" customHeight="false" outlineLevel="0" collapsed="false">
      <c r="A60" s="139" t="s">
        <v>200</v>
      </c>
      <c r="B60" s="65" t="n">
        <f aca="false">Capitalization!C29/'Ratio (data)'!B60</f>
        <v>19.4019514879688</v>
      </c>
      <c r="C60" s="65" t="n">
        <f aca="false">Capitalization!D29/'Ratio (data)'!C60</f>
        <v>19.4019514879688</v>
      </c>
      <c r="D60" s="63" t="n">
        <f aca="false">Capitalization!E29/'Ratio (data)'!D60</f>
        <v>19.4019514879688</v>
      </c>
      <c r="E60" s="65" t="n">
        <f aca="false">Capitalization!F29/'Ratio (data)'!E60</f>
        <v>19.4019514879688</v>
      </c>
      <c r="F60" s="63" t="n">
        <f aca="false">Capitalization!G29/'Ratio (data)'!F60</f>
        <v>19.4019514879688</v>
      </c>
      <c r="G60" s="65" t="n">
        <f aca="false">Capitalization!H29/'Ratio (data)'!G60</f>
        <v>1.06424903729641</v>
      </c>
      <c r="H60" s="63" t="n">
        <f aca="false">Capitalization!I29/'Ratio (data)'!H60</f>
        <v>1.06424903729641</v>
      </c>
      <c r="I60" s="66" t="n">
        <f aca="false">Capitalization!J29/'Ratio (data)'!I60</f>
        <v>1.00896337302128</v>
      </c>
      <c r="J60" s="67" t="n">
        <f aca="false">Capitalization!K29/'Ratio (data)'!J60</f>
        <v>1.01357051171087</v>
      </c>
      <c r="K60" s="65" t="n">
        <f aca="false">Capitalization!L29/'Ratio (data)'!K60</f>
        <v>0.949070570056542</v>
      </c>
      <c r="L60" s="63" t="n">
        <f aca="false">Capitalization!M29/'Ratio (data)'!L60</f>
        <v>0.949070570056542</v>
      </c>
      <c r="M60" s="65" t="n">
        <f aca="false">Capitalization!N29/'Ratio (data)'!M60</f>
        <v>0.949070570056542</v>
      </c>
      <c r="N60" s="65" t="n">
        <f aca="false">Capitalization!O29/'Ratio (data)'!N60</f>
        <v>0.949070570056542</v>
      </c>
      <c r="O60" s="63" t="n">
        <f aca="false">Capitalization!P29/'Ratio (data)'!O60</f>
        <v>0.879963489712619</v>
      </c>
      <c r="P60" s="68" t="n">
        <f aca="false">Capitalization!Q29/'Ratio (data)'!P60</f>
        <v>14.3243237199734</v>
      </c>
      <c r="Q60" s="67" t="n">
        <f aca="false">Capitalization!R29/'Ratio (data)'!Q60</f>
        <v>14.6916140717676</v>
      </c>
      <c r="R60" s="63" t="n">
        <f aca="false">Capitalization!S29/'Ratio (data)'!R60</f>
        <v>14.6916140717676</v>
      </c>
      <c r="S60" s="65" t="n">
        <f aca="false">Capitalization!T29/'Ratio (data)'!S60</f>
        <v>14.9854463532029</v>
      </c>
      <c r="T60" s="63" t="n">
        <f aca="false">Capitalization!U29/'Ratio (data)'!T60</f>
        <v>13.9570333681792</v>
      </c>
      <c r="U60" s="63" t="n">
        <f aca="false">Capitalization!V29/'Ratio (data)'!U60</f>
        <v>16.6373109547359</v>
      </c>
      <c r="V60" s="65" t="n">
        <f aca="false">Capitalization!W29/'Ratio (data)'!V60</f>
        <v>16.6373109547359</v>
      </c>
      <c r="W60" s="65" t="n">
        <f aca="false">Capitalization!X29/'Ratio (data)'!W60</f>
        <v>16.6373109547359</v>
      </c>
      <c r="X60" s="66" t="n">
        <f aca="false">Capitalization!Y29/'Ratio (data)'!X60</f>
        <v>18.7956648083233</v>
      </c>
      <c r="Y60" s="67" t="n">
        <f aca="false">Capitalization!Z29/'Ratio (data)'!Y60</f>
        <v>14.6588199222808</v>
      </c>
      <c r="Z60" s="63" t="n">
        <f aca="false">Capitalization!AA29/'Ratio (data)'!Z60</f>
        <v>17.1768994181327</v>
      </c>
      <c r="AA60" s="65" t="n">
        <f aca="false">Capitalization!AB29/'Ratio (data)'!AA60</f>
        <v>22.482852641535</v>
      </c>
      <c r="AB60" s="63" t="n">
        <f aca="false">Capitalization!AC29/'Ratio (data)'!AB60</f>
        <v>22.482852641535</v>
      </c>
      <c r="AC60" s="68" t="n">
        <f aca="false">Capitalization!AD29/'Ratio (data)'!AC60</f>
        <v>8.24057946693226</v>
      </c>
      <c r="AD60" s="67" t="n">
        <f aca="false">Capitalization!AE29/'Ratio (data)'!AD60</f>
        <v>6.29580271273625</v>
      </c>
      <c r="AE60" s="63" t="n">
        <f aca="false">Capitalization!AF29/'Ratio (data)'!AE60</f>
        <v>6.29580271273625</v>
      </c>
      <c r="AF60" s="65" t="n">
        <f aca="false">Capitalization!AG29/'Ratio (data)'!AF60</f>
        <v>6.29580271273625</v>
      </c>
      <c r="AG60" s="63" t="n">
        <f aca="false">Capitalization!AH29/'Ratio (data)'!AG60</f>
        <v>6.59246357354581</v>
      </c>
      <c r="AH60" s="63" t="n">
        <f aca="false">Capitalization!AI29/'Ratio (data)'!AH60</f>
        <v>19.9475671236453</v>
      </c>
      <c r="AI60" s="66" t="n">
        <f aca="false">Capitalization!AJ29/'Ratio (data)'!AI60</f>
        <v>19.9475671236453</v>
      </c>
      <c r="AJ60" s="67" t="n">
        <f aca="false">Capitalization!AK29/'Ratio (data)'!AJ60</f>
        <v>23.4383913702833</v>
      </c>
      <c r="AK60" s="63" t="n">
        <f aca="false">Capitalization!AL29/'Ratio (data)'!AK60</f>
        <v>19.9475671236453</v>
      </c>
      <c r="AL60" s="65" t="n">
        <f aca="false">Capitalization!AM29/'Ratio (data)'!AL60</f>
        <v>19.9475671236453</v>
      </c>
      <c r="AM60" s="63" t="n">
        <f aca="false">Capitalization!AN29/'Ratio (data)'!AM60</f>
        <v>20.4462563017365</v>
      </c>
      <c r="AN60" s="68" t="n">
        <f aca="false">Capitalization!AO29/'Ratio (data)'!AN60</f>
        <v>358.563018906965</v>
      </c>
      <c r="AO60" s="67" t="n">
        <f aca="false">Capitalization!AP29/'Ratio (data)'!AO60</f>
        <v>273.595478881618</v>
      </c>
      <c r="AP60" s="63" t="n">
        <f aca="false">Capitalization!AQ29/'Ratio (data)'!AP60</f>
        <v>404.445490520653</v>
      </c>
      <c r="AQ60" s="65" t="n">
        <f aca="false">Capitalization!AR29/'Ratio (data)'!AQ60</f>
        <v>390.850684116597</v>
      </c>
    </row>
    <row r="61" customFormat="false" ht="12.8" hidden="false" customHeight="false" outlineLevel="0" collapsed="false">
      <c r="A61" s="1" t="s">
        <v>102</v>
      </c>
      <c r="B61" s="203" t="s">
        <v>44</v>
      </c>
      <c r="C61" s="44" t="s">
        <v>49</v>
      </c>
      <c r="D61" s="23" t="s">
        <v>42</v>
      </c>
      <c r="E61" s="28" t="s">
        <v>41</v>
      </c>
      <c r="F61" s="23" t="s">
        <v>40</v>
      </c>
      <c r="G61" s="28" t="s">
        <v>38</v>
      </c>
      <c r="H61" s="23" t="s">
        <v>37</v>
      </c>
      <c r="I61" s="45" t="s">
        <v>36</v>
      </c>
      <c r="J61" s="46" t="s">
        <v>35</v>
      </c>
      <c r="K61" s="24" t="s">
        <v>34</v>
      </c>
      <c r="L61" s="23" t="s">
        <v>33</v>
      </c>
      <c r="M61" s="19" t="s">
        <v>32</v>
      </c>
      <c r="N61" s="19" t="s">
        <v>50</v>
      </c>
      <c r="O61" s="23" t="s">
        <v>51</v>
      </c>
      <c r="P61" s="47" t="s">
        <v>52</v>
      </c>
      <c r="Q61" s="46" t="s">
        <v>53</v>
      </c>
      <c r="R61" s="23" t="s">
        <v>54</v>
      </c>
      <c r="S61" s="19" t="s">
        <v>55</v>
      </c>
      <c r="T61" s="23" t="s">
        <v>56</v>
      </c>
      <c r="U61" s="23" t="s">
        <v>57</v>
      </c>
      <c r="V61" s="28" t="s">
        <v>58</v>
      </c>
      <c r="W61" s="28" t="s">
        <v>59</v>
      </c>
      <c r="X61" s="45" t="s">
        <v>60</v>
      </c>
      <c r="Y61" s="46" t="s">
        <v>61</v>
      </c>
      <c r="Z61" s="23" t="s">
        <v>62</v>
      </c>
      <c r="AA61" s="19" t="s">
        <v>63</v>
      </c>
      <c r="AB61" s="23" t="s">
        <v>64</v>
      </c>
      <c r="AC61" s="47" t="s">
        <v>65</v>
      </c>
      <c r="AD61" s="46" t="s">
        <v>66</v>
      </c>
      <c r="AE61" s="23" t="s">
        <v>67</v>
      </c>
      <c r="AF61" s="19" t="s">
        <v>68</v>
      </c>
      <c r="AG61" s="23" t="s">
        <v>69</v>
      </c>
      <c r="AH61" s="23" t="s">
        <v>70</v>
      </c>
      <c r="AI61" s="45" t="s">
        <v>71</v>
      </c>
      <c r="AJ61" s="46" t="s">
        <v>72</v>
      </c>
      <c r="AK61" s="23" t="s">
        <v>73</v>
      </c>
      <c r="AL61" s="24" t="s">
        <v>74</v>
      </c>
      <c r="AM61" s="23" t="s">
        <v>75</v>
      </c>
      <c r="AN61" s="47" t="s">
        <v>76</v>
      </c>
      <c r="AO61" s="46" t="s">
        <v>77</v>
      </c>
      <c r="AP61" s="23" t="s">
        <v>78</v>
      </c>
      <c r="AQ61" s="24" t="s">
        <v>79</v>
      </c>
    </row>
    <row r="62" customFormat="false" ht="12.8" hidden="false" customHeight="false" outlineLevel="0" collapsed="false">
      <c r="A62" s="16" t="s">
        <v>102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 customFormat="false" ht="12.8" hidden="false" customHeight="false" outlineLevel="0" collapsed="false">
      <c r="A63" s="139" t="s">
        <v>24</v>
      </c>
      <c r="B63" s="72" t="n">
        <f aca="false">Capitalization!C2/'Ratio (data)'!B63</f>
        <v>3.4993859392959</v>
      </c>
      <c r="C63" s="72" t="n">
        <f aca="false">Capitalization!D2/'Ratio (data)'!C63</f>
        <v>3.42190996547576</v>
      </c>
      <c r="D63" s="31" t="n">
        <f aca="false">Capitalization!E2/'Ratio (data)'!D63</f>
        <v>3.54114764210568</v>
      </c>
      <c r="E63" s="96" t="n">
        <f aca="false">Capitalization!F2/'Ratio (data)'!E63</f>
        <v>3.42311916011197</v>
      </c>
      <c r="F63" s="31" t="n">
        <f aca="false">Capitalization!G2/'Ratio (data)'!F63</f>
        <v>3.16515228945324</v>
      </c>
      <c r="G63" s="96" t="n">
        <f aca="false">Capitalization!H2/'Ratio (data)'!G63</f>
        <v>2.62631094649325</v>
      </c>
      <c r="H63" s="31" t="n">
        <f aca="false">Capitalization!I2/'Ratio (data)'!H63</f>
        <v>2.61792097357711</v>
      </c>
      <c r="I63" s="74" t="n">
        <f aca="false">Capitalization!J2/'Ratio (data)'!I63</f>
        <v>2.55580483720398</v>
      </c>
      <c r="J63" s="75" t="n">
        <f aca="false">Capitalization!K2/'Ratio (data)'!J63</f>
        <v>2.1761274694464</v>
      </c>
      <c r="K63" s="96" t="n">
        <f aca="false">Capitalization!L2/'Ratio (data)'!K63</f>
        <v>1.98591174063124</v>
      </c>
      <c r="L63" s="31" t="n">
        <f aca="false">Capitalization!M2/'Ratio (data)'!L63</f>
        <v>1.91057923305911</v>
      </c>
      <c r="M63" s="96" t="n">
        <f aca="false">Capitalization!N2/'Ratio (data)'!M63</f>
        <v>1.90282572075692</v>
      </c>
      <c r="N63" s="96" t="n">
        <f aca="false">Capitalization!O2/'Ratio (data)'!N63</f>
        <v>1.8832744494516</v>
      </c>
      <c r="O63" s="31" t="n">
        <f aca="false">Capitalization!P2/'Ratio (data)'!O63</f>
        <v>1.78962505298249</v>
      </c>
      <c r="P63" s="76" t="n">
        <f aca="false">Capitalization!Q2/'Ratio (data)'!P63</f>
        <v>1.8958538310206</v>
      </c>
      <c r="Q63" s="75" t="n">
        <f aca="false">Capitalization!R2/'Ratio (data)'!Q63</f>
        <v>1.90689421895111</v>
      </c>
      <c r="R63" s="31" t="n">
        <f aca="false">Capitalization!S2/'Ratio (data)'!R63</f>
        <v>1.81032045566304</v>
      </c>
      <c r="S63" s="96" t="n">
        <f aca="false">Capitalization!T2/'Ratio (data)'!S63</f>
        <v>1.8611072431571</v>
      </c>
      <c r="T63" s="31" t="n">
        <f aca="false">Capitalization!U2/'Ratio (data)'!T63</f>
        <v>1.90263572485779</v>
      </c>
      <c r="U63" s="31" t="n">
        <f aca="false">Capitalization!V2/'Ratio (data)'!U63</f>
        <v>2.05875002826041</v>
      </c>
      <c r="V63" s="96" t="n">
        <f aca="false">Capitalization!W2/'Ratio (data)'!V63</f>
        <v>2.08341716085759</v>
      </c>
      <c r="W63" s="96" t="n">
        <f aca="false">Capitalization!X2/'Ratio (data)'!W63</f>
        <v>1.91768835983915</v>
      </c>
      <c r="X63" s="74" t="n">
        <f aca="false">Capitalization!Y2/'Ratio (data)'!X63</f>
        <v>2.13056172282776</v>
      </c>
      <c r="Y63" s="75" t="n">
        <f aca="false">Capitalization!Z2/'Ratio (data)'!Y63</f>
        <v>2.01089023150461</v>
      </c>
      <c r="Z63" s="31" t="n">
        <f aca="false">Capitalization!AA2/'Ratio (data)'!Z63</f>
        <v>1.75563117888468</v>
      </c>
      <c r="AA63" s="96" t="n">
        <f aca="false">Capitalization!AB2/'Ratio (data)'!AA63</f>
        <v>1.82636259856602</v>
      </c>
      <c r="AB63" s="31" t="n">
        <f aca="false">Capitalization!AC2/'Ratio (data)'!AB63</f>
        <v>1.5089055132046</v>
      </c>
      <c r="AC63" s="76" t="n">
        <f aca="false">Capitalization!AD2/'Ratio (data)'!AC63</f>
        <v>1.36763131382651</v>
      </c>
      <c r="AD63" s="75" t="n">
        <f aca="false">Capitalization!AE2/'Ratio (data)'!AD63</f>
        <v>1.3368200623287</v>
      </c>
      <c r="AE63" s="31" t="n">
        <f aca="false">Capitalization!AF2/'Ratio (data)'!AE63</f>
        <v>1.26571980122049</v>
      </c>
      <c r="AF63" s="96" t="n">
        <f aca="false">Capitalization!AG2/'Ratio (data)'!AF63</f>
        <v>1.2953436891168</v>
      </c>
      <c r="AG63" s="31" t="n">
        <f aca="false">Capitalization!AH2/'Ratio (data)'!AG63</f>
        <v>1.06239803403999</v>
      </c>
      <c r="AH63" s="31" t="n">
        <f aca="false">Capitalization!AI2/'Ratio (data)'!AH63</f>
        <v>1.24286339446587</v>
      </c>
      <c r="AI63" s="74" t="n">
        <f aca="false">Capitalization!AJ2/'Ratio (data)'!AI63</f>
        <v>1.63139056722986</v>
      </c>
      <c r="AJ63" s="75" t="n">
        <f aca="false">Capitalization!AK2/'Ratio (data)'!AJ63</f>
        <v>1.37089391574582</v>
      </c>
      <c r="AK63" s="31" t="n">
        <f aca="false">Capitalization!AL2/'Ratio (data)'!AK63</f>
        <v>1.16506805170801</v>
      </c>
      <c r="AL63" s="96" t="n">
        <f aca="false">Capitalization!AM2/'Ratio (data)'!AL63</f>
        <v>1.1357344687485</v>
      </c>
      <c r="AM63" s="31" t="n">
        <f aca="false">Capitalization!AN2/'Ratio (data)'!AM63</f>
        <v>1.09639550480343</v>
      </c>
      <c r="AN63" s="76" t="n">
        <f aca="false">Capitalization!AO2/'Ratio (data)'!AN63</f>
        <v>1.22000712812216</v>
      </c>
      <c r="AO63" s="31" t="n">
        <f aca="false">Capitalization!AP2/'Ratio (data)'!AO63</f>
        <v>1.09061436314284</v>
      </c>
      <c r="AP63" s="31" t="n">
        <f aca="false">Capitalization!AQ2/'Ratio (data)'!AP63</f>
        <v>1.1351338184544</v>
      </c>
      <c r="AQ63" s="96" t="n">
        <f aca="false">Capitalization!AR2/'Ratio (data)'!AQ63</f>
        <v>1.1132023289247</v>
      </c>
    </row>
    <row r="64" customFormat="false" ht="12.8" hidden="false" customHeight="false" outlineLevel="0" collapsed="false">
      <c r="A64" s="139" t="s">
        <v>180</v>
      </c>
      <c r="B64" s="72" t="n">
        <f aca="false">Capitalization!C3/'Ratio (data)'!B64</f>
        <v>2.53193795073903</v>
      </c>
      <c r="C64" s="72" t="n">
        <f aca="false">Capitalization!D3/'Ratio (data)'!C64</f>
        <v>2.54854285397647</v>
      </c>
      <c r="D64" s="31" t="n">
        <f aca="false">Capitalization!E3/'Ratio (data)'!D64</f>
        <v>2.58367337687061</v>
      </c>
      <c r="E64" s="96" t="n">
        <f aca="false">Capitalization!F3/'Ratio (data)'!E64</f>
        <v>2.59674664024039</v>
      </c>
      <c r="F64" s="31" t="n">
        <f aca="false">Capitalization!G3/'Ratio (data)'!F64</f>
        <v>2.60331425122236</v>
      </c>
      <c r="G64" s="96" t="n">
        <f aca="false">Capitalization!H3/'Ratio (data)'!G64</f>
        <v>2.69716515229802</v>
      </c>
      <c r="H64" s="31" t="n">
        <f aca="false">Capitalization!I3/'Ratio (data)'!H64</f>
        <v>2.69716515229802</v>
      </c>
      <c r="I64" s="74" t="n">
        <f aca="false">Capitalization!J3/'Ratio (data)'!I64</f>
        <v>2.69716515229802</v>
      </c>
      <c r="J64" s="75" t="n">
        <f aca="false">Capitalization!K3/'Ratio (data)'!J64</f>
        <v>2.4646952034571</v>
      </c>
      <c r="K64" s="96" t="n">
        <f aca="false">Capitalization!L3/'Ratio (data)'!K64</f>
        <v>2.63936875617735</v>
      </c>
      <c r="L64" s="31" t="n">
        <f aca="false">Capitalization!M3/'Ratio (data)'!L64</f>
        <v>2.56872871647431</v>
      </c>
      <c r="M64" s="96" t="n">
        <f aca="false">Capitalization!N3/'Ratio (data)'!M64</f>
        <v>2.56872871647431</v>
      </c>
      <c r="N64" s="96" t="n">
        <f aca="false">Capitalization!O3/'Ratio (data)'!N64</f>
        <v>2.56230689468312</v>
      </c>
      <c r="O64" s="31" t="n">
        <f aca="false">Capitalization!P3/'Ratio (data)'!O64</f>
        <v>2.58118705074921</v>
      </c>
      <c r="P64" s="76" t="n">
        <f aca="false">Capitalization!Q3/'Ratio (data)'!P64</f>
        <v>2.46345702560963</v>
      </c>
      <c r="Q64" s="75" t="n">
        <f aca="false">Capitalization!R3/'Ratio (data)'!Q64</f>
        <v>2.33548523207147</v>
      </c>
      <c r="R64" s="31" t="n">
        <f aca="false">Capitalization!S3/'Ratio (data)'!R64</f>
        <v>2.23950638691784</v>
      </c>
      <c r="S64" s="96" t="n">
        <f aca="false">Capitalization!T3/'Ratio (data)'!S64</f>
        <v>2.35724043697295</v>
      </c>
      <c r="T64" s="31" t="n">
        <f aca="false">Capitalization!U3/'Ratio (data)'!T64</f>
        <v>2.3786757123906</v>
      </c>
      <c r="U64" s="31" t="n">
        <f aca="false">Capitalization!V3/'Ratio (data)'!U64</f>
        <v>2.35700880370073</v>
      </c>
      <c r="V64" s="96" t="n">
        <f aca="false">Capitalization!W3/'Ratio (data)'!V64</f>
        <v>2.35046155702378</v>
      </c>
      <c r="W64" s="96" t="n">
        <f aca="false">Capitalization!X3/'Ratio (data)'!W64</f>
        <v>2.29264936886634</v>
      </c>
      <c r="X64" s="74" t="n">
        <f aca="false">Capitalization!Y3/'Ratio (data)'!X64</f>
        <v>2.38974503708546</v>
      </c>
      <c r="Y64" s="75" t="n">
        <f aca="false">Capitalization!Z3/'Ratio (data)'!Y64</f>
        <v>2.25880010354653</v>
      </c>
      <c r="Z64" s="31" t="n">
        <f aca="false">Capitalization!AA3/'Ratio (data)'!Z64</f>
        <v>2.19673220504908</v>
      </c>
      <c r="AA64" s="96" t="n">
        <f aca="false">Capitalization!AB3/'Ratio (data)'!AA64</f>
        <v>2.32014780490952</v>
      </c>
      <c r="AB64" s="31" t="n">
        <f aca="false">Capitalization!AC3/'Ratio (data)'!AB64</f>
        <v>2.31536225190569</v>
      </c>
      <c r="AC64" s="76" t="n">
        <f aca="false">Capitalization!AD3/'Ratio (data)'!AC64</f>
        <v>2.19582494494684</v>
      </c>
      <c r="AD64" s="75" t="n">
        <f aca="false">Capitalization!AE3/'Ratio (data)'!AD64</f>
        <v>2.11344112528601</v>
      </c>
      <c r="AE64" s="31" t="n">
        <f aca="false">Capitalization!AF3/'Ratio (data)'!AE64</f>
        <v>2.14036394216863</v>
      </c>
      <c r="AF64" s="96" t="n">
        <f aca="false">Capitalization!AG3/'Ratio (data)'!AF64</f>
        <v>2.14810425202239</v>
      </c>
      <c r="AG64" s="31" t="n">
        <f aca="false">Capitalization!AH3/'Ratio (data)'!AG64</f>
        <v>2.1155414308331</v>
      </c>
      <c r="AH64" s="31" t="n">
        <f aca="false">Capitalization!AI3/'Ratio (data)'!AH64</f>
        <v>1.81763879590547</v>
      </c>
      <c r="AI64" s="74" t="n">
        <f aca="false">Capitalization!AJ3/'Ratio (data)'!AI64</f>
        <v>2.16361423460831</v>
      </c>
      <c r="AJ64" s="75" t="n">
        <f aca="false">Capitalization!AK3/'Ratio (data)'!AJ64</f>
        <v>2.16361423460831</v>
      </c>
      <c r="AK64" s="31" t="n">
        <f aca="false">Capitalization!AL3/'Ratio (data)'!AK64</f>
        <v>2.08923999529365</v>
      </c>
      <c r="AL64" s="96" t="n">
        <f aca="false">Capitalization!AM3/'Ratio (data)'!AL64</f>
        <v>2.02838834494529</v>
      </c>
      <c r="AM64" s="31" t="n">
        <f aca="false">Capitalization!AN3/'Ratio (data)'!AM64</f>
        <v>1.98782057804638</v>
      </c>
      <c r="AN64" s="76" t="n">
        <f aca="false">Capitalization!AO3/'Ratio (data)'!AN64</f>
        <v>1.98181538971495</v>
      </c>
      <c r="AO64" s="31" t="n">
        <f aca="false">Capitalization!AP3/'Ratio (data)'!AO64</f>
        <v>1.96713176708561</v>
      </c>
      <c r="AP64" s="31" t="n">
        <f aca="false">Capitalization!AQ3/'Ratio (data)'!AP64</f>
        <v>1.95271881031119</v>
      </c>
      <c r="AQ64" s="96" t="n">
        <f aca="false">Capitalization!AR3/'Ratio (data)'!AQ64</f>
        <v>1.94013284805746</v>
      </c>
    </row>
    <row r="65" customFormat="false" ht="12.8" hidden="false" customHeight="false" outlineLevel="0" collapsed="false">
      <c r="A65" s="139" t="s">
        <v>181</v>
      </c>
      <c r="B65" s="72" t="n">
        <f aca="false">Capitalization!C5/'Ratio (data)'!B65</f>
        <v>1.90156525067738</v>
      </c>
      <c r="C65" s="72" t="n">
        <f aca="false">Capitalization!D5/'Ratio (data)'!C65</f>
        <v>1.87952338185071</v>
      </c>
      <c r="D65" s="31" t="n">
        <f aca="false">Capitalization!E5/'Ratio (data)'!D65</f>
        <v>1.90412013664684</v>
      </c>
      <c r="E65" s="96" t="n">
        <f aca="false">Capitalization!F5/'Ratio (data)'!E65</f>
        <v>1.8895695828636</v>
      </c>
      <c r="F65" s="31" t="n">
        <f aca="false">Capitalization!G5/'Ratio (data)'!F65</f>
        <v>1.75810652490013</v>
      </c>
      <c r="G65" s="96" t="n">
        <f aca="false">Capitalization!H5/'Ratio (data)'!G65</f>
        <v>1.84563350419317</v>
      </c>
      <c r="H65" s="31" t="n">
        <f aca="false">Capitalization!I5/'Ratio (data)'!H65</f>
        <v>1.87481299730625</v>
      </c>
      <c r="I65" s="74" t="n">
        <f aca="false">Capitalization!J5/'Ratio (data)'!I65</f>
        <v>1.86120821836054</v>
      </c>
      <c r="J65" s="75" t="n">
        <f aca="false">Capitalization!K5/'Ratio (data)'!J65</f>
        <v>1.66884215951913</v>
      </c>
      <c r="K65" s="96" t="n">
        <f aca="false">Capitalization!L5/'Ratio (data)'!K65</f>
        <v>1.62717476627244</v>
      </c>
      <c r="L65" s="31" t="n">
        <f aca="false">Capitalization!M5/'Ratio (data)'!L65</f>
        <v>1.61671655207883</v>
      </c>
      <c r="M65" s="96" t="n">
        <f aca="false">Capitalization!N5/'Ratio (data)'!M65</f>
        <v>1.60997207484068</v>
      </c>
      <c r="N65" s="96" t="n">
        <f aca="false">Capitalization!O5/'Ratio (data)'!N65</f>
        <v>1.60817128011401</v>
      </c>
      <c r="O65" s="31" t="n">
        <f aca="false">Capitalization!P5/'Ratio (data)'!O65</f>
        <v>1.64070692511432</v>
      </c>
      <c r="P65" s="76" t="n">
        <f aca="false">Capitalization!Q5/'Ratio (data)'!P65</f>
        <v>1.82250697463762</v>
      </c>
      <c r="Q65" s="75" t="n">
        <f aca="false">Capitalization!R5/'Ratio (data)'!Q65</f>
        <v>1.74545860066462</v>
      </c>
      <c r="R65" s="31" t="n">
        <f aca="false">Capitalization!S5/'Ratio (data)'!R65</f>
        <v>1.63487501754874</v>
      </c>
      <c r="S65" s="96" t="n">
        <f aca="false">Capitalization!T5/'Ratio (data)'!S65</f>
        <v>1.71618904896428</v>
      </c>
      <c r="T65" s="31" t="n">
        <f aca="false">Capitalization!U5/'Ratio (data)'!T65</f>
        <v>1.70427003093498</v>
      </c>
      <c r="U65" s="31" t="n">
        <f aca="false">Capitalization!V5/'Ratio (data)'!U65</f>
        <v>1.92087167762208</v>
      </c>
      <c r="V65" s="96" t="n">
        <f aca="false">Capitalization!W5/'Ratio (data)'!V65</f>
        <v>1.87130358398104</v>
      </c>
      <c r="W65" s="96" t="n">
        <f aca="false">Capitalization!X5/'Ratio (data)'!W65</f>
        <v>1.75802337824607</v>
      </c>
      <c r="X65" s="74" t="n">
        <f aca="false">Capitalization!Y5/'Ratio (data)'!X65</f>
        <v>1.94273760021901</v>
      </c>
      <c r="Y65" s="75" t="n">
        <f aca="false">Capitalization!Z5/'Ratio (data)'!Y65</f>
        <v>1.96784446019646</v>
      </c>
      <c r="Z65" s="31" t="n">
        <f aca="false">Capitalization!AA5/'Ratio (data)'!Z65</f>
        <v>1.8263423809135</v>
      </c>
      <c r="AA65" s="96" t="n">
        <f aca="false">Capitalization!AB5/'Ratio (data)'!AA65</f>
        <v>1.91483373764875</v>
      </c>
      <c r="AB65" s="31" t="n">
        <f aca="false">Capitalization!AC5/'Ratio (data)'!AB65</f>
        <v>1.65408394461901</v>
      </c>
      <c r="AC65" s="76" t="n">
        <f aca="false">Capitalization!AD5/'Ratio (data)'!AC65</f>
        <v>1.75724479868797</v>
      </c>
      <c r="AD65" s="75" t="n">
        <f aca="false">Capitalization!AE5/'Ratio (data)'!AD65</f>
        <v>1.62359745905142</v>
      </c>
      <c r="AE65" s="31" t="n">
        <f aca="false">Capitalization!AF5/'Ratio (data)'!AE65</f>
        <v>1.53669116013015</v>
      </c>
      <c r="AF65" s="96" t="n">
        <f aca="false">Capitalization!AG5/'Ratio (data)'!AF65</f>
        <v>1.57781530978449</v>
      </c>
      <c r="AG65" s="31" t="n">
        <f aca="false">Capitalization!AH5/'Ratio (data)'!AG65</f>
        <v>1.46354495349278</v>
      </c>
      <c r="AH65" s="31" t="n">
        <f aca="false">Capitalization!AI5/'Ratio (data)'!AH65</f>
        <v>1.25180183169173</v>
      </c>
      <c r="AI65" s="74" t="n">
        <f aca="false">Capitalization!AJ5/'Ratio (data)'!AI65</f>
        <v>1.68120681613952</v>
      </c>
      <c r="AJ65" s="75" t="n">
        <f aca="false">Capitalization!AK5/'Ratio (data)'!AJ65</f>
        <v>1.53502030309338</v>
      </c>
      <c r="AK65" s="31" t="n">
        <f aca="false">Capitalization!AL5/'Ratio (data)'!AK65</f>
        <v>1.44488076782766</v>
      </c>
      <c r="AL65" s="96" t="n">
        <f aca="false">Capitalization!AM5/'Ratio (data)'!AL65</f>
        <v>1.2895397000909</v>
      </c>
      <c r="AM65" s="31" t="n">
        <f aca="false">Capitalization!AN5/'Ratio (data)'!AM65</f>
        <v>1.16685808990126</v>
      </c>
      <c r="AN65" s="76" t="n">
        <f aca="false">Capitalization!AO5/'Ratio (data)'!AN65</f>
        <v>1.27805792643025</v>
      </c>
      <c r="AO65" s="31" t="n">
        <f aca="false">Capitalization!AP5/'Ratio (data)'!AO65</f>
        <v>1.23304622985894</v>
      </c>
      <c r="AP65" s="31" t="n">
        <f aca="false">Capitalization!AQ5/'Ratio (data)'!AP65</f>
        <v>1.25585580485182</v>
      </c>
      <c r="AQ65" s="96" t="n">
        <f aca="false">Capitalization!AR5/'Ratio (data)'!AQ65</f>
        <v>1.21004419437832</v>
      </c>
    </row>
    <row r="66" customFormat="false" ht="12.8" hidden="false" customHeight="false" outlineLevel="0" collapsed="false">
      <c r="A66" s="139" t="s">
        <v>30</v>
      </c>
      <c r="B66" s="72" t="n">
        <f aca="false">Capitalization!C6/'Ratio (data)'!B66</f>
        <v>2.50973503023048</v>
      </c>
      <c r="C66" s="72" t="n">
        <f aca="false">Capitalization!D6/'Ratio (data)'!C66</f>
        <v>2.27889556956454</v>
      </c>
      <c r="D66" s="31" t="n">
        <f aca="false">Capitalization!E6/'Ratio (data)'!D66</f>
        <v>2.27889556956454</v>
      </c>
      <c r="E66" s="96" t="n">
        <f aca="false">Capitalization!F6/'Ratio (data)'!E66</f>
        <v>1.98655124958223</v>
      </c>
      <c r="F66" s="31" t="n">
        <f aca="false">Capitalization!G6/'Ratio (data)'!F66</f>
        <v>1.97504282695593</v>
      </c>
      <c r="G66" s="96" t="n">
        <f aca="false">Capitalization!H6/'Ratio (data)'!G66</f>
        <v>2.01586037871302</v>
      </c>
      <c r="H66" s="31" t="n">
        <f aca="false">Capitalization!I6/'Ratio (data)'!H66</f>
        <v>2.11112153488681</v>
      </c>
      <c r="I66" s="74" t="n">
        <f aca="false">Capitalization!J6/'Ratio (data)'!I66</f>
        <v>1.9682620073465</v>
      </c>
      <c r="J66" s="75" t="n">
        <f aca="false">Capitalization!K6/'Ratio (data)'!J66</f>
        <v>1.83952929648303</v>
      </c>
      <c r="K66" s="96" t="n">
        <f aca="false">Capitalization!L6/'Ratio (data)'!K66</f>
        <v>1.86949992435376</v>
      </c>
      <c r="L66" s="31" t="n">
        <f aca="false">Capitalization!M6/'Ratio (data)'!L66</f>
        <v>1.81024267455811</v>
      </c>
      <c r="M66" s="96" t="n">
        <f aca="false">Capitalization!N6/'Ratio (data)'!M66</f>
        <v>1.81331372166178</v>
      </c>
      <c r="N66" s="96" t="n">
        <f aca="false">Capitalization!O6/'Ratio (data)'!N66</f>
        <v>1.79495723556489</v>
      </c>
      <c r="O66" s="31" t="n">
        <f aca="false">Capitalization!P6/'Ratio (data)'!O66</f>
        <v>1.72537010005693</v>
      </c>
      <c r="P66" s="76" t="n">
        <f aca="false">Capitalization!Q6/'Ratio (data)'!P66</f>
        <v>1.97015268311136</v>
      </c>
      <c r="Q66" s="75" t="n">
        <f aca="false">Capitalization!R6/'Ratio (data)'!Q66</f>
        <v>2.01511091549799</v>
      </c>
      <c r="R66" s="31" t="n">
        <f aca="false">Capitalization!S6/'Ratio (data)'!R66</f>
        <v>2.02109935804033</v>
      </c>
      <c r="S66" s="96" t="n">
        <f aca="false">Capitalization!T6/'Ratio (data)'!S66</f>
        <v>2.10420396942168</v>
      </c>
      <c r="T66" s="31" t="n">
        <f aca="false">Capitalization!U6/'Ratio (data)'!T66</f>
        <v>2.05036787096603</v>
      </c>
      <c r="U66" s="31" t="n">
        <f aca="false">Capitalization!V6/'Ratio (data)'!U66</f>
        <v>2.40098491676327</v>
      </c>
      <c r="V66" s="96" t="n">
        <f aca="false">Capitalization!W6/'Ratio (data)'!V66</f>
        <v>2.24412056886807</v>
      </c>
      <c r="W66" s="96" t="n">
        <f aca="false">Capitalization!X6/'Ratio (data)'!W66</f>
        <v>2.16621661160216</v>
      </c>
      <c r="X66" s="74" t="n">
        <f aca="false">Capitalization!Y6/'Ratio (data)'!X66</f>
        <v>2.40098491676327</v>
      </c>
      <c r="Y66" s="75" t="n">
        <f aca="false">Capitalization!Z6/'Ratio (data)'!Y66</f>
        <v>2.198133704429</v>
      </c>
      <c r="Z66" s="31" t="n">
        <f aca="false">Capitalization!AA6/'Ratio (data)'!Z66</f>
        <v>2.09686016063993</v>
      </c>
      <c r="AA66" s="96" t="n">
        <f aca="false">Capitalization!AB6/'Ratio (data)'!AA66</f>
        <v>2.15344337184498</v>
      </c>
      <c r="AB66" s="31" t="n">
        <f aca="false">Capitalization!AC6/'Ratio (data)'!AB66</f>
        <v>1.92078793341062</v>
      </c>
      <c r="AC66" s="76" t="n">
        <f aca="false">Capitalization!AD6/'Ratio (data)'!AC66</f>
        <v>2.02154726926054</v>
      </c>
      <c r="AD66" s="75" t="n">
        <f aca="false">Capitalization!AE6/'Ratio (data)'!AD66</f>
        <v>1.94180469157545</v>
      </c>
      <c r="AE66" s="31" t="n">
        <f aca="false">Capitalization!AF6/'Ratio (data)'!AE66</f>
        <v>1.93125601371069</v>
      </c>
      <c r="AF66" s="96" t="n">
        <f aca="false">Capitalization!AG6/'Ratio (data)'!AF66</f>
        <v>2.00513067734239</v>
      </c>
      <c r="AG66" s="31" t="n">
        <f aca="false">Capitalization!AH6/'Ratio (data)'!AG66</f>
        <v>1.78072536302313</v>
      </c>
      <c r="AH66" s="31" t="n">
        <f aca="false">Capitalization!AI6/'Ratio (data)'!AH66</f>
        <v>1.6552557318275</v>
      </c>
      <c r="AI66" s="74" t="n">
        <f aca="false">Capitalization!AJ6/'Ratio (data)'!AI66</f>
        <v>2.33542487136337</v>
      </c>
      <c r="AJ66" s="75" t="n">
        <f aca="false">Capitalization!AK6/'Ratio (data)'!AJ66</f>
        <v>2.24499722034418</v>
      </c>
      <c r="AK66" s="31" t="n">
        <f aca="false">Capitalization!AL6/'Ratio (data)'!AK66</f>
        <v>2.24200787650883</v>
      </c>
      <c r="AL66" s="96" t="n">
        <f aca="false">Capitalization!AM6/'Ratio (data)'!AL66</f>
        <v>2.24200787650883</v>
      </c>
      <c r="AM66" s="31" t="n">
        <f aca="false">Capitalization!AN6/'Ratio (data)'!AM66</f>
        <v>1.93348890930225</v>
      </c>
      <c r="AN66" s="76" t="n">
        <f aca="false">Capitalization!AO6/'Ratio (data)'!AN66</f>
        <v>2.31803897198469</v>
      </c>
      <c r="AO66" s="31" t="n">
        <f aca="false">Capitalization!AP6/'Ratio (data)'!AO66</f>
        <v>2.36052848470946</v>
      </c>
      <c r="AP66" s="31" t="n">
        <f aca="false">Capitalization!AQ6/'Ratio (data)'!AP66</f>
        <v>2.27336597041156</v>
      </c>
      <c r="AQ66" s="96" t="n">
        <f aca="false">Capitalization!AR6/'Ratio (data)'!AQ66</f>
        <v>2.23162395837361</v>
      </c>
    </row>
    <row r="67" customFormat="false" ht="12.8" hidden="false" customHeight="false" outlineLevel="0" collapsed="false">
      <c r="A67" s="139" t="s">
        <v>182</v>
      </c>
      <c r="B67" s="72" t="n">
        <f aca="false">Capitalization!C7/'Ratio (data)'!B67</f>
        <v>0.795518740824315</v>
      </c>
      <c r="C67" s="72" t="n">
        <f aca="false">Capitalization!D7/'Ratio (data)'!C67</f>
        <v>0.814146590127363</v>
      </c>
      <c r="D67" s="31" t="n">
        <f aca="false">Capitalization!E7/'Ratio (data)'!D67</f>
        <v>0.814146590127363</v>
      </c>
      <c r="E67" s="96" t="n">
        <f aca="false">Capitalization!F7/'Ratio (data)'!E67</f>
        <v>0.815242345968719</v>
      </c>
      <c r="F67" s="31" t="n">
        <f aca="false">Capitalization!G7/'Ratio (data)'!F67</f>
        <v>0.815242345968719</v>
      </c>
      <c r="G67" s="96" t="n">
        <f aca="false">Capitalization!H7/'Ratio (data)'!G67</f>
        <v>0.793674248805573</v>
      </c>
      <c r="H67" s="31" t="n">
        <f aca="false">Capitalization!I7/'Ratio (data)'!H67</f>
        <v>0.793674248805573</v>
      </c>
      <c r="I67" s="74" t="n">
        <f aca="false">Capitalization!J7/'Ratio (data)'!I67</f>
        <v>0.774626066834239</v>
      </c>
      <c r="J67" s="75" t="n">
        <f aca="false">Capitalization!K7/'Ratio (data)'!J67</f>
        <v>0.771705345598635</v>
      </c>
      <c r="K67" s="96" t="n">
        <f aca="false">Capitalization!L7/'Ratio (data)'!K67</f>
        <v>0.733964547719432</v>
      </c>
      <c r="L67" s="31" t="n">
        <f aca="false">Capitalization!M7/'Ratio (data)'!L67</f>
        <v>0.733964547719432</v>
      </c>
      <c r="M67" s="96" t="n">
        <f aca="false">Capitalization!N7/'Ratio (data)'!M67</f>
        <v>0.733964547719432</v>
      </c>
      <c r="N67" s="96" t="n">
        <f aca="false">Capitalization!O7/'Ratio (data)'!N67</f>
        <v>0.733964547719432</v>
      </c>
      <c r="O67" s="31" t="n">
        <f aca="false">Capitalization!P7/'Ratio (data)'!O67</f>
        <v>0.741609218083928</v>
      </c>
      <c r="P67" s="76" t="n">
        <f aca="false">Capitalization!Q7/'Ratio (data)'!P67</f>
        <v>0.850276080116499</v>
      </c>
      <c r="Q67" s="75" t="n">
        <f aca="false">Capitalization!R7/'Ratio (data)'!Q67</f>
        <v>0.826063863429764</v>
      </c>
      <c r="R67" s="31" t="n">
        <f aca="false">Capitalization!S7/'Ratio (data)'!R67</f>
        <v>0.811849867986611</v>
      </c>
      <c r="S67" s="96" t="n">
        <f aca="false">Capitalization!T7/'Ratio (data)'!S67</f>
        <v>0.803845593999584</v>
      </c>
      <c r="T67" s="31" t="n">
        <f aca="false">Capitalization!U7/'Ratio (data)'!T67</f>
        <v>0.996973628277302</v>
      </c>
      <c r="U67" s="31" t="n">
        <f aca="false">Capitalization!V7/'Ratio (data)'!U67</f>
        <v>1.33003080473442</v>
      </c>
      <c r="V67" s="96" t="n">
        <f aca="false">Capitalization!W7/'Ratio (data)'!V67</f>
        <v>1.29434705143667</v>
      </c>
      <c r="W67" s="96" t="n">
        <f aca="false">Capitalization!X7/'Ratio (data)'!W67</f>
        <v>1.29434705143667</v>
      </c>
      <c r="X67" s="74" t="n">
        <f aca="false">Capitalization!Y7/'Ratio (data)'!X67</f>
        <v>1.29434705143667</v>
      </c>
      <c r="Y67" s="75" t="n">
        <f aca="false">Capitalization!Z7/'Ratio (data)'!Y67</f>
        <v>1.13886320638564</v>
      </c>
      <c r="Z67" s="31" t="n">
        <f aca="false">Capitalization!AA7/'Ratio (data)'!Z67</f>
        <v>1.13866856773129</v>
      </c>
      <c r="AA67" s="96" t="n">
        <f aca="false">Capitalization!AB7/'Ratio (data)'!AA67</f>
        <v>1.08790031872131</v>
      </c>
      <c r="AB67" s="31" t="n">
        <f aca="false">Capitalization!AC7/'Ratio (data)'!AB67</f>
        <v>0.940785935807389</v>
      </c>
      <c r="AC67" s="76" t="n">
        <f aca="false">Capitalization!AD7/'Ratio (data)'!AC67</f>
        <v>1.07153408462189</v>
      </c>
      <c r="AD67" s="75" t="n">
        <f aca="false">Capitalization!AE7/'Ratio (data)'!AD67</f>
        <v>0.960722680491511</v>
      </c>
      <c r="AE67" s="31" t="n">
        <f aca="false">Capitalization!AF7/'Ratio (data)'!AE67</f>
        <v>0.923773229297653</v>
      </c>
      <c r="AF67" s="96" t="n">
        <f aca="false">Capitalization!AG7/'Ratio (data)'!AF67</f>
        <v>0.923736279846459</v>
      </c>
      <c r="AG67" s="31" t="n">
        <f aca="false">Capitalization!AH7/'Ratio (data)'!AG67</f>
        <v>1.06829713295449</v>
      </c>
      <c r="AH67" s="31" t="n">
        <f aca="false">Capitalization!AI7/'Ratio (data)'!AH67</f>
        <v>1.00943178073046</v>
      </c>
      <c r="AI67" s="74" t="n">
        <f aca="false">Capitalization!AJ7/'Ratio (data)'!AI67</f>
        <v>1.05521594357137</v>
      </c>
      <c r="AJ67" s="75" t="n">
        <f aca="false">Capitalization!AK7/'Ratio (data)'!AJ67</f>
        <v>1.09445951172072</v>
      </c>
      <c r="AK67" s="31" t="n">
        <f aca="false">Capitalization!AL7/'Ratio (data)'!AK67</f>
        <v>1.00511498823404</v>
      </c>
      <c r="AL67" s="96" t="n">
        <f aca="false">Capitalization!AM7/'Ratio (data)'!AL67</f>
        <v>1.00507138426943</v>
      </c>
      <c r="AM67" s="31" t="n">
        <f aca="false">Capitalization!AN7/'Ratio (data)'!AM67</f>
        <v>1.00293479000352</v>
      </c>
      <c r="AN67" s="76" t="n">
        <f aca="false">Capitalization!AO7/'Ratio (data)'!AN67</f>
        <v>0.971771951472896</v>
      </c>
      <c r="AO67" s="31" t="n">
        <f aca="false">Capitalization!AP7/'Ratio (data)'!AO67</f>
        <v>0.951095952505387</v>
      </c>
      <c r="AP67" s="31" t="n">
        <f aca="false">Capitalization!AQ7/'Ratio (data)'!AP67</f>
        <v>0.984177550853401</v>
      </c>
      <c r="AQ67" s="96" t="n">
        <f aca="false">Capitalization!AR7/'Ratio (data)'!AQ67</f>
        <v>0.984177550853401</v>
      </c>
    </row>
    <row r="68" customFormat="false" ht="12.8" hidden="false" customHeight="false" outlineLevel="0" collapsed="false">
      <c r="A68" s="139" t="s">
        <v>183</v>
      </c>
      <c r="B68" s="72" t="n">
        <f aca="false">Capitalization!C8/'Ratio (data)'!B68</f>
        <v>1.86627525759307</v>
      </c>
      <c r="C68" s="72" t="n">
        <f aca="false">Capitalization!D8/'Ratio (data)'!C68</f>
        <v>1.8169166725989</v>
      </c>
      <c r="D68" s="31" t="n">
        <f aca="false">Capitalization!E8/'Ratio (data)'!D68</f>
        <v>1.81958847068155</v>
      </c>
      <c r="E68" s="96" t="n">
        <f aca="false">Capitalization!F8/'Ratio (data)'!E68</f>
        <v>1.7446558908358</v>
      </c>
      <c r="F68" s="31" t="n">
        <f aca="false">Capitalization!G8/'Ratio (data)'!F68</f>
        <v>1.69007444472308</v>
      </c>
      <c r="G68" s="96" t="n">
        <f aca="false">Capitalization!H8/'Ratio (data)'!G68</f>
        <v>1.79567361579346</v>
      </c>
      <c r="H68" s="31" t="n">
        <f aca="false">Capitalization!I8/'Ratio (data)'!H68</f>
        <v>1.72034305993405</v>
      </c>
      <c r="I68" s="74" t="n">
        <f aca="false">Capitalization!J8/'Ratio (data)'!I68</f>
        <v>1.6570961466833</v>
      </c>
      <c r="J68" s="75" t="n">
        <f aca="false">Capitalization!K8/'Ratio (data)'!J68</f>
        <v>1.62864672393704</v>
      </c>
      <c r="K68" s="96" t="n">
        <f aca="false">Capitalization!L8/'Ratio (data)'!K68</f>
        <v>1.75826702187789</v>
      </c>
      <c r="L68" s="31" t="n">
        <f aca="false">Capitalization!M8/'Ratio (data)'!L68</f>
        <v>1.65077084817814</v>
      </c>
      <c r="M68" s="96" t="n">
        <f aca="false">Capitalization!N8/'Ratio (data)'!M68</f>
        <v>1.65203580668249</v>
      </c>
      <c r="N68" s="96" t="n">
        <f aca="false">Capitalization!O8/'Ratio (data)'!N68</f>
        <v>1.65204213147501</v>
      </c>
      <c r="O68" s="31" t="n">
        <f aca="false">Capitalization!P8/'Ratio (data)'!O68</f>
        <v>1.6680274120945</v>
      </c>
      <c r="P68" s="76" t="n">
        <f aca="false">Capitalization!Q8/'Ratio (data)'!P68</f>
        <v>2.04502041281948</v>
      </c>
      <c r="Q68" s="75" t="n">
        <f aca="false">Capitalization!R8/'Ratio (data)'!Q68</f>
        <v>2.07026419555014</v>
      </c>
      <c r="R68" s="31" t="n">
        <f aca="false">Capitalization!S8/'Ratio (data)'!R68</f>
        <v>2.02744189056898</v>
      </c>
      <c r="S68" s="96" t="n">
        <f aca="false">Capitalization!T8/'Ratio (data)'!S68</f>
        <v>2.14516767226399</v>
      </c>
      <c r="T68" s="31" t="n">
        <f aca="false">Capitalization!U8/'Ratio (data)'!T68</f>
        <v>2.18103432088911</v>
      </c>
      <c r="U68" s="31" t="n">
        <f aca="false">Capitalization!V8/'Ratio (data)'!U68</f>
        <v>2.26484684638486</v>
      </c>
      <c r="V68" s="96" t="n">
        <f aca="false">Capitalization!W8/'Ratio (data)'!V68</f>
        <v>2.12587967481495</v>
      </c>
      <c r="W68" s="96" t="n">
        <f aca="false">Capitalization!X8/'Ratio (data)'!W68</f>
        <v>2.10759872093856</v>
      </c>
      <c r="X68" s="74" t="n">
        <f aca="false">Capitalization!Y8/'Ratio (data)'!X68</f>
        <v>2.34177635659839</v>
      </c>
      <c r="Y68" s="75" t="n">
        <f aca="false">Capitalization!Z8/'Ratio (data)'!Y68</f>
        <v>2.41202964729635</v>
      </c>
      <c r="Z68" s="31" t="n">
        <f aca="false">Capitalization!AA8/'Ratio (data)'!Z68</f>
        <v>2.32745362102158</v>
      </c>
      <c r="AA68" s="96" t="n">
        <f aca="false">Capitalization!AB8/'Ratio (data)'!AA68</f>
        <v>2.37983546057707</v>
      </c>
      <c r="AB68" s="31" t="n">
        <f aca="false">Capitalization!AC8/'Ratio (data)'!AB68</f>
        <v>2.34784402238973</v>
      </c>
      <c r="AC68" s="76" t="n">
        <f aca="false">Capitalization!AD8/'Ratio (data)'!AC68</f>
        <v>1.76863922930079</v>
      </c>
      <c r="AD68" s="75" t="n">
        <f aca="false">Capitalization!AE8/'Ratio (data)'!AD68</f>
        <v>1.80858785441027</v>
      </c>
      <c r="AE68" s="31" t="n">
        <f aca="false">Capitalization!AF8/'Ratio (data)'!AE68</f>
        <v>1.71852216249366</v>
      </c>
      <c r="AF68" s="96" t="n">
        <f aca="false">Capitalization!AG8/'Ratio (data)'!AF68</f>
        <v>1.65162391209972</v>
      </c>
      <c r="AG68" s="31" t="n">
        <f aca="false">Capitalization!AH8/'Ratio (data)'!AG68</f>
        <v>1.59668730607027</v>
      </c>
      <c r="AH68" s="31" t="n">
        <f aca="false">Capitalization!AI8/'Ratio (data)'!AH68</f>
        <v>1.36908999584077</v>
      </c>
      <c r="AI68" s="74" t="n">
        <f aca="false">Capitalization!AJ8/'Ratio (data)'!AI68</f>
        <v>2.09001321661837</v>
      </c>
      <c r="AJ68" s="75" t="n">
        <f aca="false">Capitalization!AK8/'Ratio (data)'!AJ68</f>
        <v>2.11072264945771</v>
      </c>
      <c r="AK68" s="31" t="n">
        <f aca="false">Capitalization!AL8/'Ratio (data)'!AK68</f>
        <v>1.97922020462002</v>
      </c>
      <c r="AL68" s="96" t="n">
        <f aca="false">Capitalization!AM8/'Ratio (data)'!AL68</f>
        <v>1.79778580242456</v>
      </c>
      <c r="AM68" s="31" t="n">
        <f aca="false">Capitalization!AN8/'Ratio (data)'!AM68</f>
        <v>1.68046678269617</v>
      </c>
      <c r="AN68" s="76" t="n">
        <f aca="false">Capitalization!AO8/'Ratio (data)'!AN68</f>
        <v>1.46561288393471</v>
      </c>
      <c r="AO68" s="31" t="n">
        <f aca="false">Capitalization!AP8/'Ratio (data)'!AO68</f>
        <v>1.35164511856979</v>
      </c>
      <c r="AP68" s="31" t="n">
        <f aca="false">Capitalization!AQ8/'Ratio (data)'!AP68</f>
        <v>1.37577252165967</v>
      </c>
      <c r="AQ68" s="96" t="n">
        <f aca="false">Capitalization!AR8/'Ratio (data)'!AQ68</f>
        <v>1.32482867156917</v>
      </c>
    </row>
    <row r="69" customFormat="false" ht="12.8" hidden="false" customHeight="false" outlineLevel="0" collapsed="false">
      <c r="A69" s="139" t="s">
        <v>27</v>
      </c>
      <c r="B69" s="72" t="n">
        <f aca="false">Capitalization!C9/'Ratio (data)'!B69</f>
        <v>0.639314304401369</v>
      </c>
      <c r="C69" s="72" t="n">
        <f aca="false">Capitalization!D9/'Ratio (data)'!C69</f>
        <v>0.639314304401369</v>
      </c>
      <c r="D69" s="31" t="n">
        <f aca="false">Capitalization!E9/'Ratio (data)'!D69</f>
        <v>0.639314304401369</v>
      </c>
      <c r="E69" s="96" t="n">
        <f aca="false">Capitalization!F9/'Ratio (data)'!E69</f>
        <v>0.5777105008002</v>
      </c>
      <c r="F69" s="31" t="n">
        <f aca="false">Capitalization!G9/'Ratio (data)'!F69</f>
        <v>0.529251578233943</v>
      </c>
      <c r="G69" s="96" t="n">
        <f aca="false">Capitalization!H9/'Ratio (data)'!G69</f>
        <v>0.590982594738006</v>
      </c>
      <c r="H69" s="31" t="n">
        <f aca="false">Capitalization!I9/'Ratio (data)'!H69</f>
        <v>0.590982594738006</v>
      </c>
      <c r="I69" s="74" t="n">
        <f aca="false">Capitalization!J9/'Ratio (data)'!I69</f>
        <v>0.5627311920358</v>
      </c>
      <c r="J69" s="75" t="n">
        <f aca="false">Capitalization!K9/'Ratio (data)'!J69</f>
        <v>0.573067071073192</v>
      </c>
      <c r="K69" s="96" t="n">
        <f aca="false">Capitalization!L9/'Ratio (data)'!K69</f>
        <v>0.697132072452024</v>
      </c>
      <c r="L69" s="31" t="n">
        <f aca="false">Capitalization!M9/'Ratio (data)'!L69</f>
        <v>0.697132072452024</v>
      </c>
      <c r="M69" s="96" t="n">
        <f aca="false">Capitalization!N9/'Ratio (data)'!M69</f>
        <v>0.700294851437466</v>
      </c>
      <c r="N69" s="96" t="n">
        <f aca="false">Capitalization!O9/'Ratio (data)'!N69</f>
        <v>0.638782589992932</v>
      </c>
      <c r="O69" s="31" t="n">
        <f aca="false">Capitalization!P9/'Ratio (data)'!O69</f>
        <v>0.378982231371049</v>
      </c>
      <c r="P69" s="76" t="n">
        <f aca="false">Capitalization!Q9/'Ratio (data)'!P69</f>
        <v>0.440335880668683</v>
      </c>
      <c r="Q69" s="75" t="n">
        <f aca="false">Capitalization!R9/'Ratio (data)'!Q69</f>
        <v>0.460052412638922</v>
      </c>
      <c r="R69" s="31" t="n">
        <f aca="false">Capitalization!S9/'Ratio (data)'!R69</f>
        <v>0.434158033984674</v>
      </c>
      <c r="S69" s="96" t="n">
        <f aca="false">Capitalization!T9/'Ratio (data)'!S69</f>
        <v>0.477140073679797</v>
      </c>
      <c r="T69" s="31" t="n">
        <f aca="false">Capitalization!U9/'Ratio (data)'!T69</f>
        <v>0.428900292125944</v>
      </c>
      <c r="U69" s="31" t="n">
        <f aca="false">Capitalization!V9/'Ratio (data)'!U69</f>
        <v>0.611679640031587</v>
      </c>
      <c r="V69" s="96" t="n">
        <f aca="false">Capitalization!W9/'Ratio (data)'!V69</f>
        <v>0.613865411147697</v>
      </c>
      <c r="W69" s="96" t="n">
        <f aca="false">Capitalization!X9/'Ratio (data)'!W69</f>
        <v>0.613865411147697</v>
      </c>
      <c r="X69" s="74" t="n">
        <f aca="false">Capitalization!Y9/'Ratio (data)'!X69</f>
        <v>0.613865411147697</v>
      </c>
      <c r="Y69" s="75" t="n">
        <f aca="false">Capitalization!Z9/'Ratio (data)'!Y69</f>
        <v>0.60411350924505</v>
      </c>
      <c r="Z69" s="31" t="n">
        <f aca="false">Capitalization!AA9/'Ratio (data)'!Z69</f>
        <v>0.473150762044485</v>
      </c>
      <c r="AA69" s="96" t="n">
        <f aca="false">Capitalization!AB9/'Ratio (data)'!AA69</f>
        <v>0.62972906536347</v>
      </c>
      <c r="AB69" s="31" t="n">
        <f aca="false">Capitalization!AC9/'Ratio (data)'!AB69</f>
        <v>0.571663214982791</v>
      </c>
      <c r="AC69" s="76" t="n">
        <f aca="false">Capitalization!AD9/'Ratio (data)'!AC69</f>
        <v>0.575492804959565</v>
      </c>
      <c r="AD69" s="75" t="n">
        <f aca="false">Capitalization!AE9/'Ratio (data)'!AD69</f>
        <v>0.575370935894985</v>
      </c>
      <c r="AE69" s="31" t="n">
        <f aca="false">Capitalization!AF9/'Ratio (data)'!AE69</f>
        <v>0.60806908297207</v>
      </c>
      <c r="AF69" s="96" t="n">
        <f aca="false">Capitalization!AG9/'Ratio (data)'!AF69</f>
        <v>0.533317645485513</v>
      </c>
      <c r="AG69" s="31" t="n">
        <f aca="false">Capitalization!AH9/'Ratio (data)'!AG69</f>
        <v>0.558566545990166</v>
      </c>
      <c r="AH69" s="31" t="n">
        <f aca="false">Capitalization!AI9/'Ratio (data)'!AH69</f>
        <v>0.58258028069723</v>
      </c>
      <c r="AI69" s="74" t="n">
        <f aca="false">Capitalization!AJ9/'Ratio (data)'!AI69</f>
        <v>0.876977515876231</v>
      </c>
      <c r="AJ69" s="75" t="n">
        <f aca="false">Capitalization!AK9/'Ratio (data)'!AJ69</f>
        <v>0.932128449115569</v>
      </c>
      <c r="AK69" s="31" t="n">
        <f aca="false">Capitalization!AL9/'Ratio (data)'!AK69</f>
        <v>0.929353425045181</v>
      </c>
      <c r="AL69" s="96" t="n">
        <f aca="false">Capitalization!AM9/'Ratio (data)'!AL69</f>
        <v>0.875618161887937</v>
      </c>
      <c r="AM69" s="31" t="n">
        <f aca="false">Capitalization!AN9/'Ratio (data)'!AM69</f>
        <v>0.854451078355938</v>
      </c>
      <c r="AN69" s="76" t="n">
        <f aca="false">Capitalization!AO9/'Ratio (data)'!AN69</f>
        <v>0.930087008250893</v>
      </c>
      <c r="AO69" s="31" t="n">
        <f aca="false">Capitalization!AP9/'Ratio (data)'!AO69</f>
        <v>0.883373327665916</v>
      </c>
      <c r="AP69" s="31" t="n">
        <f aca="false">Capitalization!AQ9/'Ratio (data)'!AP69</f>
        <v>1.08998661480797</v>
      </c>
      <c r="AQ69" s="96" t="n">
        <f aca="false">Capitalization!AR9/'Ratio (data)'!AQ69</f>
        <v>0.969529219688209</v>
      </c>
    </row>
    <row r="70" customFormat="false" ht="12.8" hidden="false" customHeight="false" outlineLevel="0" collapsed="false">
      <c r="A70" s="139" t="s">
        <v>31</v>
      </c>
      <c r="B70" s="72" t="n">
        <f aca="false">Capitalization!C10/'Ratio (data)'!B70</f>
        <v>1.03203267884527</v>
      </c>
      <c r="C70" s="72" t="n">
        <f aca="false">Capitalization!D10/'Ratio (data)'!C70</f>
        <v>0.911788917016743</v>
      </c>
      <c r="D70" s="31" t="n">
        <f aca="false">Capitalization!E10/'Ratio (data)'!D70</f>
        <v>0.911561026760053</v>
      </c>
      <c r="E70" s="96" t="n">
        <f aca="false">Capitalization!F10/'Ratio (data)'!E70</f>
        <v>0.911561026760053</v>
      </c>
      <c r="F70" s="31" t="n">
        <f aca="false">Capitalization!G10/'Ratio (data)'!F70</f>
        <v>0.848258177679494</v>
      </c>
      <c r="G70" s="96" t="n">
        <f aca="false">Capitalization!H10/'Ratio (data)'!G70</f>
        <v>0.874840585352405</v>
      </c>
      <c r="H70" s="31" t="n">
        <f aca="false">Capitalization!I10/'Ratio (data)'!H70</f>
        <v>0.779749217379317</v>
      </c>
      <c r="I70" s="74" t="n">
        <f aca="false">Capitalization!J10/'Ratio (data)'!I70</f>
        <v>0.743525745606102</v>
      </c>
      <c r="J70" s="75" t="n">
        <f aca="false">Capitalization!K10/'Ratio (data)'!J70</f>
        <v>0.747576637881756</v>
      </c>
      <c r="K70" s="96" t="n">
        <f aca="false">Capitalization!L10/'Ratio (data)'!K70</f>
        <v>0.710015547532386</v>
      </c>
      <c r="L70" s="31" t="n">
        <f aca="false">Capitalization!M10/'Ratio (data)'!L70</f>
        <v>0.707226200738509</v>
      </c>
      <c r="M70" s="96" t="n">
        <f aca="false">Capitalization!N10/'Ratio (data)'!M70</f>
        <v>0.703676123000847</v>
      </c>
      <c r="N70" s="96" t="n">
        <f aca="false">Capitalization!O10/'Ratio (data)'!N70</f>
        <v>0.703676123000847</v>
      </c>
      <c r="O70" s="31" t="n">
        <f aca="false">Capitalization!P10/'Ratio (data)'!O70</f>
        <v>0.728634437381517</v>
      </c>
      <c r="P70" s="76" t="n">
        <f aca="false">Capitalization!Q10/'Ratio (data)'!P70</f>
        <v>0.845392866253664</v>
      </c>
      <c r="Q70" s="75" t="n">
        <f aca="false">Capitalization!R10/'Ratio (data)'!Q70</f>
        <v>0.89753833130951</v>
      </c>
      <c r="R70" s="31" t="n">
        <f aca="false">Capitalization!S10/'Ratio (data)'!R70</f>
        <v>1.05557963549875</v>
      </c>
      <c r="S70" s="96" t="n">
        <f aca="false">Capitalization!T10/'Ratio (data)'!S70</f>
        <v>0.977284008093755</v>
      </c>
      <c r="T70" s="31" t="n">
        <f aca="false">Capitalization!U10/'Ratio (data)'!T70</f>
        <v>0.929157854666808</v>
      </c>
      <c r="U70" s="31" t="n">
        <f aca="false">Capitalization!V10/'Ratio (data)'!U70</f>
        <v>0.986519193440668</v>
      </c>
      <c r="V70" s="96" t="n">
        <f aca="false">Capitalization!W10/'Ratio (data)'!V70</f>
        <v>0.898647308053926</v>
      </c>
      <c r="W70" s="96" t="n">
        <f aca="false">Capitalization!X10/'Ratio (data)'!W70</f>
        <v>0.898647308053926</v>
      </c>
      <c r="X70" s="74" t="n">
        <f aca="false">Capitalization!Y10/'Ratio (data)'!X70</f>
        <v>0.998213689975858</v>
      </c>
      <c r="Y70" s="75" t="n">
        <f aca="false">Capitalization!Z10/'Ratio (data)'!Y70</f>
        <v>1.05696696199107</v>
      </c>
      <c r="Z70" s="31" t="n">
        <f aca="false">Capitalization!AA10/'Ratio (data)'!Z70</f>
        <v>0.990351588476535</v>
      </c>
      <c r="AA70" s="96" t="n">
        <f aca="false">Capitalization!AB10/'Ratio (data)'!AA70</f>
        <v>0.987316028052086</v>
      </c>
      <c r="AB70" s="31" t="n">
        <f aca="false">Capitalization!AC10/'Ratio (data)'!AB70</f>
        <v>0.910668127334745</v>
      </c>
      <c r="AC70" s="76" t="n">
        <f aca="false">Capitalization!AD10/'Ratio (data)'!AC70</f>
        <v>0.689243913098089</v>
      </c>
      <c r="AD70" s="75" t="n">
        <f aca="false">Capitalization!AE10/'Ratio (data)'!AD70</f>
        <v>0.732314294928601</v>
      </c>
      <c r="AE70" s="31" t="n">
        <f aca="false">Capitalization!AF10/'Ratio (data)'!AE70</f>
        <v>0.674099578869886</v>
      </c>
      <c r="AF70" s="96" t="n">
        <f aca="false">Capitalization!AG10/'Ratio (data)'!AF70</f>
        <v>0.673929417811142</v>
      </c>
      <c r="AG70" s="31" t="n">
        <f aca="false">Capitalization!AH10/'Ratio (data)'!AG70</f>
        <v>0.609372929986166</v>
      </c>
      <c r="AH70" s="31" t="n">
        <f aca="false">Capitalization!AI10/'Ratio (data)'!AH70</f>
        <v>0.541579426000014</v>
      </c>
      <c r="AI70" s="74" t="n">
        <f aca="false">Capitalization!AJ10/'Ratio (data)'!AI70</f>
        <v>0.821346842101531</v>
      </c>
      <c r="AJ70" s="75" t="n">
        <f aca="false">Capitalization!AK10/'Ratio (data)'!AJ70</f>
        <v>0.77128125295192</v>
      </c>
      <c r="AK70" s="31" t="n">
        <f aca="false">Capitalization!AL10/'Ratio (data)'!AK70</f>
        <v>0.701062055695716</v>
      </c>
      <c r="AL70" s="96" t="n">
        <f aca="false">Capitalization!AM10/'Ratio (data)'!AL70</f>
        <v>0.641943435653507</v>
      </c>
      <c r="AM70" s="31" t="n">
        <f aca="false">Capitalization!AN10/'Ratio (data)'!AM70</f>
        <v>0.596685129171525</v>
      </c>
      <c r="AN70" s="76" t="n">
        <f aca="false">Capitalization!AO10/'Ratio (data)'!AN70</f>
        <v>0.549788437984648</v>
      </c>
      <c r="AO70" s="31" t="n">
        <f aca="false">Capitalization!AP10/'Ratio (data)'!AO70</f>
        <v>0.536700791265793</v>
      </c>
      <c r="AP70" s="31" t="n">
        <f aca="false">Capitalization!AQ10/'Ratio (data)'!AP70</f>
        <v>0.579684860484325</v>
      </c>
      <c r="AQ70" s="96" t="n">
        <f aca="false">Capitalization!AR10/'Ratio (data)'!AQ70</f>
        <v>0.546040489974484</v>
      </c>
    </row>
    <row r="71" customFormat="false" ht="12.8" hidden="false" customHeight="false" outlineLevel="0" collapsed="false">
      <c r="A71" s="139" t="s">
        <v>184</v>
      </c>
      <c r="B71" s="72" t="n">
        <f aca="false">Capitalization!C11/'Ratio (data)'!B71</f>
        <v>0.601150626280429</v>
      </c>
      <c r="C71" s="72" t="n">
        <f aca="false">Capitalization!D11/'Ratio (data)'!C71</f>
        <v>0.600424113103574</v>
      </c>
      <c r="D71" s="31" t="n">
        <f aca="false">Capitalization!E11/'Ratio (data)'!D71</f>
        <v>0.616721339030671</v>
      </c>
      <c r="E71" s="96" t="n">
        <f aca="false">Capitalization!F11/'Ratio (data)'!E71</f>
        <v>0.596135369438548</v>
      </c>
      <c r="F71" s="31" t="n">
        <f aca="false">Capitalization!G11/'Ratio (data)'!F71</f>
        <v>0.578980394778446</v>
      </c>
      <c r="G71" s="96" t="n">
        <f aca="false">Capitalization!H11/'Ratio (data)'!G71</f>
        <v>0.64346503213122</v>
      </c>
      <c r="H71" s="31" t="n">
        <f aca="false">Capitalization!I11/'Ratio (data)'!H71</f>
        <v>0.625201430055872</v>
      </c>
      <c r="I71" s="74" t="n">
        <f aca="false">Capitalization!J11/'Ratio (data)'!I71</f>
        <v>0.638549642930694</v>
      </c>
      <c r="J71" s="75" t="n">
        <f aca="false">Capitalization!K11/'Ratio (data)'!J71</f>
        <v>0.510943433566218</v>
      </c>
      <c r="K71" s="96" t="n">
        <f aca="false">Capitalization!L11/'Ratio (data)'!K71</f>
        <v>0.451138930355637</v>
      </c>
      <c r="L71" s="31" t="n">
        <f aca="false">Capitalization!M11/'Ratio (data)'!L71</f>
        <v>0.45095313766292</v>
      </c>
      <c r="M71" s="96" t="n">
        <f aca="false">Capitalization!N11/'Ratio (data)'!M71</f>
        <v>0.45095313766292</v>
      </c>
      <c r="N71" s="96" t="n">
        <f aca="false">Capitalization!O11/'Ratio (data)'!N71</f>
        <v>0.451043328290452</v>
      </c>
      <c r="O71" s="31" t="n">
        <f aca="false">Capitalization!P11/'Ratio (data)'!O71</f>
        <v>0.464481731792807</v>
      </c>
      <c r="P71" s="76" t="n">
        <f aca="false">Capitalization!Q11/'Ratio (data)'!P71</f>
        <v>0.438814021526256</v>
      </c>
      <c r="Q71" s="75" t="n">
        <f aca="false">Capitalization!R11/'Ratio (data)'!Q71</f>
        <v>0.358717029515422</v>
      </c>
      <c r="R71" s="31" t="n">
        <f aca="false">Capitalization!S11/'Ratio (data)'!R71</f>
        <v>0.283885805762904</v>
      </c>
      <c r="S71" s="96" t="n">
        <f aca="false">Capitalization!T11/'Ratio (data)'!S71</f>
        <v>0.255228563540781</v>
      </c>
      <c r="T71" s="31" t="n">
        <f aca="false">Capitalization!U11/'Ratio (data)'!T71</f>
        <v>0.277617034026815</v>
      </c>
      <c r="U71" s="31" t="n">
        <f aca="false">Capitalization!V11/'Ratio (data)'!U71</f>
        <v>0.270710135388466</v>
      </c>
      <c r="V71" s="96" t="n">
        <f aca="false">Capitalization!W11/'Ratio (data)'!V71</f>
        <v>0.286678095774416</v>
      </c>
      <c r="W71" s="96" t="n">
        <f aca="false">Capitalization!X11/'Ratio (data)'!W71</f>
        <v>0.285710430090464</v>
      </c>
      <c r="X71" s="74" t="n">
        <f aca="false">Capitalization!Y11/'Ratio (data)'!X71</f>
        <v>0.285710430090464</v>
      </c>
      <c r="Y71" s="75" t="n">
        <f aca="false">Capitalization!Z11/'Ratio (data)'!Y71</f>
        <v>0.26588657297609</v>
      </c>
      <c r="Z71" s="31" t="n">
        <f aca="false">Capitalization!AA11/'Ratio (data)'!Z71</f>
        <v>0.284393302231738</v>
      </c>
      <c r="AA71" s="96" t="n">
        <f aca="false">Capitalization!AB11/'Ratio (data)'!AA71</f>
        <v>0.285082382576363</v>
      </c>
      <c r="AB71" s="31" t="n">
        <f aca="false">Capitalization!AC11/'Ratio (data)'!AB71</f>
        <v>0.287346503708703</v>
      </c>
      <c r="AC71" s="76" t="n">
        <f aca="false">Capitalization!AD11/'Ratio (data)'!AC71</f>
        <v>0.254655440032262</v>
      </c>
      <c r="AD71" s="75" t="n">
        <f aca="false">Capitalization!AE11/'Ratio (data)'!AD71</f>
        <v>0.237078995968637</v>
      </c>
      <c r="AE71" s="31" t="n">
        <f aca="false">Capitalization!AF11/'Ratio (data)'!AE71</f>
        <v>0.237078995968637</v>
      </c>
      <c r="AF71" s="96" t="n">
        <f aca="false">Capitalization!AG11/'Ratio (data)'!AF71</f>
        <v>0.237078995968637</v>
      </c>
      <c r="AG71" s="31" t="n">
        <f aca="false">Capitalization!AH11/'Ratio (data)'!AG71</f>
        <v>0.20349280487308</v>
      </c>
      <c r="AH71" s="31" t="n">
        <f aca="false">Capitalization!AI11/'Ratio (data)'!AH71</f>
        <v>0.200853600449811</v>
      </c>
      <c r="AI71" s="74" t="n">
        <f aca="false">Capitalization!AJ11/'Ratio (data)'!AI71</f>
        <v>0.239798953746578</v>
      </c>
      <c r="AJ71" s="75" t="n">
        <f aca="false">Capitalization!AK11/'Ratio (data)'!AJ71</f>
        <v>0.260946653524442</v>
      </c>
      <c r="AK71" s="31" t="n">
        <f aca="false">Capitalization!AL11/'Ratio (data)'!AK71</f>
        <v>0.233885227048984</v>
      </c>
      <c r="AL71" s="96" t="n">
        <f aca="false">Capitalization!AM11/'Ratio (data)'!AL71</f>
        <v>0.234417995219939</v>
      </c>
      <c r="AM71" s="31" t="n">
        <f aca="false">Capitalization!AN11/'Ratio (data)'!AM71</f>
        <v>0.234417995219939</v>
      </c>
      <c r="AN71" s="76" t="n">
        <f aca="false">Capitalization!AO11/'Ratio (data)'!AN71</f>
        <v>0.256228574008486</v>
      </c>
      <c r="AO71" s="31" t="n">
        <f aca="false">Capitalization!AP11/'Ratio (data)'!AO71</f>
        <v>0.228970215071413</v>
      </c>
      <c r="AP71" s="31" t="n">
        <f aca="false">Capitalization!AQ11/'Ratio (data)'!AP71</f>
        <v>0.257785571470972</v>
      </c>
      <c r="AQ71" s="96" t="n">
        <f aca="false">Capitalization!AR11/'Ratio (data)'!AQ71</f>
        <v>0.261571212360152</v>
      </c>
    </row>
    <row r="72" customFormat="false" ht="12.8" hidden="false" customHeight="false" outlineLevel="0" collapsed="false">
      <c r="A72" s="139" t="s">
        <v>185</v>
      </c>
      <c r="B72" s="72" t="n">
        <f aca="false">Capitalization!C12/'Ratio (data)'!B72</f>
        <v>1.01057440047978</v>
      </c>
      <c r="C72" s="72" t="n">
        <f aca="false">Capitalization!D12/'Ratio (data)'!C72</f>
        <v>0.96424810540486</v>
      </c>
      <c r="D72" s="31" t="n">
        <f aca="false">Capitalization!E12/'Ratio (data)'!D72</f>
        <v>0.96424810540486</v>
      </c>
      <c r="E72" s="96" t="n">
        <f aca="false">Capitalization!F12/'Ratio (data)'!E72</f>
        <v>1.00312107613303</v>
      </c>
      <c r="F72" s="31" t="n">
        <f aca="false">Capitalization!G12/'Ratio (data)'!F72</f>
        <v>0.782926400636711</v>
      </c>
      <c r="G72" s="96" t="n">
        <f aca="false">Capitalization!H12/'Ratio (data)'!G72</f>
        <v>0.82907515873731</v>
      </c>
      <c r="H72" s="31" t="n">
        <f aca="false">Capitalization!I12/'Ratio (data)'!H72</f>
        <v>0.787858105561361</v>
      </c>
      <c r="I72" s="74" t="n">
        <f aca="false">Capitalization!J12/'Ratio (data)'!I72</f>
        <v>0.749901599617485</v>
      </c>
      <c r="J72" s="75" t="n">
        <f aca="false">Capitalization!K12/'Ratio (data)'!J72</f>
        <v>0.707376052867613</v>
      </c>
      <c r="K72" s="96" t="n">
        <f aca="false">Capitalization!L12/'Ratio (data)'!K72</f>
        <v>0.661738888166476</v>
      </c>
      <c r="L72" s="31" t="n">
        <f aca="false">Capitalization!M12/'Ratio (data)'!L72</f>
        <v>0.646526499932764</v>
      </c>
      <c r="M72" s="96" t="n">
        <f aca="false">Capitalization!N12/'Ratio (data)'!M72</f>
        <v>0.646526499932764</v>
      </c>
      <c r="N72" s="96" t="n">
        <f aca="false">Capitalization!O12/'Ratio (data)'!N72</f>
        <v>0.608495529348484</v>
      </c>
      <c r="O72" s="31" t="n">
        <f aca="false">Capitalization!P12/'Ratio (data)'!O72</f>
        <v>0.608268408392155</v>
      </c>
      <c r="P72" s="76" t="n">
        <f aca="false">Capitalization!Q12/'Ratio (data)'!P72</f>
        <v>0.695973361136288</v>
      </c>
      <c r="Q72" s="75" t="n">
        <f aca="false">Capitalization!R12/'Ratio (data)'!Q72</f>
        <v>0.743078875213195</v>
      </c>
      <c r="R72" s="31" t="n">
        <f aca="false">Capitalization!S12/'Ratio (data)'!R72</f>
        <v>0.772360681261002</v>
      </c>
      <c r="S72" s="96" t="n">
        <f aca="false">Capitalization!T12/'Ratio (data)'!S72</f>
        <v>0.772360681261002</v>
      </c>
      <c r="T72" s="31" t="n">
        <f aca="false">Capitalization!U12/'Ratio (data)'!T72</f>
        <v>0.730008155991855</v>
      </c>
      <c r="U72" s="31" t="n">
        <f aca="false">Capitalization!V12/'Ratio (data)'!U72</f>
        <v>0.751398159883298</v>
      </c>
      <c r="V72" s="96" t="n">
        <f aca="false">Capitalization!W12/'Ratio (data)'!V72</f>
        <v>0.832833951056241</v>
      </c>
      <c r="W72" s="96" t="n">
        <f aca="false">Capitalization!X12/'Ratio (data)'!W72</f>
        <v>0.832833951056241</v>
      </c>
      <c r="X72" s="74" t="n">
        <f aca="false">Capitalization!Y12/'Ratio (data)'!X72</f>
        <v>0.832833951056241</v>
      </c>
      <c r="Y72" s="75" t="n">
        <f aca="false">Capitalization!Z12/'Ratio (data)'!Y72</f>
        <v>0.921991477430443</v>
      </c>
      <c r="Z72" s="31" t="n">
        <f aca="false">Capitalization!AA12/'Ratio (data)'!Z72</f>
        <v>0.95955912231347</v>
      </c>
      <c r="AA72" s="96" t="n">
        <f aca="false">Capitalization!AB12/'Ratio (data)'!AA72</f>
        <v>0.94447168455511</v>
      </c>
      <c r="AB72" s="31" t="n">
        <f aca="false">Capitalization!AC12/'Ratio (data)'!AB72</f>
        <v>0.977664011413724</v>
      </c>
      <c r="AC72" s="76" t="n">
        <f aca="false">Capitalization!AD12/'Ratio (data)'!AC72</f>
        <v>1.03350315596859</v>
      </c>
      <c r="AD72" s="75" t="n">
        <f aca="false">Capitalization!AE12/'Ratio (data)'!AD72</f>
        <v>1.07591920140874</v>
      </c>
      <c r="AE72" s="31" t="n">
        <f aca="false">Capitalization!AF12/'Ratio (data)'!AE72</f>
        <v>0.920738547359406</v>
      </c>
      <c r="AF72" s="96" t="n">
        <f aca="false">Capitalization!AG12/'Ratio (data)'!AF72</f>
        <v>0.877058089950059</v>
      </c>
      <c r="AG72" s="31" t="n">
        <f aca="false">Capitalization!AH12/'Ratio (data)'!AG72</f>
        <v>0.848318322458813</v>
      </c>
      <c r="AH72" s="31" t="n">
        <f aca="false">Capitalization!AI12/'Ratio (data)'!AH72</f>
        <v>1.09398767150471</v>
      </c>
      <c r="AI72" s="74" t="n">
        <f aca="false">Capitalization!AJ12/'Ratio (data)'!AI72</f>
        <v>1.08743684712444</v>
      </c>
      <c r="AJ72" s="75" t="n">
        <f aca="false">Capitalization!AK12/'Ratio (data)'!AJ72</f>
        <v>1.00525374189476</v>
      </c>
      <c r="AK72" s="31" t="n">
        <f aca="false">Capitalization!AL12/'Ratio (data)'!AK72</f>
        <v>1.0155087954291</v>
      </c>
      <c r="AL72" s="96" t="n">
        <f aca="false">Capitalization!AM12/'Ratio (data)'!AL72</f>
        <v>1.01341253162741</v>
      </c>
      <c r="AM72" s="31" t="n">
        <f aca="false">Capitalization!AN12/'Ratio (data)'!AM72</f>
        <v>0.969522008279619</v>
      </c>
      <c r="AN72" s="76" t="n">
        <f aca="false">Capitalization!AO12/'Ratio (data)'!AN72</f>
        <v>1.14963419703101</v>
      </c>
      <c r="AO72" s="31" t="n">
        <f aca="false">Capitalization!AP12/'Ratio (data)'!AO72</f>
        <v>1.05947867315858</v>
      </c>
      <c r="AP72" s="31" t="n">
        <f aca="false">Capitalization!AQ12/'Ratio (data)'!AP72</f>
        <v>1.01349330527734</v>
      </c>
      <c r="AQ72" s="96" t="n">
        <f aca="false">Capitalization!AR12/'Ratio (data)'!AQ72</f>
        <v>0.990803156651726</v>
      </c>
    </row>
    <row r="73" customFormat="false" ht="12.8" hidden="false" customHeight="false" outlineLevel="0" collapsed="false">
      <c r="A73" s="139" t="s">
        <v>29</v>
      </c>
      <c r="B73" s="72" t="n">
        <f aca="false">Capitalization!C12/'Ratio (data)'!B73</f>
        <v>1.75200857211358</v>
      </c>
      <c r="C73" s="72" t="n">
        <f aca="false">Capitalization!D12/'Ratio (data)'!C73</f>
        <v>1.67169378673312</v>
      </c>
      <c r="D73" s="73" t="n">
        <f aca="false">Capitalization!E12/'Ratio (data)'!D73</f>
        <v>1.67169378673312</v>
      </c>
      <c r="E73" s="72" t="n">
        <f aca="false">Capitalization!F12/'Ratio (data)'!E73</f>
        <v>1.73908692266347</v>
      </c>
      <c r="F73" s="73" t="n">
        <f aca="false">Capitalization!G12/'Ratio (data)'!F73</f>
        <v>1.35734070108874</v>
      </c>
      <c r="G73" s="72" t="n">
        <f aca="false">Capitalization!H12/'Ratio (data)'!G73</f>
        <v>1.84197130532366</v>
      </c>
      <c r="H73" s="73" t="n">
        <f aca="false">Capitalization!I12/'Ratio (data)'!H73</f>
        <v>1.75039863131455</v>
      </c>
      <c r="I73" s="74" t="n">
        <f aca="false">Capitalization!J12/'Ratio (data)'!I73</f>
        <v>1.66606997418117</v>
      </c>
      <c r="J73" s="75" t="n">
        <f aca="false">Capitalization!K12/'Ratio (data)'!J73</f>
        <v>1.57159019628532</v>
      </c>
      <c r="K73" s="72" t="n">
        <f aca="false">Capitalization!L12/'Ratio (data)'!K73</f>
        <v>1.47019728039595</v>
      </c>
      <c r="L73" s="73" t="n">
        <f aca="false">Capitalization!M12/'Ratio (data)'!L73</f>
        <v>1.43639964176615</v>
      </c>
      <c r="M73" s="72" t="n">
        <f aca="false">Capitalization!N12/'Ratio (data)'!M73</f>
        <v>1.43639964176615</v>
      </c>
      <c r="N73" s="72" t="n">
        <f aca="false">Capitalization!O12/'Ratio (data)'!N73</f>
        <v>1.35190554519167</v>
      </c>
      <c r="O73" s="73" t="n">
        <f aca="false">Capitalization!P12/'Ratio (data)'!O73</f>
        <v>1.35140094644693</v>
      </c>
      <c r="P73" s="76" t="n">
        <f aca="false">Capitalization!Q12/'Ratio (data)'!P73</f>
        <v>1.362010163055</v>
      </c>
      <c r="Q73" s="75" t="n">
        <f aca="false">Capitalization!R12/'Ratio (data)'!Q73</f>
        <v>1.45419499726177</v>
      </c>
      <c r="R73" s="73" t="n">
        <f aca="false">Capitalization!S12/'Ratio (data)'!R73</f>
        <v>1.51149908339031</v>
      </c>
      <c r="S73" s="72" t="n">
        <f aca="false">Capitalization!T12/'Ratio (data)'!S73</f>
        <v>1.51149908339031</v>
      </c>
      <c r="T73" s="73" t="n">
        <f aca="false">Capitalization!U12/'Ratio (data)'!T73</f>
        <v>1.4286157820044</v>
      </c>
      <c r="U73" s="73" t="n">
        <f aca="false">Capitalization!V12/'Ratio (data)'!U73</f>
        <v>1.40816458611421</v>
      </c>
      <c r="V73" s="72" t="n">
        <f aca="false">Capitalization!W12/'Ratio (data)'!V73</f>
        <v>1.56078007453881</v>
      </c>
      <c r="W73" s="72" t="n">
        <f aca="false">Capitalization!X12/'Ratio (data)'!W73</f>
        <v>1.56078007453881</v>
      </c>
      <c r="X73" s="74" t="n">
        <f aca="false">Capitalization!Y12/'Ratio (data)'!X73</f>
        <v>1.56078007453881</v>
      </c>
      <c r="Y73" s="75" t="n">
        <f aca="false">Capitalization!Z12/'Ratio (data)'!Y73</f>
        <v>1.72786655136116</v>
      </c>
      <c r="Z73" s="73" t="n">
        <f aca="false">Capitalization!AA12/'Ratio (data)'!Z73</f>
        <v>1.79827053946276</v>
      </c>
      <c r="AA73" s="72" t="n">
        <f aca="false">Capitalization!AB12/'Ratio (data)'!AA73</f>
        <v>1.76999578889667</v>
      </c>
      <c r="AB73" s="73" t="n">
        <f aca="false">Capitalization!AC12/'Ratio (data)'!AB73</f>
        <v>1.83220017228282</v>
      </c>
      <c r="AC73" s="76" t="n">
        <f aca="false">Capitalization!AD12/'Ratio (data)'!AC73</f>
        <v>1.75889009978686</v>
      </c>
      <c r="AD73" s="75" t="n">
        <f aca="false">Capitalization!AE12/'Ratio (data)'!AD73</f>
        <v>1.83107678055889</v>
      </c>
      <c r="AE73" s="73" t="n">
        <f aca="false">Capitalization!AF12/'Ratio (data)'!AE73</f>
        <v>1.56697916797828</v>
      </c>
      <c r="AF73" s="72" t="n">
        <f aca="false">Capitalization!AG12/'Ratio (data)'!AF73</f>
        <v>1.49264061985894</v>
      </c>
      <c r="AG73" s="73" t="n">
        <f aca="false">Capitalization!AH12/'Ratio (data)'!AG73</f>
        <v>1.44372921381379</v>
      </c>
      <c r="AH73" s="73" t="n">
        <f aca="false">Capitalization!AI12/'Ratio (data)'!AH73</f>
        <v>1.48225969734773</v>
      </c>
      <c r="AI73" s="74" t="n">
        <f aca="false">Capitalization!AJ12/'Ratio (data)'!AI73</f>
        <v>1.47338389077679</v>
      </c>
      <c r="AJ73" s="75" t="n">
        <f aca="false">Capitalization!AK12/'Ratio (data)'!AJ73</f>
        <v>1.36203281447327</v>
      </c>
      <c r="AK73" s="73" t="n">
        <f aca="false">Capitalization!AL12/'Ratio (data)'!AK73</f>
        <v>1.37592753462782</v>
      </c>
      <c r="AL73" s="72" t="n">
        <f aca="false">Capitalization!AM12/'Ratio (data)'!AL73</f>
        <v>1.37308727652512</v>
      </c>
      <c r="AM73" s="73" t="n">
        <f aca="false">Capitalization!AN12/'Ratio (data)'!AM73</f>
        <v>1.31361937249979</v>
      </c>
      <c r="AN73" s="76" t="n">
        <f aca="false">Capitalization!AO12/'Ratio (data)'!AN73</f>
        <v>1.33226388236176</v>
      </c>
      <c r="AO73" s="75" t="n">
        <f aca="false">Capitalization!AP12/'Ratio (data)'!AO73</f>
        <v>1.22778634632391</v>
      </c>
      <c r="AP73" s="73" t="n">
        <f aca="false">Capitalization!AQ12/'Ratio (data)'!AP73</f>
        <v>1.17449579102944</v>
      </c>
      <c r="AQ73" s="72" t="n">
        <f aca="false">Capitalization!AR12/'Ratio (data)'!AQ73</f>
        <v>1.14820110914072</v>
      </c>
    </row>
    <row r="74" customFormat="false" ht="12.8" hidden="false" customHeight="false" outlineLevel="0" collapsed="false">
      <c r="A74" s="139" t="s">
        <v>186</v>
      </c>
      <c r="B74" s="72" t="n">
        <f aca="false">Capitalization!C13/'Ratio (data)'!B74</f>
        <v>1.26118260077774</v>
      </c>
      <c r="C74" s="72" t="n">
        <f aca="false">Capitalization!D13/'Ratio (data)'!C74</f>
        <v>1.18999214593873</v>
      </c>
      <c r="D74" s="31" t="n">
        <f aca="false">Capitalization!E13/'Ratio (data)'!D74</f>
        <v>1.1554084904425</v>
      </c>
      <c r="E74" s="96" t="n">
        <f aca="false">Capitalization!F13/'Ratio (data)'!E74</f>
        <v>1.25758747259047</v>
      </c>
      <c r="F74" s="31" t="n">
        <f aca="false">Capitalization!G13/'Ratio (data)'!F74</f>
        <v>1.02210421834791</v>
      </c>
      <c r="G74" s="96" t="n">
        <f aca="false">Capitalization!H13/'Ratio (data)'!G74</f>
        <v>0.899489439770335</v>
      </c>
      <c r="H74" s="31" t="n">
        <f aca="false">Capitalization!I13/'Ratio (data)'!H74</f>
        <v>0.862052573993996</v>
      </c>
      <c r="I74" s="74" t="n">
        <f aca="false">Capitalization!J13/'Ratio (data)'!I74</f>
        <v>0.836944246596113</v>
      </c>
      <c r="J74" s="75" t="n">
        <f aca="false">Capitalization!K13/'Ratio (data)'!J74</f>
        <v>0.799134453311887</v>
      </c>
      <c r="K74" s="96" t="n">
        <f aca="false">Capitalization!L13/'Ratio (data)'!K74</f>
        <v>0.736510937004579</v>
      </c>
      <c r="L74" s="31" t="n">
        <f aca="false">Capitalization!M13/'Ratio (data)'!L74</f>
        <v>0.736510937004579</v>
      </c>
      <c r="M74" s="96" t="n">
        <f aca="false">Capitalization!N13/'Ratio (data)'!M74</f>
        <v>0.736510937004579</v>
      </c>
      <c r="N74" s="96" t="n">
        <f aca="false">Capitalization!O13/'Ratio (data)'!N74</f>
        <v>0.728141494538618</v>
      </c>
      <c r="O74" s="31" t="n">
        <f aca="false">Capitalization!P13/'Ratio (data)'!O74</f>
        <v>0.741532602484156</v>
      </c>
      <c r="P74" s="76" t="n">
        <f aca="false">Capitalization!Q13/'Ratio (data)'!P74</f>
        <v>0.75214868632748</v>
      </c>
      <c r="Q74" s="75" t="n">
        <f aca="false">Capitalization!R13/'Ratio (data)'!Q74</f>
        <v>0.727352575789211</v>
      </c>
      <c r="R74" s="31" t="n">
        <f aca="false">Capitalization!S13/'Ratio (data)'!R74</f>
        <v>0.727352575789211</v>
      </c>
      <c r="S74" s="96" t="n">
        <f aca="false">Capitalization!T13/'Ratio (data)'!S74</f>
        <v>0.726041688078755</v>
      </c>
      <c r="T74" s="31" t="n">
        <f aca="false">Capitalization!U13/'Ratio (data)'!T74</f>
        <v>0.753636452959776</v>
      </c>
      <c r="U74" s="31" t="n">
        <f aca="false">Capitalization!V13/'Ratio (data)'!U74</f>
        <v>0.836665880985399</v>
      </c>
      <c r="V74" s="96" t="n">
        <f aca="false">Capitalization!W13/'Ratio (data)'!V74</f>
        <v>0.854854269702473</v>
      </c>
      <c r="W74" s="96" t="n">
        <f aca="false">Capitalization!X13/'Ratio (data)'!W74</f>
        <v>0.854854269702473</v>
      </c>
      <c r="X74" s="74" t="n">
        <f aca="false">Capitalization!Y13/'Ratio (data)'!X74</f>
        <v>0.854854269702473</v>
      </c>
      <c r="Y74" s="75" t="n">
        <f aca="false">Capitalization!Z13/'Ratio (data)'!Y74</f>
        <v>0.882136852778084</v>
      </c>
      <c r="Z74" s="31" t="n">
        <f aca="false">Capitalization!AA13/'Ratio (data)'!Z74</f>
        <v>0.854854269702473</v>
      </c>
      <c r="AA74" s="96" t="n">
        <f aca="false">Capitalization!AB13/'Ratio (data)'!AA74</f>
        <v>0.909237551966524</v>
      </c>
      <c r="AB74" s="31" t="n">
        <f aca="false">Capitalization!AC13/'Ratio (data)'!AB74</f>
        <v>0.818477492268326</v>
      </c>
      <c r="AC74" s="76" t="n">
        <f aca="false">Capitalization!AD13/'Ratio (data)'!AC74</f>
        <v>0.724341651880518</v>
      </c>
      <c r="AD74" s="75" t="n">
        <f aca="false">Capitalization!AE13/'Ratio (data)'!AD74</f>
        <v>0.725366975679984</v>
      </c>
      <c r="AE74" s="31" t="n">
        <f aca="false">Capitalization!AF13/'Ratio (data)'!AE74</f>
        <v>0.696314974170169</v>
      </c>
      <c r="AF74" s="96" t="n">
        <f aca="false">Capitalization!AG13/'Ratio (data)'!AF74</f>
        <v>0.696314974170169</v>
      </c>
      <c r="AG74" s="31" t="n">
        <f aca="false">Capitalization!AH13/'Ratio (data)'!AG74</f>
        <v>0.779872771070589</v>
      </c>
      <c r="AH74" s="31" t="n">
        <f aca="false">Capitalization!AI13/'Ratio (data)'!AH74</f>
        <v>0.788035296559615</v>
      </c>
      <c r="AI74" s="74" t="n">
        <f aca="false">Capitalization!AJ13/'Ratio (data)'!AI74</f>
        <v>1.02086390690677</v>
      </c>
      <c r="AJ74" s="75" t="n">
        <f aca="false">Capitalization!AK13/'Ratio (data)'!AJ74</f>
        <v>1.00836638349906</v>
      </c>
      <c r="AK74" s="31" t="n">
        <f aca="false">Capitalization!AL13/'Ratio (data)'!AK74</f>
        <v>0.951194422733662</v>
      </c>
      <c r="AL74" s="96" t="n">
        <f aca="false">Capitalization!AM13/'Ratio (data)'!AL74</f>
        <v>0.951015323802626</v>
      </c>
      <c r="AM74" s="31" t="n">
        <f aca="false">Capitalization!AN13/'Ratio (data)'!AM74</f>
        <v>0.955492797078533</v>
      </c>
      <c r="AN74" s="76" t="n">
        <f aca="false">Capitalization!AO13/'Ratio (data)'!AN74</f>
        <v>0.945496696990532</v>
      </c>
      <c r="AO74" s="31" t="n">
        <f aca="false">Capitalization!AP13/'Ratio (data)'!AO74</f>
        <v>0.935903684227203</v>
      </c>
      <c r="AP74" s="31" t="n">
        <f aca="false">Capitalization!AQ13/'Ratio (data)'!AP74</f>
        <v>0.91263150321521</v>
      </c>
      <c r="AQ74" s="96" t="n">
        <f aca="false">Capitalization!AR13/'Ratio (data)'!AQ74</f>
        <v>0.888986832536894</v>
      </c>
    </row>
    <row r="75" customFormat="false" ht="12.8" hidden="false" customHeight="false" outlineLevel="0" collapsed="false">
      <c r="A75" s="139" t="s">
        <v>187</v>
      </c>
      <c r="B75" s="72" t="n">
        <f aca="false">Capitalization!C14/'Ratio (data)'!B75</f>
        <v>0.565629740677696</v>
      </c>
      <c r="C75" s="72" t="n">
        <f aca="false">Capitalization!D14/'Ratio (data)'!C75</f>
        <v>0.573910448578617</v>
      </c>
      <c r="D75" s="31" t="n">
        <f aca="false">Capitalization!E14/'Ratio (data)'!D75</f>
        <v>0.573910448578617</v>
      </c>
      <c r="E75" s="96" t="n">
        <f aca="false">Capitalization!F14/'Ratio (data)'!E75</f>
        <v>0.56009560420926</v>
      </c>
      <c r="F75" s="31" t="n">
        <f aca="false">Capitalization!G14/'Ratio (data)'!F75</f>
        <v>0.569811088231626</v>
      </c>
      <c r="G75" s="96" t="n">
        <f aca="false">Capitalization!H14/'Ratio (data)'!G75</f>
        <v>0.601022212073082</v>
      </c>
      <c r="H75" s="31" t="n">
        <f aca="false">Capitalization!I14/'Ratio (data)'!H75</f>
        <v>0.605575410649394</v>
      </c>
      <c r="I75" s="74" t="n">
        <f aca="false">Capitalization!J14/'Ratio (data)'!I75</f>
        <v>0.660213793565128</v>
      </c>
      <c r="J75" s="75" t="n">
        <f aca="false">Capitalization!K14/'Ratio (data)'!J75</f>
        <v>0.578256219191526</v>
      </c>
      <c r="K75" s="96" t="n">
        <f aca="false">Capitalization!L14/'Ratio (data)'!K75</f>
        <v>0.590959643219435</v>
      </c>
      <c r="L75" s="31" t="n">
        <f aca="false">Capitalization!M14/'Ratio (data)'!L75</f>
        <v>0.573703020615215</v>
      </c>
      <c r="M75" s="96" t="n">
        <f aca="false">Capitalization!N14/'Ratio (data)'!M75</f>
        <v>0.573703020615215</v>
      </c>
      <c r="N75" s="96" t="n">
        <f aca="false">Capitalization!O14/'Ratio (data)'!N75</f>
        <v>0.569149822038904</v>
      </c>
      <c r="O75" s="31" t="n">
        <f aca="false">Capitalization!P14/'Ratio (data)'!O75</f>
        <v>0.59191581492046</v>
      </c>
      <c r="P75" s="76" t="n">
        <f aca="false">Capitalization!Q14/'Ratio (data)'!P75</f>
        <v>0.918071700786211</v>
      </c>
      <c r="Q75" s="75" t="n">
        <f aca="false">Capitalization!R14/'Ratio (data)'!Q75</f>
        <v>0.90436913808791</v>
      </c>
      <c r="R75" s="31" t="n">
        <f aca="false">Capitalization!S14/'Ratio (data)'!R75</f>
        <v>0.808451199199798</v>
      </c>
      <c r="S75" s="96" t="n">
        <f aca="false">Capitalization!T14/'Ratio (data)'!S75</f>
        <v>0.832225145481351</v>
      </c>
      <c r="T75" s="31" t="n">
        <f aca="false">Capitalization!U14/'Ratio (data)'!T75</f>
        <v>0.828182889485352</v>
      </c>
      <c r="U75" s="31" t="n">
        <f aca="false">Capitalization!V14/'Ratio (data)'!U75</f>
        <v>1.25181820458348</v>
      </c>
      <c r="V75" s="96" t="n">
        <f aca="false">Capitalization!W14/'Ratio (data)'!V75</f>
        <v>1.09249588763649</v>
      </c>
      <c r="W75" s="96" t="n">
        <f aca="false">Capitalization!X14/'Ratio (data)'!W75</f>
        <v>1.00031654711717</v>
      </c>
      <c r="X75" s="74" t="n">
        <f aca="false">Capitalization!Y14/'Ratio (data)'!X75</f>
        <v>1.03559506015543</v>
      </c>
      <c r="Y75" s="75" t="n">
        <f aca="false">Capitalization!Z14/'Ratio (data)'!Y75</f>
        <v>1.12663638412514</v>
      </c>
      <c r="Z75" s="31" t="n">
        <f aca="false">Capitalization!AA14/'Ratio (data)'!Z75</f>
        <v>1.02774274596304</v>
      </c>
      <c r="AA75" s="96" t="n">
        <f aca="false">Capitalization!AB14/'Ratio (data)'!AA75</f>
        <v>1.11525621862892</v>
      </c>
      <c r="AB75" s="31" t="n">
        <f aca="false">Capitalization!AC14/'Ratio (data)'!AB75</f>
        <v>1.05835539114785</v>
      </c>
      <c r="AC75" s="76" t="n">
        <f aca="false">Capitalization!AD14/'Ratio (data)'!AC75</f>
        <v>0.753881546325422</v>
      </c>
      <c r="AD75" s="75" t="n">
        <f aca="false">Capitalization!AE14/'Ratio (data)'!AD75</f>
        <v>0.783307245391672</v>
      </c>
      <c r="AE75" s="31" t="n">
        <f aca="false">Capitalization!AF14/'Ratio (data)'!AE75</f>
        <v>0.875475344119845</v>
      </c>
      <c r="AF75" s="96" t="n">
        <f aca="false">Capitalization!AG14/'Ratio (data)'!AF75</f>
        <v>0.923504894248642</v>
      </c>
      <c r="AG75" s="31" t="n">
        <f aca="false">Capitalization!AH14/'Ratio (data)'!AG75</f>
        <v>0.948986368538057</v>
      </c>
      <c r="AH75" s="31" t="n">
        <f aca="false">Capitalization!AI14/'Ratio (data)'!AH75</f>
        <v>0.912012873659951</v>
      </c>
      <c r="AI75" s="74" t="n">
        <f aca="false">Capitalization!AJ14/'Ratio (data)'!AI75</f>
        <v>1.13385384292859</v>
      </c>
      <c r="AJ75" s="75" t="n">
        <f aca="false">Capitalization!AK14/'Ratio (data)'!AJ75</f>
        <v>1.14482264640909</v>
      </c>
      <c r="AK75" s="31" t="n">
        <f aca="false">Capitalization!AL14/'Ratio (data)'!AL75</f>
        <v>1.33104581561182</v>
      </c>
      <c r="AL75" s="96" t="n">
        <f aca="false">Capitalization!AM14/'Ratio (data)'!AM75</f>
        <v>1.24568533437547</v>
      </c>
      <c r="AM75" s="31" t="n">
        <f aca="false">Capitalization!AN14/'Ratio (data)'!AM75</f>
        <v>1.30810041113536</v>
      </c>
      <c r="AN75" s="76" t="n">
        <f aca="false">Capitalization!AO14/'Ratio (data)'!AN75</f>
        <v>1.37039090690371</v>
      </c>
      <c r="AO75" s="31" t="n">
        <f aca="false">Capitalization!AP14/'Ratio (data)'!AO75</f>
        <v>1.42022330351839</v>
      </c>
      <c r="AP75" s="31" t="n">
        <f aca="false">Capitalization!AQ14/'Ratio (data)'!AP75</f>
        <v>1.79097633433161</v>
      </c>
      <c r="AQ75" s="96" t="n">
        <f aca="false">Capitalization!AR14/'Ratio (data)'!AQ75</f>
        <v>1.68184338574546</v>
      </c>
    </row>
    <row r="76" customFormat="false" ht="12.8" hidden="false" customHeight="false" outlineLevel="0" collapsed="false">
      <c r="A76" s="139" t="s">
        <v>188</v>
      </c>
      <c r="B76" s="72" t="n">
        <f aca="false">Capitalization!C15/'Ratio (data)'!B76</f>
        <v>0.648316580558325</v>
      </c>
      <c r="C76" s="72" t="n">
        <f aca="false">Capitalization!D15/'Ratio (data)'!C76</f>
        <v>0.648316580558325</v>
      </c>
      <c r="D76" s="31" t="n">
        <f aca="false">Capitalization!E15/'Ratio (data)'!D76</f>
        <v>0.648316580558325</v>
      </c>
      <c r="E76" s="96" t="n">
        <f aca="false">Capitalization!F15/'Ratio (data)'!E76</f>
        <v>0.648316580558325</v>
      </c>
      <c r="F76" s="31" t="n">
        <f aca="false">Capitalization!G15/'Ratio (data)'!F76</f>
        <v>0.648316580558325</v>
      </c>
      <c r="G76" s="96" t="n">
        <f aca="false">Capitalization!H15/'Ratio (data)'!G76</f>
        <v>0.752307089356918</v>
      </c>
      <c r="H76" s="31" t="n">
        <f aca="false">Capitalization!I15/'Ratio (data)'!H76</f>
        <v>0.752307089356918</v>
      </c>
      <c r="I76" s="74" t="n">
        <f aca="false">Capitalization!J15/'Ratio (data)'!I76</f>
        <v>0.706011268473415</v>
      </c>
      <c r="J76" s="75" t="n">
        <f aca="false">Capitalization!K15/'Ratio (data)'!J76</f>
        <v>0.706127008025624</v>
      </c>
      <c r="K76" s="96" t="n">
        <f aca="false">Capitalization!L15/'Ratio (data)'!K76</f>
        <v>0.666775560274647</v>
      </c>
      <c r="L76" s="31" t="n">
        <f aca="false">Capitalization!M15/'Ratio (data)'!L76</f>
        <v>0.666775560274647</v>
      </c>
      <c r="M76" s="96" t="n">
        <f aca="false">Capitalization!N15/'Ratio (data)'!M76</f>
        <v>0.666775560274647</v>
      </c>
      <c r="N76" s="96" t="n">
        <f aca="false">Capitalization!O15/'Ratio (data)'!N76</f>
        <v>0.659715447589913</v>
      </c>
      <c r="O76" s="31" t="n">
        <f aca="false">Capitalization!P15/'Ratio (data)'!O76</f>
        <v>0.65994692669433</v>
      </c>
      <c r="P76" s="76" t="n">
        <f aca="false">Capitalization!Q15/'Ratio (data)'!P76</f>
        <v>0.721937373183901</v>
      </c>
      <c r="Q76" s="75" t="n">
        <f aca="false">Capitalization!R15/'Ratio (data)'!Q76</f>
        <v>0.694058959856338</v>
      </c>
      <c r="R76" s="31" t="n">
        <f aca="false">Capitalization!S15/'Ratio (data)'!R76</f>
        <v>0.654701199864485</v>
      </c>
      <c r="S76" s="96" t="n">
        <f aca="false">Capitalization!T15/'Ratio (data)'!S76</f>
        <v>0.654701199864485</v>
      </c>
      <c r="T76" s="31" t="n">
        <f aca="false">Capitalization!U15/'Ratio (data)'!T76</f>
        <v>0.631994799869185</v>
      </c>
      <c r="U76" s="31" t="n">
        <f aca="false">Capitalization!V15/'Ratio (data)'!U76</f>
        <v>0.744747025259469</v>
      </c>
      <c r="V76" s="96" t="n">
        <f aca="false">Capitalization!W15/'Ratio (data)'!V76</f>
        <v>0.744747025259469</v>
      </c>
      <c r="W76" s="96" t="n">
        <f aca="false">Capitalization!X15/'Ratio (data)'!W76</f>
        <v>0.744747025259469</v>
      </c>
      <c r="X76" s="74" t="n">
        <f aca="false">Capitalization!Y15/'Ratio (data)'!X76</f>
        <v>0.744747025259469</v>
      </c>
      <c r="Y76" s="75" t="n">
        <f aca="false">Capitalization!Z15/'Ratio (data)'!Y76</f>
        <v>0.744747025259469</v>
      </c>
      <c r="Z76" s="31" t="n">
        <f aca="false">Capitalization!AA15/'Ratio (data)'!Z76</f>
        <v>0.735403835306214</v>
      </c>
      <c r="AA76" s="96" t="n">
        <f aca="false">Capitalization!AB15/'Ratio (data)'!AA76</f>
        <v>0.726602279553148</v>
      </c>
      <c r="AB76" s="31" t="n">
        <f aca="false">Capitalization!AC15/'Ratio (data)'!AB76</f>
        <v>0.704124460245316</v>
      </c>
      <c r="AC76" s="76" t="n">
        <f aca="false">Capitalization!AD15/'Ratio (data)'!AC76</f>
        <v>0.69804321328539</v>
      </c>
      <c r="AD76" s="75" t="n">
        <f aca="false">Capitalization!AE15/'Ratio (data)'!AD76</f>
        <v>0.628378500599508</v>
      </c>
      <c r="AE76" s="31" t="n">
        <f aca="false">Capitalization!AF15/'Ratio (data)'!AE76</f>
        <v>0.628518109242165</v>
      </c>
      <c r="AF76" s="96" t="n">
        <f aca="false">Capitalization!AG15/'Ratio (data)'!AF76</f>
        <v>0.628518109242165</v>
      </c>
      <c r="AG76" s="31" t="n">
        <f aca="false">Capitalization!AH15/'Ratio (data)'!AG76</f>
        <v>0.707835958420664</v>
      </c>
      <c r="AH76" s="31" t="n">
        <f aca="false">Capitalization!AI15/'Ratio (data)'!AH76</f>
        <v>0.741627873630438</v>
      </c>
      <c r="AI76" s="74" t="n">
        <f aca="false">Capitalization!AJ15/'Ratio (data)'!AI76</f>
        <v>0.820671050871566</v>
      </c>
      <c r="AJ76" s="75" t="n">
        <f aca="false">Capitalization!AK15/'Ratio (data)'!AJ76</f>
        <v>0.855264402654456</v>
      </c>
      <c r="AK76" s="31" t="n">
        <f aca="false">Capitalization!AL15/'Ratio (data)'!AL76</f>
        <v>0.822369617936977</v>
      </c>
      <c r="AL76" s="96" t="n">
        <f aca="false">Capitalization!AM15/'Ratio (data)'!AM76</f>
        <v>0.834366210971018</v>
      </c>
      <c r="AM76" s="31" t="n">
        <f aca="false">Capitalization!AN15/'Ratio (data)'!AM76</f>
        <v>0.891070710745747</v>
      </c>
      <c r="AN76" s="76" t="n">
        <f aca="false">Capitalization!AO15/'Ratio (data)'!AN76</f>
        <v>0.891070710745747</v>
      </c>
      <c r="AO76" s="31" t="n">
        <f aca="false">Capitalization!AP15/'Ratio (data)'!AO76</f>
        <v>0.778957814048282</v>
      </c>
      <c r="AP76" s="31" t="n">
        <f aca="false">Capitalization!AQ15/'Ratio (data)'!AP76</f>
        <v>0.778957814048282</v>
      </c>
      <c r="AQ76" s="96" t="n">
        <f aca="false">Capitalization!AR15/'Ratio (data)'!AQ76</f>
        <v>0.793862996846211</v>
      </c>
    </row>
    <row r="77" customFormat="false" ht="12.8" hidden="false" customHeight="false" outlineLevel="0" collapsed="false">
      <c r="A77" s="139" t="s">
        <v>189</v>
      </c>
      <c r="B77" s="72" t="n">
        <f aca="false">Capitalization!C16/'Ratio (data)'!B77</f>
        <v>1.30139665613117</v>
      </c>
      <c r="C77" s="72" t="n">
        <f aca="false">Capitalization!D16/'Ratio (data)'!C77</f>
        <v>1.34233796403421</v>
      </c>
      <c r="D77" s="31" t="n">
        <f aca="false">Capitalization!E16/'Ratio (data)'!D77</f>
        <v>1.36694749337484</v>
      </c>
      <c r="E77" s="96" t="n">
        <f aca="false">Capitalization!F16/'Ratio (data)'!E77</f>
        <v>1.15590213569613</v>
      </c>
      <c r="F77" s="31" t="n">
        <f aca="false">Capitalization!G16/'Ratio (data)'!F77</f>
        <v>1.0906495957778</v>
      </c>
      <c r="G77" s="96" t="n">
        <f aca="false">Capitalization!H16/'Ratio (data)'!G77</f>
        <v>1.08132780436089</v>
      </c>
      <c r="H77" s="31" t="n">
        <f aca="false">Capitalization!I16/'Ratio (data)'!H77</f>
        <v>1.08505652092765</v>
      </c>
      <c r="I77" s="74" t="n">
        <f aca="false">Capitalization!J16/'Ratio (data)'!I77</f>
        <v>1.17958073558064</v>
      </c>
      <c r="J77" s="75" t="n">
        <f aca="false">Capitalization!K16/'Ratio (data)'!J77</f>
        <v>1.18039480096061</v>
      </c>
      <c r="K77" s="96" t="n">
        <f aca="false">Capitalization!L16/'Ratio (data)'!K77</f>
        <v>1.01760614692744</v>
      </c>
      <c r="L77" s="31" t="n">
        <f aca="false">Capitalization!M16/'Ratio (data)'!L77</f>
        <v>1.01770383477304</v>
      </c>
      <c r="M77" s="96" t="n">
        <f aca="false">Capitalization!N16/'Ratio (data)'!M77</f>
        <v>1.01758172496604</v>
      </c>
      <c r="N77" s="96" t="n">
        <f aca="false">Capitalization!O16/'Ratio (data)'!N77</f>
        <v>1.01754102169705</v>
      </c>
      <c r="O77" s="31" t="n">
        <f aca="false">Capitalization!P16/'Ratio (data)'!O77</f>
        <v>1.01676765958607</v>
      </c>
      <c r="P77" s="76" t="n">
        <f aca="false">Capitalization!Q16/'Ratio (data)'!P77</f>
        <v>1.0998023283433</v>
      </c>
      <c r="Q77" s="75" t="n">
        <f aca="false">Capitalization!R16/'Ratio (data)'!Q77</f>
        <v>1.1376390522783</v>
      </c>
      <c r="R77" s="31" t="n">
        <f aca="false">Capitalization!S16/'Ratio (data)'!R77</f>
        <v>1.15862870268933</v>
      </c>
      <c r="S77" s="96" t="n">
        <f aca="false">Capitalization!T16/'Ratio (data)'!S77</f>
        <v>1.1418369823605</v>
      </c>
      <c r="T77" s="31" t="n">
        <f aca="false">Capitalization!U16/'Ratio (data)'!T77</f>
        <v>1.192825041139</v>
      </c>
      <c r="U77" s="31" t="n">
        <f aca="false">Capitalization!V16/'Ratio (data)'!U77</f>
        <v>1.16702456285375</v>
      </c>
      <c r="V77" s="96" t="n">
        <f aca="false">Capitalization!W16/'Ratio (data)'!V77</f>
        <v>1.13140139208532</v>
      </c>
      <c r="W77" s="96" t="n">
        <f aca="false">Capitalization!X16/'Ratio (data)'!W77</f>
        <v>1.06356845727227</v>
      </c>
      <c r="X77" s="74" t="n">
        <f aca="false">Capitalization!Y16/'Ratio (data)'!X77</f>
        <v>1.06356845727227</v>
      </c>
      <c r="Y77" s="75" t="n">
        <f aca="false">Capitalization!Z16/'Ratio (data)'!Y77</f>
        <v>1.16099457549568</v>
      </c>
      <c r="Z77" s="31" t="n">
        <f aca="false">Capitalization!AA16/'Ratio (data)'!Z77</f>
        <v>1.14475688912511</v>
      </c>
      <c r="AA77" s="96" t="n">
        <f aca="false">Capitalization!AB16/'Ratio (data)'!AA77</f>
        <v>1.17564096860194</v>
      </c>
      <c r="AB77" s="31" t="n">
        <f aca="false">Capitalization!AC16/'Ratio (data)'!AB77</f>
        <v>1.18549724422887</v>
      </c>
      <c r="AC77" s="76" t="n">
        <f aca="false">Capitalization!AD16/'Ratio (data)'!AC77</f>
        <v>1.13663804593983</v>
      </c>
      <c r="AD77" s="75" t="n">
        <f aca="false">Capitalization!AE16/'Ratio (data)'!AD77</f>
        <v>1.09014981111853</v>
      </c>
      <c r="AE77" s="31" t="n">
        <f aca="false">Capitalization!AF16/'Ratio (data)'!AE77</f>
        <v>1.04686593126802</v>
      </c>
      <c r="AF77" s="96" t="n">
        <f aca="false">Capitalization!AG16/'Ratio (data)'!AF77</f>
        <v>1.07502662481913</v>
      </c>
      <c r="AG77" s="31" t="n">
        <f aca="false">Capitalization!AH16/'Ratio (data)'!AG77</f>
        <v>0.94217933814122</v>
      </c>
      <c r="AH77" s="31" t="n">
        <f aca="false">Capitalization!AI16/'Ratio (data)'!AH77</f>
        <v>0.938958212198857</v>
      </c>
      <c r="AI77" s="74" t="n">
        <f aca="false">Capitalization!AJ16/'Ratio (data)'!AI77</f>
        <v>1.34723592539339</v>
      </c>
      <c r="AJ77" s="75" t="n">
        <f aca="false">Capitalization!AK16/'Ratio (data)'!AJ77</f>
        <v>1.2697426942809</v>
      </c>
      <c r="AK77" s="31" t="n">
        <f aca="false">Capitalization!AL16/'Ratio (data)'!AK77</f>
        <v>1.16527535157341</v>
      </c>
      <c r="AL77" s="96" t="n">
        <f aca="false">Capitalization!AM16/'Ratio (data)'!AL77</f>
        <v>1.20601924498507</v>
      </c>
      <c r="AM77" s="31" t="n">
        <f aca="false">Capitalization!AN16/'Ratio (data)'!AM77</f>
        <v>1.05119245002077</v>
      </c>
      <c r="AN77" s="76" t="n">
        <f aca="false">Capitalization!AO16/'Ratio (data)'!AN77</f>
        <v>1.12453145816175</v>
      </c>
      <c r="AO77" s="31" t="n">
        <f aca="false">Capitalization!AP16/'Ratio (data)'!AO77</f>
        <v>1.03459926226809</v>
      </c>
      <c r="AP77" s="31" t="n">
        <f aca="false">Capitalization!AQ16/'Ratio (data)'!AP77</f>
        <v>0.973649249611532</v>
      </c>
      <c r="AQ77" s="96" t="n">
        <f aca="false">Capitalization!AR16/'Ratio (data)'!AQ77</f>
        <v>0.902963150467473</v>
      </c>
    </row>
    <row r="78" customFormat="false" ht="12.8" hidden="false" customHeight="false" outlineLevel="0" collapsed="false">
      <c r="A78" s="139" t="s">
        <v>190</v>
      </c>
      <c r="B78" s="72" t="n">
        <f aca="false">Capitalization!C17/'Ratio (data)'!B78</f>
        <v>0.557884248594646</v>
      </c>
      <c r="C78" s="72" t="n">
        <f aca="false">Capitalization!D17/'Ratio (data)'!C78</f>
        <v>0.558046001058721</v>
      </c>
      <c r="D78" s="31" t="n">
        <f aca="false">Capitalization!E17/'Ratio (data)'!D78</f>
        <v>0.558046001058721</v>
      </c>
      <c r="E78" s="96" t="n">
        <f aca="false">Capitalization!F17/'Ratio (data)'!E78</f>
        <v>0.558046001058721</v>
      </c>
      <c r="F78" s="31" t="n">
        <f aca="false">Capitalization!G17/'Ratio (data)'!F78</f>
        <v>0.558046001058721</v>
      </c>
      <c r="G78" s="96" t="n">
        <f aca="false">Capitalization!H17/'Ratio (data)'!G78</f>
        <v>0.590247644933226</v>
      </c>
      <c r="H78" s="31" t="n">
        <f aca="false">Capitalization!I17/'Ratio (data)'!H78</f>
        <v>0.573056467169719</v>
      </c>
      <c r="I78" s="74" t="n">
        <f aca="false">Capitalization!J17/'Ratio (data)'!I78</f>
        <v>0.573056467169719</v>
      </c>
      <c r="J78" s="75" t="n">
        <f aca="false">Capitalization!K17/'Ratio (data)'!J78</f>
        <v>0.517989631490817</v>
      </c>
      <c r="K78" s="96" t="n">
        <f aca="false">Capitalization!L17/'Ratio (data)'!K78</f>
        <v>0.517989631490817</v>
      </c>
      <c r="L78" s="31" t="n">
        <f aca="false">Capitalization!M17/'Ratio (data)'!L78</f>
        <v>0.517989631490817</v>
      </c>
      <c r="M78" s="96" t="n">
        <f aca="false">Capitalization!N17/'Ratio (data)'!M78</f>
        <v>0.517989631490817</v>
      </c>
      <c r="N78" s="96" t="n">
        <f aca="false">Capitalization!O17/'Ratio (data)'!N78</f>
        <v>0.517989631490817</v>
      </c>
      <c r="O78" s="31" t="n">
        <f aca="false">Capitalization!P17/'Ratio (data)'!O78</f>
        <v>0.516251584489702</v>
      </c>
      <c r="P78" s="76" t="n">
        <f aca="false">Capitalization!Q17/'Ratio (data)'!P78</f>
        <v>0.559822701739579</v>
      </c>
      <c r="Q78" s="75" t="n">
        <f aca="false">Capitalization!R17/'Ratio (data)'!Q78</f>
        <v>0.559822701739579</v>
      </c>
      <c r="R78" s="31" t="n">
        <f aca="false">Capitalization!S17/'Ratio (data)'!R78</f>
        <v>0.577282172250082</v>
      </c>
      <c r="S78" s="96" t="n">
        <f aca="false">Capitalization!T17/'Ratio (data)'!S78</f>
        <v>0.577317161168941</v>
      </c>
      <c r="T78" s="31" t="n">
        <f aca="false">Capitalization!U17/'Ratio (data)'!T78</f>
        <v>0.577317161168941</v>
      </c>
      <c r="U78" s="31" t="n">
        <f aca="false">Capitalization!V17/'Ratio (data)'!U78</f>
        <v>0.625799717177145</v>
      </c>
      <c r="V78" s="96" t="n">
        <f aca="false">Capitalization!W17/'Ratio (data)'!V78</f>
        <v>0.701654228350132</v>
      </c>
      <c r="W78" s="96" t="n">
        <f aca="false">Capitalization!X17/'Ratio (data)'!W78</f>
        <v>0.701654228350132</v>
      </c>
      <c r="X78" s="74" t="n">
        <f aca="false">Capitalization!Y17/'Ratio (data)'!X78</f>
        <v>0.701654228350132</v>
      </c>
      <c r="Y78" s="75" t="n">
        <f aca="false">Capitalization!Z17/'Ratio (data)'!Y78</f>
        <v>0.7014645920722</v>
      </c>
      <c r="Z78" s="31" t="n">
        <f aca="false">Capitalization!AA17/'Ratio (data)'!Z78</f>
        <v>0.718683566108468</v>
      </c>
      <c r="AA78" s="96" t="n">
        <f aca="false">Capitalization!AB17/'Ratio (data)'!AA78</f>
        <v>0.654264122494808</v>
      </c>
      <c r="AB78" s="31" t="n">
        <f aca="false">Capitalization!AC17/'Ratio (data)'!AB78</f>
        <v>0.654245158867015</v>
      </c>
      <c r="AC78" s="76" t="n">
        <f aca="false">Capitalization!AD17/'Ratio (data)'!AC78</f>
        <v>0.687523637617315</v>
      </c>
      <c r="AD78" s="75" t="n">
        <f aca="false">Capitalization!AE17/'Ratio (data)'!AD78</f>
        <v>0.657631305546997</v>
      </c>
      <c r="AE78" s="31" t="n">
        <f aca="false">Capitalization!AF17/'Ratio (data)'!AE78</f>
        <v>0.646571142680979</v>
      </c>
      <c r="AF78" s="96" t="n">
        <f aca="false">Capitalization!AG17/'Ratio (data)'!AF78</f>
        <v>0.646571142680979</v>
      </c>
      <c r="AG78" s="31" t="n">
        <f aca="false">Capitalization!AH17/'Ratio (data)'!AG78</f>
        <v>0.627738973476679</v>
      </c>
      <c r="AH78" s="31" t="n">
        <f aca="false">Capitalization!AI17/'Ratio (data)'!AH78</f>
        <v>0.761495796458803</v>
      </c>
      <c r="AI78" s="74" t="n">
        <f aca="false">Capitalization!AJ17/'Ratio (data)'!AI78</f>
        <v>0.761495796458803</v>
      </c>
      <c r="AJ78" s="75" t="n">
        <f aca="false">Capitalization!AK17/'Ratio (data)'!AJ78</f>
        <v>0.825306044272031</v>
      </c>
      <c r="AK78" s="31" t="n">
        <f aca="false">Capitalization!AL17/'Ratio (data)'!AM78</f>
        <v>0.795111920701103</v>
      </c>
      <c r="AL78" s="96" t="n">
        <f aca="false">Capitalization!AM17/'Ratio (data)'!AN78</f>
        <v>0.789077662147942</v>
      </c>
      <c r="AM78" s="31" t="n">
        <f aca="false">Capitalization!AN17/'Ratio (data)'!AM78</f>
        <v>0.827359244674854</v>
      </c>
      <c r="AN78" s="76" t="n">
        <f aca="false">Capitalization!AO17/'Ratio (data)'!AN78</f>
        <v>0.888960910521099</v>
      </c>
      <c r="AO78" s="31" t="n">
        <f aca="false">Capitalization!AP17/'Ratio (data)'!AO78</f>
        <v>0.919325418026539</v>
      </c>
      <c r="AP78" s="31" t="n">
        <f aca="false">Capitalization!AQ17/'Ratio (data)'!AP78</f>
        <v>0.928914209870362</v>
      </c>
      <c r="AQ78" s="96" t="n">
        <f aca="false">Capitalization!AR17/'Ratio (data)'!AQ78</f>
        <v>0.888960910521099</v>
      </c>
    </row>
    <row r="79" customFormat="false" ht="12.8" hidden="false" customHeight="false" outlineLevel="0" collapsed="false">
      <c r="A79" s="139" t="s">
        <v>26</v>
      </c>
      <c r="B79" s="72" t="n">
        <f aca="false">Capitalization!C18/'Ratio (data)'!B79</f>
        <v>0.738460283849477</v>
      </c>
      <c r="C79" s="72" t="n">
        <f aca="false">Capitalization!D18/'Ratio (data)'!C79</f>
        <v>0.773063530537257</v>
      </c>
      <c r="D79" s="31" t="n">
        <f aca="false">Capitalization!E18/'Ratio (data)'!D79</f>
        <v>0.710856146678472</v>
      </c>
      <c r="E79" s="96" t="n">
        <f aca="false">Capitalization!F18/'Ratio (data)'!E79</f>
        <v>0.715372222288208</v>
      </c>
      <c r="F79" s="31" t="n">
        <f aca="false">Capitalization!G18/'Ratio (data)'!F79</f>
        <v>0.692295698988588</v>
      </c>
      <c r="G79" s="96" t="n">
        <f aca="false">Capitalization!H18/'Ratio (data)'!G79</f>
        <v>0.604624410303388</v>
      </c>
      <c r="H79" s="31" t="n">
        <f aca="false">Capitalization!I18/'Ratio (data)'!H79</f>
        <v>0.551876142783817</v>
      </c>
      <c r="I79" s="74" t="n">
        <f aca="false">Capitalization!J18/'Ratio (data)'!I79</f>
        <v>0.531652498715048</v>
      </c>
      <c r="J79" s="75" t="n">
        <f aca="false">Capitalization!K18/'Ratio (data)'!J79</f>
        <v>0.500378822320045</v>
      </c>
      <c r="K79" s="96" t="n">
        <f aca="false">Capitalization!L18/'Ratio (data)'!K79</f>
        <v>0.580022451539319</v>
      </c>
      <c r="L79" s="31" t="n">
        <f aca="false">Capitalization!M18/'Ratio (data)'!L79</f>
        <v>0.563134666286018</v>
      </c>
      <c r="M79" s="96" t="n">
        <f aca="false">Capitalization!N18/'Ratio (data)'!M79</f>
        <v>0.500378822320045</v>
      </c>
      <c r="N79" s="96" t="n">
        <f aca="false">Capitalization!O18/'Ratio (data)'!N79</f>
        <v>0.500378822320045</v>
      </c>
      <c r="O79" s="31" t="n">
        <f aca="false">Capitalization!P18/'Ratio (data)'!O79</f>
        <v>0.498293910560378</v>
      </c>
      <c r="P79" s="76" t="n">
        <f aca="false">Capitalization!Q18/'Ratio (data)'!P79</f>
        <v>0.550699350993879</v>
      </c>
      <c r="Q79" s="75" t="n">
        <f aca="false">Capitalization!R18/'Ratio (data)'!Q79</f>
        <v>0.514692085736586</v>
      </c>
      <c r="R79" s="31" t="n">
        <f aca="false">Capitalization!S18/'Ratio (data)'!R79</f>
        <v>0.571668287820184</v>
      </c>
      <c r="S79" s="96" t="n">
        <f aca="false">Capitalization!T18/'Ratio (data)'!S79</f>
        <v>0.571668287820184</v>
      </c>
      <c r="T79" s="31" t="n">
        <f aca="false">Capitalization!U18/'Ratio (data)'!T79</f>
        <v>0.635280417083258</v>
      </c>
      <c r="U79" s="31" t="n">
        <f aca="false">Capitalization!V18/'Ratio (data)'!U79</f>
        <v>0.806101545412189</v>
      </c>
      <c r="V79" s="96" t="n">
        <f aca="false">Capitalization!W18/'Ratio (data)'!V79</f>
        <v>0.794665475290882</v>
      </c>
      <c r="W79" s="96" t="n">
        <f aca="false">Capitalization!X18/'Ratio (data)'!W79</f>
        <v>0.794665475290882</v>
      </c>
      <c r="X79" s="74" t="n">
        <f aca="false">Capitalization!Y18/'Ratio (data)'!X79</f>
        <v>0.872175442577122</v>
      </c>
      <c r="Y79" s="75" t="n">
        <f aca="false">Capitalization!Z18/'Ratio (data)'!Y79</f>
        <v>0.819316324845175</v>
      </c>
      <c r="Z79" s="31" t="n">
        <f aca="false">Capitalization!AA18/'Ratio (data)'!Z79</f>
        <v>0.792886765979202</v>
      </c>
      <c r="AA79" s="96" t="n">
        <f aca="false">Capitalization!AB18/'Ratio (data)'!AA79</f>
        <v>0.792886765979202</v>
      </c>
      <c r="AB79" s="31" t="n">
        <f aca="false">Capitalization!AC18/'Ratio (data)'!AB79</f>
        <v>0.832531104278162</v>
      </c>
      <c r="AC79" s="76" t="n">
        <f aca="false">Capitalization!AD18/'Ratio (data)'!AC79</f>
        <v>0.83791097860045</v>
      </c>
      <c r="AD79" s="75" t="n">
        <f aca="false">Capitalization!AE18/'Ratio (data)'!AD79</f>
        <v>0.810972112577127</v>
      </c>
      <c r="AE79" s="31" t="n">
        <f aca="false">Capitalization!AF18/'Ratio (data)'!AE79</f>
        <v>0.819951734584901</v>
      </c>
      <c r="AF79" s="96" t="n">
        <f aca="false">Capitalization!AG18/'Ratio (data)'!AF79</f>
        <v>0.772951831769835</v>
      </c>
      <c r="AG79" s="31" t="n">
        <f aca="false">Capitalization!AH18/'Ratio (data)'!AG79</f>
        <v>0.729768268308072</v>
      </c>
      <c r="AH79" s="31" t="n">
        <f aca="false">Capitalization!AI18/'Ratio (data)'!AH79</f>
        <v>0.653479520595695</v>
      </c>
      <c r="AI79" s="74" t="n">
        <f aca="false">Capitalization!AJ18/'Ratio (data)'!AI79</f>
        <v>0.913993393304129</v>
      </c>
      <c r="AJ79" s="75" t="n">
        <f aca="false">Capitalization!AK18/'Ratio (data)'!AJ79</f>
        <v>0.880776745150719</v>
      </c>
      <c r="AK79" s="31" t="n">
        <f aca="false">Capitalization!AL18/'Ratio (data)'!AK79</f>
        <v>0.753657931103015</v>
      </c>
      <c r="AL79" s="96" t="n">
        <f aca="false">Capitalization!AM18/'Ratio (data)'!AL79</f>
        <v>0.720233874232198</v>
      </c>
      <c r="AM79" s="31" t="n">
        <f aca="false">Capitalization!AN18/'Ratio (data)'!AM79</f>
        <v>0.676385398400227</v>
      </c>
      <c r="AN79" s="76" t="n">
        <f aca="false">Capitalization!AO18/'Ratio (data)'!AN79</f>
        <v>0.773049796932468</v>
      </c>
      <c r="AO79" s="31" t="n">
        <f aca="false">Capitalization!AP18/'Ratio (data)'!AO79</f>
        <v>0.624651323605</v>
      </c>
      <c r="AP79" s="31" t="n">
        <f aca="false">Capitalization!AQ18/'Ratio (data)'!AP79</f>
        <v>0.71251115930832</v>
      </c>
      <c r="AQ79" s="96" t="n">
        <f aca="false">Capitalization!AR18/'Ratio (data)'!AQ79</f>
        <v>0.671354226304439</v>
      </c>
    </row>
    <row r="80" customFormat="false" ht="12.8" hidden="false" customHeight="false" outlineLevel="0" collapsed="false">
      <c r="A80" s="139" t="s">
        <v>191</v>
      </c>
      <c r="B80" s="72" t="n">
        <f aca="false">Capitalization!C19/'Ratio (data)'!B80</f>
        <v>0.70098505048731</v>
      </c>
      <c r="C80" s="72" t="n">
        <f aca="false">Capitalization!D19/'Ratio (data)'!C80</f>
        <v>0.764241440739677</v>
      </c>
      <c r="D80" s="31" t="n">
        <f aca="false">Capitalization!E19/'Ratio (data)'!D80</f>
        <v>0.764241440739677</v>
      </c>
      <c r="E80" s="96" t="n">
        <f aca="false">Capitalization!F19/'Ratio (data)'!E80</f>
        <v>0.74354485712404</v>
      </c>
      <c r="F80" s="31" t="n">
        <f aca="false">Capitalization!G19/'Ratio (data)'!F80</f>
        <v>0.751055411236404</v>
      </c>
      <c r="G80" s="96" t="n">
        <f aca="false">Capitalization!H19/'Ratio (data)'!G80</f>
        <v>0.721263546590693</v>
      </c>
      <c r="H80" s="31" t="n">
        <f aca="false">Capitalization!I19/'Ratio (data)'!H80</f>
        <v>0.70098505048731</v>
      </c>
      <c r="I80" s="74" t="n">
        <f aca="false">Capitalization!J19/'Ratio (data)'!I80</f>
        <v>0.70098505048731</v>
      </c>
      <c r="J80" s="75" t="n">
        <f aca="false">Capitalization!K19/'Ratio (data)'!J80</f>
        <v>0.757174211925309</v>
      </c>
      <c r="K80" s="96" t="n">
        <f aca="false">Capitalization!L19/'Ratio (data)'!K80</f>
        <v>0.785292759106209</v>
      </c>
      <c r="L80" s="31" t="n">
        <f aca="false">Capitalization!M19/'Ratio (data)'!L80</f>
        <v>0.785292759106209</v>
      </c>
      <c r="M80" s="96" t="n">
        <f aca="false">Capitalization!N19/'Ratio (data)'!M80</f>
        <v>0.785292759106209</v>
      </c>
      <c r="N80" s="96" t="n">
        <f aca="false">Capitalization!O19/'Ratio (data)'!N80</f>
        <v>0.782759556657479</v>
      </c>
      <c r="O80" s="31" t="n">
        <f aca="false">Capitalization!P19/'Ratio (data)'!O80</f>
        <v>0.785292759106209</v>
      </c>
      <c r="P80" s="76" t="n">
        <f aca="false">Capitalization!Q19/'Ratio (data)'!P80</f>
        <v>0.656942990636421</v>
      </c>
      <c r="Q80" s="75" t="n">
        <f aca="false">Capitalization!R19/'Ratio (data)'!Q80</f>
        <v>0.634251050749787</v>
      </c>
      <c r="R80" s="31" t="n">
        <f aca="false">Capitalization!S19/'Ratio (data)'!R80</f>
        <v>0.575138852819907</v>
      </c>
      <c r="S80" s="96" t="n">
        <f aca="false">Capitalization!T19/'Ratio (data)'!S80</f>
        <v>0.578436958283806</v>
      </c>
      <c r="T80" s="31" t="n">
        <f aca="false">Capitalization!U19/'Ratio (data)'!T80</f>
        <v>0.573449208020709</v>
      </c>
      <c r="U80" s="31" t="n">
        <f aca="false">Capitalization!V19/'Ratio (data)'!U80</f>
        <v>0.5961959877048</v>
      </c>
      <c r="V80" s="96" t="n">
        <f aca="false">Capitalization!W19/'Ratio (data)'!V80</f>
        <v>0.584779468791304</v>
      </c>
      <c r="W80" s="96" t="n">
        <f aca="false">Capitalization!X19/'Ratio (data)'!W80</f>
        <v>0.596169168708136</v>
      </c>
      <c r="X80" s="74" t="n">
        <f aca="false">Capitalization!Y19/'Ratio (data)'!X80</f>
        <v>0.596169168708136</v>
      </c>
      <c r="Y80" s="75" t="n">
        <f aca="false">Capitalization!Z19/'Ratio (data)'!Y80</f>
        <v>0.607808046188338</v>
      </c>
      <c r="Z80" s="31" t="n">
        <f aca="false">Capitalization!AA19/'Ratio (data)'!Z80</f>
        <v>0.575219189243772</v>
      </c>
      <c r="AA80" s="96" t="n">
        <f aca="false">Capitalization!AB19/'Ratio (data)'!AA80</f>
        <v>0.580392023679417</v>
      </c>
      <c r="AB80" s="31" t="n">
        <f aca="false">Capitalization!AC19/'Ratio (data)'!AB80</f>
        <v>0.527629112435834</v>
      </c>
      <c r="AC80" s="76" t="n">
        <f aca="false">Capitalization!AD19/'Ratio (data)'!AC80</f>
        <v>0.491419271386316</v>
      </c>
      <c r="AD80" s="75" t="n">
        <f aca="false">Capitalization!AE19/'Ratio (data)'!AD80</f>
        <v>0.480763115188456</v>
      </c>
      <c r="AE80" s="31" t="n">
        <f aca="false">Capitalization!AF19/'Ratio (data)'!AE80</f>
        <v>0.494076555301367</v>
      </c>
      <c r="AF80" s="96" t="n">
        <f aca="false">Capitalization!AG19/'Ratio (data)'!AF80</f>
        <v>0.465230768390059</v>
      </c>
      <c r="AG80" s="31" t="n">
        <f aca="false">Capitalization!AH19/'Ratio (data)'!AG80</f>
        <v>0.351181430207994</v>
      </c>
      <c r="AH80" s="31" t="n">
        <f aca="false">Capitalization!AI19/'Ratio (data)'!AH80</f>
        <v>0.510030700260021</v>
      </c>
      <c r="AI80" s="74" t="n">
        <f aca="false">Capitalization!AJ19/'Ratio (data)'!AI80</f>
        <v>0.57516379374636</v>
      </c>
      <c r="AJ80" s="75" t="n">
        <f aca="false">Capitalization!AK19/'Ratio (data)'!AJ80</f>
        <v>0.588005318595513</v>
      </c>
      <c r="AK80" s="31" t="n">
        <f aca="false">Capitalization!AL19/'Ratio (data)'!AK80</f>
        <v>0.6135707672301</v>
      </c>
      <c r="AL80" s="96" t="n">
        <f aca="false">Capitalization!AM19/'Ratio (data)'!AL80</f>
        <v>0.601043697399152</v>
      </c>
      <c r="AM80" s="31" t="n">
        <f aca="false">Capitalization!AN19/'Ratio (data)'!AM80</f>
        <v>0.609638801230101</v>
      </c>
      <c r="AN80" s="76" t="n">
        <f aca="false">Capitalization!AO19/'Ratio (data)'!AN80</f>
        <v>0.550088812358094</v>
      </c>
      <c r="AO80" s="31" t="n">
        <f aca="false">Capitalization!AP19/'Ratio (data)'!AO80</f>
        <v>0.565861641280796</v>
      </c>
      <c r="AP80" s="31" t="n">
        <f aca="false">Capitalization!AQ19/'Ratio (data)'!AP80</f>
        <v>0.567101868410407</v>
      </c>
      <c r="AQ80" s="96" t="n">
        <f aca="false">Capitalization!AR19/'Ratio (data)'!AQ80</f>
        <v>0.554773566923224</v>
      </c>
    </row>
    <row r="81" customFormat="false" ht="12.8" hidden="false" customHeight="false" outlineLevel="0" collapsed="false">
      <c r="A81" s="139" t="s">
        <v>192</v>
      </c>
      <c r="B81" s="72" t="n">
        <f aca="false">Capitalization!C20/'Ratio (data)'!B81</f>
        <v>0.449148703480466</v>
      </c>
      <c r="C81" s="72" t="n">
        <f aca="false">Capitalization!D20/'Ratio (data)'!C81</f>
        <v>0.44914031773891</v>
      </c>
      <c r="D81" s="31" t="n">
        <f aca="false">Capitalization!E20/'Ratio (data)'!D81</f>
        <v>0.44914031773891</v>
      </c>
      <c r="E81" s="96" t="n">
        <f aca="false">Capitalization!F20/'Ratio (data)'!E81</f>
        <v>0.44914031773891</v>
      </c>
      <c r="F81" s="31" t="n">
        <f aca="false">Capitalization!G20/'Ratio (data)'!F81</f>
        <v>0.44914031773891</v>
      </c>
      <c r="G81" s="96" t="n">
        <f aca="false">Capitalization!H20/'Ratio (data)'!G81</f>
        <v>0.465507584481641</v>
      </c>
      <c r="H81" s="31" t="n">
        <f aca="false">Capitalization!I20/'Ratio (data)'!H81</f>
        <v>0.452062094079514</v>
      </c>
      <c r="I81" s="74" t="n">
        <f aca="false">Capitalization!J20/'Ratio (data)'!I81</f>
        <v>0.460118646251228</v>
      </c>
      <c r="J81" s="75" t="n">
        <f aca="false">Capitalization!K20/'Ratio (data)'!J81</f>
        <v>0.460118646251228</v>
      </c>
      <c r="K81" s="96" t="n">
        <f aca="false">Capitalization!L20/'Ratio (data)'!K81</f>
        <v>0.460235018671486</v>
      </c>
      <c r="L81" s="31" t="n">
        <f aca="false">Capitalization!M20/'Ratio (data)'!L81</f>
        <v>0.46020816349758</v>
      </c>
      <c r="M81" s="96" t="n">
        <f aca="false">Capitalization!N20/'Ratio (data)'!M81</f>
        <v>0.46020816349758</v>
      </c>
      <c r="N81" s="96" t="n">
        <f aca="false">Capitalization!O20/'Ratio (data)'!N81</f>
        <v>0.46020816349758</v>
      </c>
      <c r="O81" s="31" t="n">
        <f aca="false">Capitalization!P20/'Ratio (data)'!O81</f>
        <v>0.46020816349758</v>
      </c>
      <c r="P81" s="76" t="n">
        <f aca="false">Capitalization!Q20/'Ratio (data)'!P81</f>
        <v>0.409039643927547</v>
      </c>
      <c r="Q81" s="75" t="n">
        <f aca="false">Capitalization!R20/'Ratio (data)'!Q81</f>
        <v>0.408654121171725</v>
      </c>
      <c r="R81" s="31" t="n">
        <f aca="false">Capitalization!S20/'Ratio (data)'!R81</f>
        <v>0.416364576288173</v>
      </c>
      <c r="S81" s="96" t="n">
        <f aca="false">Capitalization!T20/'Ratio (data)'!S81</f>
        <v>0.416364576288173</v>
      </c>
      <c r="T81" s="31" t="n">
        <f aca="false">Capitalization!U20/'Ratio (data)'!T81</f>
        <v>0.427930258962844</v>
      </c>
      <c r="U81" s="31" t="n">
        <f aca="false">Capitalization!V20/'Ratio (data)'!U81</f>
        <v>0.544597005965657</v>
      </c>
      <c r="V81" s="96" t="n">
        <f aca="false">Capitalization!W20/'Ratio (data)'!V81</f>
        <v>0.568482839560642</v>
      </c>
      <c r="W81" s="96" t="n">
        <f aca="false">Capitalization!X20/'Ratio (data)'!W81</f>
        <v>0.568482839560642</v>
      </c>
      <c r="X81" s="74" t="n">
        <f aca="false">Capitalization!Y20/'Ratio (data)'!X81</f>
        <v>0.568482839560642</v>
      </c>
      <c r="Y81" s="75" t="n">
        <f aca="false">Capitalization!Z20/'Ratio (data)'!Y81</f>
        <v>0.57182685626394</v>
      </c>
      <c r="Z81" s="31" t="n">
        <f aca="false">Capitalization!AA20/'Ratio (data)'!Z81</f>
        <v>0.593133019830666</v>
      </c>
      <c r="AA81" s="96" t="n">
        <f aca="false">Capitalization!AB20/'Ratio (data)'!AA81</f>
        <v>0.593133019830666</v>
      </c>
      <c r="AB81" s="31" t="n">
        <f aca="false">Capitalization!AC20/'Ratio (data)'!AB81</f>
        <v>0.630586006907603</v>
      </c>
      <c r="AC81" s="76" t="n">
        <f aca="false">Capitalization!AD20/'Ratio (data)'!AC81</f>
        <v>0.625026460883951</v>
      </c>
      <c r="AD81" s="75" t="n">
        <f aca="false">Capitalization!AE20/'Ratio (data)'!AD81</f>
        <v>0.560677256421538</v>
      </c>
      <c r="AE81" s="31" t="n">
        <f aca="false">Capitalization!AF20/'Ratio (data)'!AE81</f>
        <v>0.560677256421538</v>
      </c>
      <c r="AF81" s="96" t="n">
        <f aca="false">Capitalization!AG20/'Ratio (data)'!AF81</f>
        <v>0.569868686854678</v>
      </c>
      <c r="AG81" s="31" t="n">
        <f aca="false">Capitalization!AH20/'Ratio (data)'!AG81</f>
        <v>0.546890110771828</v>
      </c>
      <c r="AH81" s="31" t="n">
        <f aca="false">Capitalization!AI20/'Ratio (data)'!AH81</f>
        <v>0.3277464525371</v>
      </c>
      <c r="AI81" s="74" t="n">
        <f aca="false">Capitalization!AJ20/'Ratio (data)'!AI81</f>
        <v>0.45367073489984</v>
      </c>
      <c r="AJ81" s="75" t="n">
        <f aca="false">Capitalization!AK20/'Ratio (data)'!AJ81</f>
        <v>0.45367073489984</v>
      </c>
      <c r="AK81" s="31" t="n">
        <f aca="false">Capitalization!AL20/'Ratio (data)'!AK81</f>
        <v>0.462866763309971</v>
      </c>
      <c r="AL81" s="96" t="n">
        <f aca="false">Capitalization!AM20/'Ratio (data)'!AL81</f>
        <v>0.462866763309971</v>
      </c>
      <c r="AM81" s="31" t="n">
        <f aca="false">Capitalization!AN20/'Ratio (data)'!AM81</f>
        <v>0.472675860280779</v>
      </c>
      <c r="AN81" s="76" t="n">
        <f aca="false">Capitalization!AO20/'Ratio (data)'!AN81</f>
        <v>0.465358142837443</v>
      </c>
      <c r="AO81" s="31" t="n">
        <f aca="false">Capitalization!AP20/'Ratio (data)'!AO81</f>
        <v>0.415760761824505</v>
      </c>
      <c r="AP81" s="31" t="n">
        <f aca="false">Capitalization!AQ20/'Ratio (data)'!AP81</f>
        <v>0.384718005973845</v>
      </c>
      <c r="AQ81" s="96" t="n">
        <f aca="false">Capitalization!AR20/'Ratio (data)'!AQ81</f>
        <v>0.374123454307471</v>
      </c>
    </row>
    <row r="82" customFormat="false" ht="12.8" hidden="false" customHeight="false" outlineLevel="0" collapsed="false">
      <c r="A82" s="139" t="s">
        <v>193</v>
      </c>
      <c r="B82" s="72" t="n">
        <f aca="false">Capitalization!C21/'Ratio (data)'!B82</f>
        <v>0.551002012310248</v>
      </c>
      <c r="C82" s="72" t="n">
        <f aca="false">Capitalization!D21/'Ratio (data)'!C82</f>
        <v>0.551002012310248</v>
      </c>
      <c r="D82" s="31" t="n">
        <f aca="false">Capitalization!E21/'Ratio (data)'!D82</f>
        <v>0.551002012310248</v>
      </c>
      <c r="E82" s="96" t="n">
        <f aca="false">Capitalization!F21/'Ratio (data)'!E82</f>
        <v>0.551002012310248</v>
      </c>
      <c r="F82" s="31" t="n">
        <f aca="false">Capitalization!G21/'Ratio (data)'!F82</f>
        <v>0.551002012310248</v>
      </c>
      <c r="G82" s="96" t="n">
        <f aca="false">Capitalization!H21/'Ratio (data)'!G82</f>
        <v>0.557279857383254</v>
      </c>
      <c r="H82" s="31" t="n">
        <f aca="false">Capitalization!I21/'Ratio (data)'!H82</f>
        <v>0.557279857383254</v>
      </c>
      <c r="I82" s="74" t="n">
        <f aca="false">Capitalization!J21/'Ratio (data)'!I82</f>
        <v>0.557279857383254</v>
      </c>
      <c r="J82" s="75" t="n">
        <f aca="false">Capitalization!K21/'Ratio (data)'!J82</f>
        <v>0.557279857383254</v>
      </c>
      <c r="K82" s="96" t="n">
        <f aca="false">Capitalization!L21/'Ratio (data)'!K82</f>
        <v>0.557279857383254</v>
      </c>
      <c r="L82" s="31" t="n">
        <f aca="false">Capitalization!M21/'Ratio (data)'!L82</f>
        <v>0.557279857383254</v>
      </c>
      <c r="M82" s="96" t="n">
        <f aca="false">Capitalization!N21/'Ratio (data)'!M82</f>
        <v>0.557279857383254</v>
      </c>
      <c r="N82" s="96" t="n">
        <f aca="false">Capitalization!O21/'Ratio (data)'!N82</f>
        <v>0.557279857383254</v>
      </c>
      <c r="O82" s="31" t="n">
        <f aca="false">Capitalization!P21/'Ratio (data)'!O82</f>
        <v>0.557279857383254</v>
      </c>
      <c r="P82" s="76" t="n">
        <f aca="false">Capitalization!Q21/'Ratio (data)'!P82</f>
        <v>0.527475939044071</v>
      </c>
      <c r="Q82" s="75" t="n">
        <f aca="false">Capitalization!R21/'Ratio (data)'!Q82</f>
        <v>0.51211256217871</v>
      </c>
      <c r="R82" s="31" t="n">
        <f aca="false">Capitalization!S21/'Ratio (data)'!R82</f>
        <v>0.51211256217871</v>
      </c>
      <c r="S82" s="96" t="n">
        <f aca="false">Capitalization!T21/'Ratio (data)'!S82</f>
        <v>0.51211256217871</v>
      </c>
      <c r="T82" s="31" t="n">
        <f aca="false">Capitalization!U21/'Ratio (data)'!T82</f>
        <v>0.51211256217871</v>
      </c>
      <c r="U82" s="31" t="n">
        <f aca="false">Capitalization!V21/'Ratio (data)'!U82</f>
        <v>0.507336063162464</v>
      </c>
      <c r="V82" s="96" t="n">
        <f aca="false">Capitalization!W21/'Ratio (data)'!V82</f>
        <v>0.507336063162464</v>
      </c>
      <c r="W82" s="96" t="n">
        <f aca="false">Capitalization!X21/'Ratio (data)'!W82</f>
        <v>0.507336063162464</v>
      </c>
      <c r="X82" s="74" t="n">
        <f aca="false">Capitalization!Y21/'Ratio (data)'!X82</f>
        <v>0.507336063162464</v>
      </c>
      <c r="Y82" s="75" t="n">
        <f aca="false">Capitalization!Z21/'Ratio (data)'!Y82</f>
        <v>0.507336063162464</v>
      </c>
      <c r="Z82" s="31" t="n">
        <f aca="false">Capitalization!AA21/'Ratio (data)'!Z82</f>
        <v>0.565650553181138</v>
      </c>
      <c r="AA82" s="96" t="n">
        <f aca="false">Capitalization!AB21/'Ratio (data)'!AA82</f>
        <v>0.565650553181138</v>
      </c>
      <c r="AB82" s="31" t="n">
        <f aca="false">Capitalization!AC21/'Ratio (data)'!AB82</f>
        <v>0.565650553181138</v>
      </c>
      <c r="AC82" s="76" t="n">
        <f aca="false">Capitalization!AD21/'Ratio (data)'!AC82</f>
        <v>0.581430748431916</v>
      </c>
      <c r="AD82" s="75" t="n">
        <f aca="false">Capitalization!AE21/'Ratio (data)'!AD82</f>
        <v>0.581430748431916</v>
      </c>
      <c r="AE82" s="31" t="n">
        <f aca="false">Capitalization!AF21/'Ratio (data)'!AE82</f>
        <v>0.761254691245911</v>
      </c>
      <c r="AF82" s="96" t="n">
        <f aca="false">Capitalization!AG21/'Ratio (data)'!AF82</f>
        <v>0.761254691245911</v>
      </c>
      <c r="AG82" s="31" t="n">
        <f aca="false">Capitalization!AH21/'Ratio (data)'!AG82</f>
        <v>0.761254691245911</v>
      </c>
      <c r="AH82" s="31" t="n">
        <f aca="false">Capitalization!AI21/'Ratio (data)'!AH82</f>
        <v>0.484823410550877</v>
      </c>
      <c r="AI82" s="74" t="n">
        <f aca="false">Capitalization!AJ21/'Ratio (data)'!AI82</f>
        <v>0.484823410550877</v>
      </c>
      <c r="AJ82" s="75" t="n">
        <f aca="false">Capitalization!AK21/'Ratio (data)'!AJ82</f>
        <v>0.455457970784016</v>
      </c>
      <c r="AK82" s="31" t="n">
        <f aca="false">Capitalization!AL21/'Ratio (data)'!AK82</f>
        <v>0.455457970784016</v>
      </c>
      <c r="AL82" s="96" t="n">
        <f aca="false">Capitalization!AM21/'Ratio (data)'!AL82</f>
        <v>0.455457970784016</v>
      </c>
      <c r="AM82" s="31" t="n">
        <f aca="false">Capitalization!AN21/'Ratio (data)'!AM82</f>
        <v>0.440481596502917</v>
      </c>
      <c r="AN82" s="76" t="n">
        <f aca="false">Capitalization!AO21/'Ratio (data)'!AN82</f>
        <v>0.711650215996536</v>
      </c>
      <c r="AO82" s="31" t="n">
        <f aca="false">Capitalization!AP21/'Ratio (data)'!AO82</f>
        <v>0.735371889863087</v>
      </c>
      <c r="AP82" s="31" t="n">
        <f aca="false">Capitalization!AQ21/'Ratio (data)'!AP82</f>
        <v>0.735371889863087</v>
      </c>
      <c r="AQ82" s="96" t="n">
        <f aca="false">Capitalization!AR21/'Ratio (data)'!AQ82</f>
        <v>0.735846323340419</v>
      </c>
    </row>
    <row r="83" customFormat="false" ht="12.8" hidden="false" customHeight="false" outlineLevel="0" collapsed="false">
      <c r="A83" s="139" t="s">
        <v>194</v>
      </c>
      <c r="B83" s="72" t="n">
        <f aca="false">Capitalization!C22/'Ratio (data)'!B83</f>
        <v>0.801241109538818</v>
      </c>
      <c r="C83" s="72" t="n">
        <f aca="false">Capitalization!D22/'Ratio (data)'!C83</f>
        <v>0.801241109538818</v>
      </c>
      <c r="D83" s="31" t="n">
        <f aca="false">Capitalization!E22/'Ratio (data)'!D83</f>
        <v>0.801241109538818</v>
      </c>
      <c r="E83" s="96" t="n">
        <f aca="false">Capitalization!F22/'Ratio (data)'!E83</f>
        <v>0.801241109538818</v>
      </c>
      <c r="F83" s="31" t="n">
        <f aca="false">Capitalization!G22/'Ratio (data)'!F83</f>
        <v>0.821784470999672</v>
      </c>
      <c r="G83" s="96" t="n">
        <f aca="false">Capitalization!H22/'Ratio (data)'!G83</f>
        <v>0.821784470999672</v>
      </c>
      <c r="H83" s="31" t="n">
        <f aca="false">Capitalization!I22/'Ratio (data)'!H83</f>
        <v>0.821784470999672</v>
      </c>
      <c r="I83" s="74" t="n">
        <f aca="false">Capitalization!J22/'Ratio (data)'!I83</f>
        <v>0.774832769847229</v>
      </c>
      <c r="J83" s="75" t="n">
        <f aca="false">Capitalization!K22/'Ratio (data)'!J83</f>
        <v>0.774832769847229</v>
      </c>
      <c r="K83" s="96" t="n">
        <f aca="false">Capitalization!L22/'Ratio (data)'!K83</f>
        <v>0.752264825094397</v>
      </c>
      <c r="L83" s="31" t="n">
        <f aca="false">Capitalization!M22/'Ratio (data)'!L83</f>
        <v>0.752264825094397</v>
      </c>
      <c r="M83" s="96" t="n">
        <f aca="false">Capitalization!N22/'Ratio (data)'!M83</f>
        <v>0.752264825094397</v>
      </c>
      <c r="N83" s="96" t="n">
        <f aca="false">Capitalization!O22/'Ratio (data)'!N83</f>
        <v>0.752264825094397</v>
      </c>
      <c r="O83" s="31" t="n">
        <f aca="false">Capitalization!P22/'Ratio (data)'!O83</f>
        <v>0.752264825094397</v>
      </c>
      <c r="P83" s="76" t="n">
        <f aca="false">Capitalization!Q22/'Ratio (data)'!P83</f>
        <v>0.766077540168488</v>
      </c>
      <c r="Q83" s="75" t="n">
        <f aca="false">Capitalization!R22/'Ratio (data)'!Q83</f>
        <v>0.766077540168488</v>
      </c>
      <c r="R83" s="31" t="n">
        <f aca="false">Capitalization!S22/'Ratio (data)'!R83</f>
        <v>0.766077540168488</v>
      </c>
      <c r="S83" s="96" t="n">
        <f aca="false">Capitalization!T22/'Ratio (data)'!S83</f>
        <v>0.766077540168488</v>
      </c>
      <c r="T83" s="31" t="n">
        <f aca="false">Capitalization!U22/'Ratio (data)'!T83</f>
        <v>0.766077540168488</v>
      </c>
      <c r="U83" s="31" t="n">
        <f aca="false">Capitalization!V22/'Ratio (data)'!U83</f>
        <v>0.835328947338133</v>
      </c>
      <c r="V83" s="96" t="n">
        <f aca="false">Capitalization!W22/'Ratio (data)'!V83</f>
        <v>0.835328947338133</v>
      </c>
      <c r="W83" s="96" t="n">
        <f aca="false">Capitalization!X22/'Ratio (data)'!W83</f>
        <v>0.835328947338133</v>
      </c>
      <c r="X83" s="74" t="n">
        <f aca="false">Capitalization!Y22/'Ratio (data)'!X83</f>
        <v>0.835328947338133</v>
      </c>
      <c r="Y83" s="75" t="n">
        <f aca="false">Capitalization!Z22/'Ratio (data)'!Y83</f>
        <v>0.835328947338133</v>
      </c>
      <c r="Z83" s="31" t="n">
        <f aca="false">Capitalization!AA22/'Ratio (data)'!Z83</f>
        <v>0.835328947338133</v>
      </c>
      <c r="AA83" s="96" t="n">
        <f aca="false">Capitalization!AB22/'Ratio (data)'!AA83</f>
        <v>0.835328947338133</v>
      </c>
      <c r="AB83" s="31" t="n">
        <f aca="false">Capitalization!AC22/'Ratio (data)'!AB83</f>
        <v>0.950834777642475</v>
      </c>
      <c r="AC83" s="76" t="n">
        <f aca="false">Capitalization!AD22/'Ratio (data)'!AC83</f>
        <v>0.992290932211133</v>
      </c>
      <c r="AD83" s="75" t="n">
        <f aca="false">Capitalization!AE22/'Ratio (data)'!AD83</f>
        <v>0.992290932211133</v>
      </c>
      <c r="AE83" s="31" t="n">
        <f aca="false">Capitalization!AF22/'Ratio (data)'!AE83</f>
        <v>0.90481542137398</v>
      </c>
      <c r="AF83" s="96" t="n">
        <f aca="false">Capitalization!AG22/'Ratio (data)'!AF83</f>
        <v>0.90481542137398</v>
      </c>
      <c r="AG83" s="31" t="n">
        <f aca="false">Capitalization!AH22/'Ratio (data)'!AG83</f>
        <v>0.90481542137398</v>
      </c>
      <c r="AH83" s="31" t="n">
        <f aca="false">Capitalization!AI22/'Ratio (data)'!AH83</f>
        <v>0.947941629359197</v>
      </c>
      <c r="AI83" s="74" t="n">
        <f aca="false">Capitalization!AJ22/'Ratio (data)'!AI83</f>
        <v>0.947941629359197</v>
      </c>
      <c r="AJ83" s="75" t="n">
        <f aca="false">Capitalization!AK22/'Ratio (data)'!AJ83</f>
        <v>0.947941629359197</v>
      </c>
      <c r="AK83" s="31" t="n">
        <f aca="false">Capitalization!AL22/'Ratio (data)'!AK83</f>
        <v>0.947941629359197</v>
      </c>
      <c r="AL83" s="96" t="n">
        <f aca="false">Capitalization!AM22/'Ratio (data)'!AL83</f>
        <v>0.947941629359197</v>
      </c>
      <c r="AM83" s="31" t="n">
        <f aca="false">Capitalization!AN22/'Ratio (data)'!AM83</f>
        <v>0.947941629359197</v>
      </c>
      <c r="AN83" s="76" t="n">
        <f aca="false">Capitalization!AO22/'Ratio (data)'!AN83</f>
        <v>1.04104455028944</v>
      </c>
      <c r="AO83" s="31" t="n">
        <f aca="false">Capitalization!AP22/'Ratio (data)'!AO83</f>
        <v>1.13304383612898</v>
      </c>
      <c r="AP83" s="31" t="n">
        <f aca="false">Capitalization!AQ22/'Ratio (data)'!AP83</f>
        <v>1.13304383612898</v>
      </c>
      <c r="AQ83" s="96" t="n">
        <f aca="false">Capitalization!AR22/'Ratio (data)'!AQ83</f>
        <v>1.13304383612898</v>
      </c>
    </row>
    <row r="84" customFormat="false" ht="12.8" hidden="false" customHeight="false" outlineLevel="0" collapsed="false">
      <c r="A84" s="139" t="s">
        <v>195</v>
      </c>
      <c r="B84" s="72" t="n">
        <f aca="false">Capitalization!C23/'Ratio (data)'!B84</f>
        <v>0.710147425543796</v>
      </c>
      <c r="C84" s="72" t="n">
        <f aca="false">Capitalization!D23/'Ratio (data)'!C84</f>
        <v>0.702776381684356</v>
      </c>
      <c r="D84" s="31" t="n">
        <f aca="false">Capitalization!E23/'Ratio (data)'!D84</f>
        <v>0.702776381684356</v>
      </c>
      <c r="E84" s="96" t="n">
        <f aca="false">Capitalization!F23/'Ratio (data)'!E84</f>
        <v>0.702004177089558</v>
      </c>
      <c r="F84" s="31" t="n">
        <f aca="false">Capitalization!G23/'Ratio (data)'!F84</f>
        <v>0.772134394380804</v>
      </c>
      <c r="G84" s="96" t="n">
        <f aca="false">Capitalization!H23/'Ratio (data)'!G84</f>
        <v>0.787074257975702</v>
      </c>
      <c r="H84" s="31" t="n">
        <f aca="false">Capitalization!I23/'Ratio (data)'!H84</f>
        <v>0.786287970005697</v>
      </c>
      <c r="I84" s="74" t="n">
        <f aca="false">Capitalization!J23/'Ratio (data)'!I84</f>
        <v>0.786445227599698</v>
      </c>
      <c r="J84" s="75" t="n">
        <f aca="false">Capitalization!K23/'Ratio (data)'!J84</f>
        <v>0.841328127906095</v>
      </c>
      <c r="K84" s="96" t="n">
        <f aca="false">Capitalization!L23/'Ratio (data)'!K84</f>
        <v>0.853122447456181</v>
      </c>
      <c r="L84" s="31" t="n">
        <f aca="false">Capitalization!M23/'Ratio (data)'!L84</f>
        <v>0.853122447456181</v>
      </c>
      <c r="M84" s="96" t="n">
        <f aca="false">Capitalization!N23/'Ratio (data)'!M84</f>
        <v>0.853122447456181</v>
      </c>
      <c r="N84" s="96" t="n">
        <f aca="false">Capitalization!O23/'Ratio (data)'!N84</f>
        <v>0.853122447456181</v>
      </c>
      <c r="O84" s="31" t="n">
        <f aca="false">Capitalization!P23/'Ratio (data)'!O84</f>
        <v>0.864916767006266</v>
      </c>
      <c r="P84" s="76" t="n">
        <f aca="false">Capitalization!Q23/'Ratio (data)'!P84</f>
        <v>0.851159156718382</v>
      </c>
      <c r="Q84" s="75" t="n">
        <f aca="false">Capitalization!R23/'Ratio (data)'!Q84</f>
        <v>0.944012882905842</v>
      </c>
      <c r="R84" s="31" t="n">
        <f aca="false">Capitalization!S23/'Ratio (data)'!R84</f>
        <v>0.944012882905842</v>
      </c>
      <c r="S84" s="96" t="n">
        <f aca="false">Capitalization!T23/'Ratio (data)'!S84</f>
        <v>0.944012882905842</v>
      </c>
      <c r="T84" s="31" t="n">
        <f aca="false">Capitalization!U23/'Ratio (data)'!T84</f>
        <v>0.944012882905842</v>
      </c>
      <c r="U84" s="31" t="n">
        <f aca="false">Capitalization!V23/'Ratio (data)'!U84</f>
        <v>1.07431168393566</v>
      </c>
      <c r="V84" s="96" t="n">
        <f aca="false">Capitalization!W23/'Ratio (data)'!V84</f>
        <v>1.07431168393566</v>
      </c>
      <c r="W84" s="96" t="n">
        <f aca="false">Capitalization!X23/'Ratio (data)'!W84</f>
        <v>1.07431168393566</v>
      </c>
      <c r="X84" s="74" t="n">
        <f aca="false">Capitalization!Y23/'Ratio (data)'!X84</f>
        <v>1.07431168393566</v>
      </c>
      <c r="Y84" s="75" t="n">
        <f aca="false">Capitalization!Z23/'Ratio (data)'!Y84</f>
        <v>1.07431168393566</v>
      </c>
      <c r="Z84" s="31" t="n">
        <f aca="false">Capitalization!AA23/'Ratio (data)'!Z84</f>
        <v>1.19385649024686</v>
      </c>
      <c r="AA84" s="96" t="n">
        <f aca="false">Capitalization!AB23/'Ratio (data)'!AA84</f>
        <v>1.19385649024686</v>
      </c>
      <c r="AB84" s="31" t="n">
        <f aca="false">Capitalization!AC23/'Ratio (data)'!AB84</f>
        <v>1.1936796488174</v>
      </c>
      <c r="AC84" s="76" t="n">
        <f aca="false">Capitalization!AD23/'Ratio (data)'!AC84</f>
        <v>1.19489379526017</v>
      </c>
      <c r="AD84" s="75" t="n">
        <f aca="false">Capitalization!AE23/'Ratio (data)'!AD84</f>
        <v>1.19489379526017</v>
      </c>
      <c r="AE84" s="31" t="n">
        <f aca="false">Capitalization!AF23/'Ratio (data)'!AE84</f>
        <v>1.28086064996294</v>
      </c>
      <c r="AF84" s="96" t="n">
        <f aca="false">Capitalization!AG23/'Ratio (data)'!AF84</f>
        <v>1.28086064996294</v>
      </c>
      <c r="AG84" s="31" t="n">
        <f aca="false">Capitalization!AH23/'Ratio (data)'!AG84</f>
        <v>1.28086064996294</v>
      </c>
      <c r="AH84" s="31" t="n">
        <f aca="false">Capitalization!AI23/'Ratio (data)'!AH84</f>
        <v>1.27768215721041</v>
      </c>
      <c r="AI84" s="74" t="n">
        <f aca="false">Capitalization!AJ23/'Ratio (data)'!AI84</f>
        <v>1.27786364615319</v>
      </c>
      <c r="AJ84" s="75" t="n">
        <f aca="false">Capitalization!AK23/'Ratio (data)'!AJ84</f>
        <v>1.18566726321812</v>
      </c>
      <c r="AK84" s="31" t="n">
        <f aca="false">Capitalization!AL23/'Ratio (data)'!AK84</f>
        <v>1.08348898842985</v>
      </c>
      <c r="AL84" s="96" t="n">
        <f aca="false">Capitalization!AM23/'Ratio (data)'!AL84</f>
        <v>1.00526725408927</v>
      </c>
      <c r="AM84" s="31" t="n">
        <f aca="false">Capitalization!AN23/'Ratio (data)'!AM84</f>
        <v>0.975503067472435</v>
      </c>
      <c r="AN84" s="76" t="n">
        <f aca="false">Capitalization!AO23/'Ratio (data)'!AN84</f>
        <v>1.01090174528922</v>
      </c>
      <c r="AO84" s="31" t="n">
        <f aca="false">Capitalization!AP23/'Ratio (data)'!AO84</f>
        <v>0.884644554126622</v>
      </c>
      <c r="AP84" s="31" t="n">
        <f aca="false">Capitalization!AQ23/'Ratio (data)'!AP84</f>
        <v>0.861944524214774</v>
      </c>
      <c r="AQ84" s="96" t="n">
        <f aca="false">Capitalization!AR23/'Ratio (data)'!AQ84</f>
        <v>0.822360174533782</v>
      </c>
    </row>
    <row r="85" customFormat="false" ht="12.8" hidden="false" customHeight="false" outlineLevel="0" collapsed="false">
      <c r="A85" s="139" t="s">
        <v>196</v>
      </c>
      <c r="B85" s="72" t="n">
        <f aca="false">Capitalization!C24/'Ratio (data)'!B85</f>
        <v>0.178058949305675</v>
      </c>
      <c r="C85" s="72" t="n">
        <f aca="false">Capitalization!D24/'Ratio (data)'!C85</f>
        <v>0.1788503224137</v>
      </c>
      <c r="D85" s="31" t="n">
        <f aca="false">Capitalization!E24/'Ratio (data)'!D85</f>
        <v>0.1788503224137</v>
      </c>
      <c r="E85" s="96" t="n">
        <f aca="false">Capitalization!F24/'Ratio (data)'!E85</f>
        <v>0.233431321776353</v>
      </c>
      <c r="F85" s="31" t="n">
        <f aca="false">Capitalization!G24/'Ratio (data)'!F85</f>
        <v>0.233431321776353</v>
      </c>
      <c r="G85" s="96" t="n">
        <f aca="false">Capitalization!H24/'Ratio (data)'!G85</f>
        <v>0.233431321776353</v>
      </c>
      <c r="H85" s="31" t="n">
        <f aca="false">Capitalization!I24/'Ratio (data)'!H85</f>
        <v>0.232656660310281</v>
      </c>
      <c r="I85" s="74" t="n">
        <f aca="false">Capitalization!J24/'Ratio (data)'!I85</f>
        <v>0.23239843982159</v>
      </c>
      <c r="J85" s="75" t="n">
        <f aca="false">Capitalization!K24/'Ratio (data)'!J85</f>
        <v>0.23239843982159</v>
      </c>
      <c r="K85" s="96" t="n">
        <f aca="false">Capitalization!L24/'Ratio (data)'!K85</f>
        <v>0.23239843982159</v>
      </c>
      <c r="L85" s="31" t="n">
        <f aca="false">Capitalization!M24/'Ratio (data)'!L85</f>
        <v>0.23239843982159</v>
      </c>
      <c r="M85" s="96" t="n">
        <f aca="false">Capitalization!N24/'Ratio (data)'!M85</f>
        <v>0.23239843982159</v>
      </c>
      <c r="N85" s="96" t="n">
        <f aca="false">Capitalization!O24/'Ratio (data)'!N85</f>
        <v>0.23239843982159</v>
      </c>
      <c r="O85" s="31" t="n">
        <f aca="false">Capitalization!P24/'Ratio (data)'!O85</f>
        <v>0.23239843982159</v>
      </c>
      <c r="P85" s="76" t="n">
        <f aca="false">Capitalization!Q24/'Ratio (data)'!P85</f>
        <v>0.241812819938632</v>
      </c>
      <c r="Q85" s="75" t="n">
        <f aca="false">Capitalization!R24/'Ratio (data)'!Q85</f>
        <v>0.229156319531985</v>
      </c>
      <c r="R85" s="31" t="n">
        <f aca="false">Capitalization!S24/'Ratio (data)'!R85</f>
        <v>0.234379637160125</v>
      </c>
      <c r="S85" s="96" t="n">
        <f aca="false">Capitalization!T24/'Ratio (data)'!S85</f>
        <v>0.234379637160125</v>
      </c>
      <c r="T85" s="31" t="n">
        <f aca="false">Capitalization!U24/'Ratio (data)'!T85</f>
        <v>0.241076198221843</v>
      </c>
      <c r="U85" s="31" t="n">
        <f aca="false">Capitalization!V24/'Ratio (data)'!U85</f>
        <v>0.238932969294242</v>
      </c>
      <c r="V85" s="96" t="n">
        <f aca="false">Capitalization!W24/'Ratio (data)'!V85</f>
        <v>0.238932969294242</v>
      </c>
      <c r="W85" s="96" t="n">
        <f aca="false">Capitalization!X24/'Ratio (data)'!W85</f>
        <v>0.238932969294242</v>
      </c>
      <c r="X85" s="74" t="n">
        <f aca="false">Capitalization!Y24/'Ratio (data)'!X85</f>
        <v>0.238932969294242</v>
      </c>
      <c r="Y85" s="75" t="n">
        <f aca="false">Capitalization!Z24/'Ratio (data)'!Y85</f>
        <v>0.238932969294242</v>
      </c>
      <c r="Z85" s="31" t="n">
        <f aca="false">Capitalization!AA24/'Ratio (data)'!Z85</f>
        <v>0.239065746715355</v>
      </c>
      <c r="AA85" s="96" t="n">
        <f aca="false">Capitalization!AB24/'Ratio (data)'!AA85</f>
        <v>0.239065746715355</v>
      </c>
      <c r="AB85" s="31" t="n">
        <f aca="false">Capitalization!AC24/'Ratio (data)'!AB85</f>
        <v>0.242982680638212</v>
      </c>
      <c r="AC85" s="76" t="n">
        <f aca="false">Capitalization!AD24/'Ratio (data)'!AC85</f>
        <v>0.274128753715272</v>
      </c>
      <c r="AD85" s="75" t="n">
        <f aca="false">Capitalization!AE24/'Ratio (data)'!AD85</f>
        <v>0.203375878349829</v>
      </c>
      <c r="AE85" s="31" t="n">
        <f aca="false">Capitalization!AF24/'Ratio (data)'!AE85</f>
        <v>0.179599072797611</v>
      </c>
      <c r="AF85" s="96" t="n">
        <f aca="false">Capitalization!AG24/'Ratio (data)'!AF85</f>
        <v>0.169466341317552</v>
      </c>
      <c r="AG85" s="31" t="n">
        <f aca="false">Capitalization!AH24/'Ratio (data)'!AG85</f>
        <v>0.169466341317552</v>
      </c>
      <c r="AH85" s="31" t="n">
        <f aca="false">Capitalization!AI24/'Ratio (data)'!AH85</f>
        <v>0.198433300057479</v>
      </c>
      <c r="AI85" s="74" t="n">
        <f aca="false">Capitalization!AJ24/'Ratio (data)'!AI85</f>
        <v>0.198433300057479</v>
      </c>
      <c r="AJ85" s="75" t="n">
        <f aca="false">Capitalization!AK24/'Ratio (data)'!AJ85</f>
        <v>0.100585155546377</v>
      </c>
      <c r="AK85" s="31" t="n">
        <f aca="false">Capitalization!AL24/'Ratio (data)'!AK85</f>
        <v>0.112559578825708</v>
      </c>
      <c r="AL85" s="96" t="n">
        <f aca="false">Capitalization!AM24/'Ratio (data)'!AL85</f>
        <v>0.126655185657377</v>
      </c>
      <c r="AM85" s="31" t="n">
        <f aca="false">Capitalization!AN24/'Ratio (data)'!AM85</f>
        <v>0.16079939832244</v>
      </c>
      <c r="AN85" s="76" t="n">
        <f aca="false">Capitalization!AO24/'Ratio (data)'!AN85</f>
        <v>0.158732868596817</v>
      </c>
      <c r="AO85" s="31" t="n">
        <f aca="false">Capitalization!AP24/'Ratio (data)'!AO85</f>
        <v>0.158732868596817</v>
      </c>
      <c r="AP85" s="31" t="n">
        <f aca="false">Capitalization!AQ24/'Ratio (data)'!AP85</f>
        <v>0.192708457066689</v>
      </c>
      <c r="AQ85" s="96" t="n">
        <f aca="false">Capitalization!AR24/'Ratio (data)'!AQ85</f>
        <v>0.192708457066689</v>
      </c>
    </row>
    <row r="86" customFormat="false" ht="12.8" hidden="false" customHeight="false" outlineLevel="0" collapsed="false">
      <c r="A86" s="139" t="s">
        <v>197</v>
      </c>
      <c r="B86" s="72" t="n">
        <f aca="false">Capitalization!C25/'Ratio (data)'!B86</f>
        <v>1.43621403367072</v>
      </c>
      <c r="C86" s="72" t="n">
        <f aca="false">Capitalization!D25/'Ratio (data)'!C86</f>
        <v>1.30882202339373</v>
      </c>
      <c r="D86" s="31" t="n">
        <f aca="false">Capitalization!E25/'Ratio (data)'!D86</f>
        <v>1.30882202339373</v>
      </c>
      <c r="E86" s="96" t="n">
        <f aca="false">Capitalization!F25/'Ratio (data)'!E86</f>
        <v>1.30882202339373</v>
      </c>
      <c r="F86" s="31" t="n">
        <f aca="false">Capitalization!G25/'Ratio (data)'!F86</f>
        <v>1.39607682495331</v>
      </c>
      <c r="G86" s="96" t="n">
        <f aca="false">Capitalization!H25/'Ratio (data)'!G86</f>
        <v>1.16026178601726</v>
      </c>
      <c r="H86" s="31" t="n">
        <f aca="false">Capitalization!I25/'Ratio (data)'!H86</f>
        <v>1.16026178601726</v>
      </c>
      <c r="I86" s="74" t="n">
        <f aca="false">Capitalization!J25/'Ratio (data)'!I86</f>
        <v>1.16026178601726</v>
      </c>
      <c r="J86" s="75" t="n">
        <f aca="false">Capitalization!K25/'Ratio (data)'!J86</f>
        <v>0.966884821681047</v>
      </c>
      <c r="K86" s="96" t="n">
        <f aca="false">Capitalization!L25/'Ratio (data)'!K86</f>
        <v>0.966884821681047</v>
      </c>
      <c r="L86" s="31" t="n">
        <f aca="false">Capitalization!M25/'Ratio (data)'!L86</f>
        <v>0.836355370754106</v>
      </c>
      <c r="M86" s="96" t="n">
        <f aca="false">Capitalization!N25/'Ratio (data)'!M86</f>
        <v>0.836355370754106</v>
      </c>
      <c r="N86" s="96" t="n">
        <f aca="false">Capitalization!O25/'Ratio (data)'!N86</f>
        <v>0.836355370754106</v>
      </c>
      <c r="O86" s="31" t="n">
        <f aca="false">Capitalization!P25/'Ratio (data)'!O86</f>
        <v>0.698090841253716</v>
      </c>
      <c r="P86" s="76" t="n">
        <f aca="false">Capitalization!Q25/'Ratio (data)'!P86</f>
        <v>0.606776814112183</v>
      </c>
      <c r="Q86" s="75" t="n">
        <f aca="false">Capitalization!R25/'Ratio (data)'!Q86</f>
        <v>0.705945323897831</v>
      </c>
      <c r="R86" s="31" t="n">
        <f aca="false">Capitalization!S25/'Ratio (data)'!R86</f>
        <v>0.684935046400872</v>
      </c>
      <c r="S86" s="96" t="n">
        <f aca="false">Capitalization!T25/'Ratio (data)'!S86</f>
        <v>0.684935046400872</v>
      </c>
      <c r="T86" s="31" t="n">
        <f aca="false">Capitalization!U25/'Ratio (data)'!T86</f>
        <v>0.676530935402088</v>
      </c>
      <c r="U86" s="31" t="n">
        <f aca="false">Capitalization!V25/'Ratio (data)'!U86</f>
        <v>0.715083388816618</v>
      </c>
      <c r="V86" s="96" t="n">
        <f aca="false">Capitalization!W25/'Ratio (data)'!V86</f>
        <v>0.705674396858504</v>
      </c>
      <c r="W86" s="96" t="n">
        <f aca="false">Capitalization!X25/'Ratio (data)'!W86</f>
        <v>0.705674396858504</v>
      </c>
      <c r="X86" s="74" t="n">
        <f aca="false">Capitalization!Y25/'Ratio (data)'!X86</f>
        <v>0.6887382113339</v>
      </c>
      <c r="Y86" s="75" t="n">
        <f aca="false">Capitalization!Z25/'Ratio (data)'!Y86</f>
        <v>0.658629437067937</v>
      </c>
      <c r="Z86" s="31" t="n">
        <f aca="false">Capitalization!AA25/'Ratio (data)'!Z86</f>
        <v>0.658629437067937</v>
      </c>
      <c r="AA86" s="96" t="n">
        <f aca="false">Capitalization!AB25/'Ratio (data)'!AA86</f>
        <v>0.613466275668993</v>
      </c>
      <c r="AB86" s="31" t="n">
        <f aca="false">Capitalization!AC25/'Ratio (data)'!AB86</f>
        <v>0.621934368431295</v>
      </c>
      <c r="AC86" s="76" t="n">
        <f aca="false">Capitalization!AD25/'Ratio (data)'!AC86</f>
        <v>0.813131446599859</v>
      </c>
      <c r="AD86" s="75" t="n">
        <f aca="false">Capitalization!AE25/'Ratio (data)'!AD86</f>
        <v>0.736155002988405</v>
      </c>
      <c r="AE86" s="31" t="n">
        <f aca="false">Capitalization!AF25/'Ratio (data)'!AE86</f>
        <v>0.670020311998284</v>
      </c>
      <c r="AF86" s="96" t="n">
        <f aca="false">Capitalization!AG25/'Ratio (data)'!AF86</f>
        <v>0.670020311998284</v>
      </c>
      <c r="AG86" s="31" t="n">
        <f aca="false">Capitalization!AH25/'Ratio (data)'!AG86</f>
        <v>0.670020311998284</v>
      </c>
      <c r="AH86" s="31" t="n">
        <f aca="false">Capitalization!AI25/'Ratio (data)'!AH86</f>
        <v>0.77207706213343</v>
      </c>
      <c r="AI86" s="74" t="n">
        <f aca="false">Capitalization!AJ25/'Ratio (data)'!AI86</f>
        <v>0.77207706213343</v>
      </c>
      <c r="AJ86" s="75" t="n">
        <f aca="false">Capitalization!AK25/'Ratio (data)'!AJ86</f>
        <v>0.77207706213343</v>
      </c>
      <c r="AK86" s="31" t="n">
        <f aca="false">Capitalization!AL25/'Ratio (data)'!AK86</f>
        <v>0.77207706213343</v>
      </c>
      <c r="AL86" s="96" t="n">
        <f aca="false">Capitalization!AM25/'Ratio (data)'!AL86</f>
        <v>0.794303523013029</v>
      </c>
      <c r="AM86" s="31" t="n">
        <f aca="false">Capitalization!AN25/'Ratio (data)'!AM86</f>
        <v>0.794303523013029</v>
      </c>
      <c r="AN86" s="76" t="n">
        <f aca="false">Capitalization!AO25/'Ratio (data)'!AN86</f>
        <v>0.790256638775357</v>
      </c>
      <c r="AO86" s="31" t="n">
        <f aca="false">Capitalization!AP25/'Ratio (data)'!AO86</f>
        <v>0.754803736022772</v>
      </c>
      <c r="AP86" s="31" t="n">
        <f aca="false">Capitalization!AQ25/'Ratio (data)'!AP86</f>
        <v>0.640439533595079</v>
      </c>
      <c r="AQ86" s="96" t="n">
        <f aca="false">Capitalization!AR25/'Ratio (data)'!AQ86</f>
        <v>0.656450521934956</v>
      </c>
    </row>
    <row r="87" customFormat="false" ht="12.8" hidden="false" customHeight="false" outlineLevel="0" collapsed="false">
      <c r="A87" s="139" t="s">
        <v>198</v>
      </c>
      <c r="B87" s="72" t="n">
        <f aca="false">Capitalization!C26/'Ratio (data)'!B87</f>
        <v>1.2087945692681</v>
      </c>
      <c r="C87" s="72" t="n">
        <f aca="false">Capitalization!D26/'Ratio (data)'!C87</f>
        <v>1.2087945692681</v>
      </c>
      <c r="D87" s="31" t="n">
        <f aca="false">Capitalization!E26/'Ratio (data)'!D87</f>
        <v>1.2087945692681</v>
      </c>
      <c r="E87" s="96" t="n">
        <f aca="false">Capitalization!F26/'Ratio (data)'!E87</f>
        <v>1.2087945692681</v>
      </c>
      <c r="F87" s="31" t="n">
        <f aca="false">Capitalization!G26/'Ratio (data)'!F87</f>
        <v>1.2087945692681</v>
      </c>
      <c r="G87" s="96" t="n">
        <f aca="false">Capitalization!H26/'Ratio (data)'!G87</f>
        <v>1.27047488355769</v>
      </c>
      <c r="H87" s="31" t="n">
        <f aca="false">Capitalization!I26/'Ratio (data)'!H87</f>
        <v>1.27047488355769</v>
      </c>
      <c r="I87" s="74" t="n">
        <f aca="false">Capitalization!J26/'Ratio (data)'!I87</f>
        <v>1.27047488355769</v>
      </c>
      <c r="J87" s="75" t="n">
        <f aca="false">Capitalization!K26/'Ratio (data)'!J87</f>
        <v>0.889332418490386</v>
      </c>
      <c r="K87" s="96" t="n">
        <f aca="false">Capitalization!L26/'Ratio (data)'!K87</f>
        <v>1.27047488355769</v>
      </c>
      <c r="L87" s="31" t="n">
        <f aca="false">Capitalization!M26/'Ratio (data)'!L87</f>
        <v>1.27047488355769</v>
      </c>
      <c r="M87" s="96" t="n">
        <f aca="false">Capitalization!N26/'Ratio (data)'!M87</f>
        <v>1.27047488355769</v>
      </c>
      <c r="N87" s="96" t="n">
        <f aca="false">Capitalization!O26/'Ratio (data)'!N87</f>
        <v>1.27047488355769</v>
      </c>
      <c r="O87" s="31" t="n">
        <f aca="false">Capitalization!P26/'Ratio (data)'!O87</f>
        <v>1.27047488355769</v>
      </c>
      <c r="P87" s="76" t="n">
        <f aca="false">Capitalization!Q26/'Ratio (data)'!P87</f>
        <v>1.2014299097358</v>
      </c>
      <c r="Q87" s="75" t="n">
        <f aca="false">Capitalization!R26/'Ratio (data)'!Q87</f>
        <v>1.2014299097358</v>
      </c>
      <c r="R87" s="31" t="n">
        <f aca="false">Capitalization!S26/'Ratio (data)'!R87</f>
        <v>1.2014299097358</v>
      </c>
      <c r="S87" s="96" t="n">
        <f aca="false">Capitalization!T26/'Ratio (data)'!S87</f>
        <v>1.2014299097358</v>
      </c>
      <c r="T87" s="31" t="n">
        <f aca="false">Capitalization!U26/'Ratio (data)'!T87</f>
        <v>1.23003538377713</v>
      </c>
      <c r="U87" s="31" t="n">
        <f aca="false">Capitalization!V26/'Ratio (data)'!U87</f>
        <v>1.36455126836583</v>
      </c>
      <c r="V87" s="96" t="n">
        <f aca="false">Capitalization!W26/'Ratio (data)'!V87</f>
        <v>1.36455126836583</v>
      </c>
      <c r="W87" s="96" t="n">
        <f aca="false">Capitalization!X26/'Ratio (data)'!W87</f>
        <v>1.36455126836583</v>
      </c>
      <c r="X87" s="74" t="n">
        <f aca="false">Capitalization!Y26/'Ratio (data)'!X87</f>
        <v>1.36455126836583</v>
      </c>
      <c r="Y87" s="75" t="n">
        <f aca="false">Capitalization!Z26/'Ratio (data)'!Y87</f>
        <v>1.26935001708449</v>
      </c>
      <c r="Z87" s="31" t="n">
        <f aca="false">Capitalization!AA26/'Ratio (data)'!Z87</f>
        <v>1.26935001708449</v>
      </c>
      <c r="AA87" s="96" t="n">
        <f aca="false">Capitalization!AB26/'Ratio (data)'!AA87</f>
        <v>1.26998469209303</v>
      </c>
      <c r="AB87" s="31" t="n">
        <f aca="false">Capitalization!AC26/'Ratio (data)'!AB87</f>
        <v>1.26998469209303</v>
      </c>
      <c r="AC87" s="76" t="n">
        <f aca="false">Capitalization!AD26/'Ratio (data)'!AC87</f>
        <v>1.24188221402323</v>
      </c>
      <c r="AD87" s="75" t="n">
        <f aca="false">Capitalization!AE26/'Ratio (data)'!AD87</f>
        <v>1.17919850407004</v>
      </c>
      <c r="AE87" s="31" t="n">
        <f aca="false">Capitalization!AF26/'Ratio (data)'!AE87</f>
        <v>1.11775605570007</v>
      </c>
      <c r="AF87" s="96" t="n">
        <f aca="false">Capitalization!AG26/'Ratio (data)'!AF87</f>
        <v>1.11775605570007</v>
      </c>
      <c r="AG87" s="31" t="n">
        <f aca="false">Capitalization!AH26/'Ratio (data)'!AG87</f>
        <v>1.11775605570007</v>
      </c>
      <c r="AH87" s="31" t="n">
        <f aca="false">Capitalization!AI26/'Ratio (data)'!AH87</f>
        <v>1.00056367809038</v>
      </c>
      <c r="AI87" s="74" t="n">
        <f aca="false">Capitalization!AJ26/'Ratio (data)'!AI87</f>
        <v>1.00056367809038</v>
      </c>
      <c r="AJ87" s="75" t="n">
        <f aca="false">Capitalization!AK26/'Ratio (data)'!AJ87</f>
        <v>1.00056367809038</v>
      </c>
      <c r="AK87" s="31" t="n">
        <f aca="false">Capitalization!AL26/'Ratio (data)'!AK87</f>
        <v>1.00056367809038</v>
      </c>
      <c r="AL87" s="96" t="n">
        <f aca="false">Capitalization!AM26/'Ratio (data)'!AL87</f>
        <v>1.00056367809038</v>
      </c>
      <c r="AM87" s="31" t="n">
        <f aca="false">Capitalization!AN26/'Ratio (data)'!AM87</f>
        <v>1.00056367809038</v>
      </c>
      <c r="AN87" s="76" t="n">
        <f aca="false">Capitalization!AO26/'Ratio (data)'!AN87</f>
        <v>0.921034959662788</v>
      </c>
      <c r="AO87" s="31" t="n">
        <f aca="false">Capitalization!AP26/'Ratio (data)'!AO87</f>
        <v>0.921034959662788</v>
      </c>
      <c r="AP87" s="31" t="n">
        <f aca="false">Capitalization!AQ26/'Ratio (data)'!AP87</f>
        <v>0.869383360037057</v>
      </c>
      <c r="AQ87" s="96" t="n">
        <f aca="false">Capitalization!AR26/'Ratio (data)'!AQ87</f>
        <v>0.869383360037057</v>
      </c>
    </row>
    <row r="88" customFormat="false" ht="12.8" hidden="false" customHeight="false" outlineLevel="0" collapsed="false">
      <c r="A88" s="139" t="s">
        <v>28</v>
      </c>
      <c r="B88" s="72" t="n">
        <f aca="false">Capitalization!C27/'Ratio (data)'!B88</f>
        <v>0.692438639192379</v>
      </c>
      <c r="C88" s="72" t="n">
        <f aca="false">Capitalization!D27/'Ratio (data)'!C88</f>
        <v>0.692438639192379</v>
      </c>
      <c r="D88" s="31" t="n">
        <f aca="false">Capitalization!E27/'Ratio (data)'!D88</f>
        <v>0.692438639192379</v>
      </c>
      <c r="E88" s="96" t="n">
        <f aca="false">Capitalization!F27/'Ratio (data)'!E88</f>
        <v>0.692438639192379</v>
      </c>
      <c r="F88" s="31" t="n">
        <f aca="false">Capitalization!G27/'Ratio (data)'!F88</f>
        <v>0.692438639192379</v>
      </c>
      <c r="G88" s="96" t="n">
        <f aca="false">Capitalization!H27/'Ratio (data)'!G88</f>
        <v>0.734283949349819</v>
      </c>
      <c r="H88" s="31" t="n">
        <f aca="false">Capitalization!I27/'Ratio (data)'!H88</f>
        <v>0.720297588409823</v>
      </c>
      <c r="I88" s="74" t="n">
        <f aca="false">Capitalization!J27/'Ratio (data)'!I88</f>
        <v>0.699318046999828</v>
      </c>
      <c r="J88" s="75" t="n">
        <f aca="false">Capitalization!K27/'Ratio (data)'!J88</f>
        <v>0.699318046999828</v>
      </c>
      <c r="K88" s="96" t="n">
        <f aca="false">Capitalization!L27/'Ratio (data)'!K88</f>
        <v>0.699318046999828</v>
      </c>
      <c r="L88" s="31" t="n">
        <f aca="false">Capitalization!M27/'Ratio (data)'!L88</f>
        <v>0.699318046999828</v>
      </c>
      <c r="M88" s="96" t="n">
        <f aca="false">Capitalization!N27/'Ratio (data)'!M88</f>
        <v>0.699318046999828</v>
      </c>
      <c r="N88" s="96" t="n">
        <f aca="false">Capitalization!O27/'Ratio (data)'!N88</f>
        <v>0.454556730549888</v>
      </c>
      <c r="O88" s="31" t="n">
        <f aca="false">Capitalization!P27/'Ratio (data)'!O88</f>
        <v>0.454556730549888</v>
      </c>
      <c r="P88" s="76" t="n">
        <f aca="false">Capitalization!Q27/'Ratio (data)'!P88</f>
        <v>0.723661233868147</v>
      </c>
      <c r="Q88" s="75" t="n">
        <f aca="false">Capitalization!R27/'Ratio (data)'!Q88</f>
        <v>0.723661233868147</v>
      </c>
      <c r="R88" s="31" t="n">
        <f aca="false">Capitalization!S27/'Ratio (data)'!R88</f>
        <v>0.723661233868147</v>
      </c>
      <c r="S88" s="96" t="n">
        <f aca="false">Capitalization!T27/'Ratio (data)'!S88</f>
        <v>0.723661233868147</v>
      </c>
      <c r="T88" s="31" t="n">
        <f aca="false">Capitalization!U27/'Ratio (data)'!T88</f>
        <v>0.723661233868147</v>
      </c>
      <c r="U88" s="31" t="n">
        <f aca="false">Capitalization!V27/'Ratio (data)'!U88</f>
        <v>0.699642099420644</v>
      </c>
      <c r="V88" s="96" t="n">
        <f aca="false">Capitalization!W27/'Ratio (data)'!V88</f>
        <v>0.699642099420644</v>
      </c>
      <c r="W88" s="96" t="n">
        <f aca="false">Capitalization!X27/'Ratio (data)'!W88</f>
        <v>0.699642099420644</v>
      </c>
      <c r="X88" s="74" t="n">
        <f aca="false">Capitalization!Y27/'Ratio (data)'!X88</f>
        <v>0.699642099420644</v>
      </c>
      <c r="Y88" s="75" t="n">
        <f aca="false">Capitalization!Z27/'Ratio (data)'!Y88</f>
        <v>0.699642099420644</v>
      </c>
      <c r="Z88" s="31" t="n">
        <f aca="false">Capitalization!AA27/'Ratio (data)'!Z88</f>
        <v>0.567891314464808</v>
      </c>
      <c r="AA88" s="96" t="n">
        <f aca="false">Capitalization!AB27/'Ratio (data)'!AA88</f>
        <v>0.567891314464808</v>
      </c>
      <c r="AB88" s="31" t="n">
        <f aca="false">Capitalization!AC27/'Ratio (data)'!AB88</f>
        <v>0.567891314464808</v>
      </c>
      <c r="AC88" s="76" t="n">
        <f aca="false">Capitalization!AD27/'Ratio (data)'!AC88</f>
        <v>0.480807663221241</v>
      </c>
      <c r="AD88" s="75" t="n">
        <f aca="false">Capitalization!AE27/'Ratio (data)'!AD88</f>
        <v>0.480807663221241</v>
      </c>
      <c r="AE88" s="31" t="n">
        <f aca="false">Capitalization!AF27/'Ratio (data)'!AE88</f>
        <v>0.559660119989524</v>
      </c>
      <c r="AF88" s="96" t="n">
        <f aca="false">Capitalization!AG27/'Ratio (data)'!AF88</f>
        <v>0.576969195865489</v>
      </c>
      <c r="AG88" s="31" t="n">
        <f aca="false">Capitalization!AH27/'Ratio (data)'!AG88</f>
        <v>0.615433808923188</v>
      </c>
      <c r="AH88" s="31" t="n">
        <f aca="false">Capitalization!AI27/'Ratio (data)'!AH88</f>
        <v>0.663753210916272</v>
      </c>
      <c r="AI88" s="74" t="n">
        <f aca="false">Capitalization!AJ27/'Ratio (data)'!AI88</f>
        <v>0.663753210916272</v>
      </c>
      <c r="AJ88" s="75" t="n">
        <f aca="false">Capitalization!AK27/'Ratio (data)'!AJ88</f>
        <v>0.589313598477064</v>
      </c>
      <c r="AK88" s="31" t="n">
        <f aca="false">Capitalization!AL27/'Ratio (data)'!AK88</f>
        <v>0.609991268599066</v>
      </c>
      <c r="AL88" s="96" t="n">
        <f aca="false">Capitalization!AM27/'Ratio (data)'!AL88</f>
        <v>0.612059035611266</v>
      </c>
      <c r="AM88" s="31" t="n">
        <f aca="false">Capitalization!AN27/'Ratio (data)'!AM88</f>
        <v>0.779548163599484</v>
      </c>
      <c r="AN88" s="76" t="n">
        <f aca="false">Capitalization!AO27/'Ratio (data)'!AN88</f>
        <v>0.853906077406807</v>
      </c>
      <c r="AO88" s="31" t="n">
        <f aca="false">Capitalization!AP27/'Ratio (data)'!AO88</f>
        <v>0.790247269579564</v>
      </c>
      <c r="AP88" s="31" t="n">
        <f aca="false">Capitalization!AQ27/'Ratio (data)'!AP88</f>
        <v>0.768295956535688</v>
      </c>
      <c r="AQ88" s="96" t="n">
        <f aca="false">Capitalization!AR27/'Ratio (data)'!AQ88</f>
        <v>0.669515047838242</v>
      </c>
    </row>
    <row r="89" customFormat="false" ht="12.8" hidden="false" customHeight="false" outlineLevel="0" collapsed="false">
      <c r="A89" s="139" t="s">
        <v>199</v>
      </c>
      <c r="B89" s="72" t="n">
        <f aca="false">Capitalization!C28/'Ratio (data)'!B89</f>
        <v>0.359209984138721</v>
      </c>
      <c r="C89" s="72" t="n">
        <f aca="false">Capitalization!D28/'Ratio (data)'!C89</f>
        <v>0.359209984138721</v>
      </c>
      <c r="D89" s="31" t="n">
        <f aca="false">Capitalization!E28/'Ratio (data)'!D89</f>
        <v>0.359209984138721</v>
      </c>
      <c r="E89" s="96" t="n">
        <f aca="false">Capitalization!F28/'Ratio (data)'!E89</f>
        <v>0.310300275171219</v>
      </c>
      <c r="F89" s="31" t="n">
        <f aca="false">Capitalization!G28/'Ratio (data)'!F89</f>
        <v>0.310300275171219</v>
      </c>
      <c r="G89" s="96" t="n">
        <f aca="false">Capitalization!H28/'Ratio (data)'!G89</f>
        <v>0.326892362289837</v>
      </c>
      <c r="H89" s="31" t="n">
        <f aca="false">Capitalization!I28/'Ratio (data)'!H89</f>
        <v>0.326892362289837</v>
      </c>
      <c r="I89" s="74" t="n">
        <f aca="false">Capitalization!J28/'Ratio (data)'!I89</f>
        <v>0.326892362289837</v>
      </c>
      <c r="J89" s="75" t="n">
        <f aca="false">Capitalization!K28/'Ratio (data)'!J89</f>
        <v>0.326892362289837</v>
      </c>
      <c r="K89" s="96" t="n">
        <f aca="false">Capitalization!L28/'Ratio (data)'!K89</f>
        <v>0.326892362289837</v>
      </c>
      <c r="L89" s="31" t="n">
        <f aca="false">Capitalization!M28/'Ratio (data)'!L89</f>
        <v>0.326892362289837</v>
      </c>
      <c r="M89" s="96" t="n">
        <f aca="false">Capitalization!N28/'Ratio (data)'!M89</f>
        <v>0.326892362289837</v>
      </c>
      <c r="N89" s="96" t="n">
        <f aca="false">Capitalization!O28/'Ratio (data)'!N89</f>
        <v>0.326892362289837</v>
      </c>
      <c r="O89" s="31" t="n">
        <f aca="false">Capitalization!P28/'Ratio (data)'!O89</f>
        <v>0.326892362289837</v>
      </c>
      <c r="P89" s="76" t="n">
        <f aca="false">Capitalization!Q28/'Ratio (data)'!P89</f>
        <v>0.349923367601848</v>
      </c>
      <c r="Q89" s="75" t="n">
        <f aca="false">Capitalization!R28/'Ratio (data)'!Q89</f>
        <v>0.349923367601848</v>
      </c>
      <c r="R89" s="31" t="n">
        <f aca="false">Capitalization!S28/'Ratio (data)'!R89</f>
        <v>0.349923367601848</v>
      </c>
      <c r="S89" s="96" t="n">
        <f aca="false">Capitalization!T28/'Ratio (data)'!S89</f>
        <v>0.349923367601848</v>
      </c>
      <c r="T89" s="31" t="n">
        <f aca="false">Capitalization!U28/'Ratio (data)'!T89</f>
        <v>0.349923367601848</v>
      </c>
      <c r="U89" s="31" t="n">
        <f aca="false">Capitalization!V28/'Ratio (data)'!U89</f>
        <v>0.374181633292211</v>
      </c>
      <c r="V89" s="96" t="n">
        <f aca="false">Capitalization!W28/'Ratio (data)'!V89</f>
        <v>0.374181633292211</v>
      </c>
      <c r="W89" s="96" t="n">
        <f aca="false">Capitalization!X28/'Ratio (data)'!W89</f>
        <v>0.374181633292211</v>
      </c>
      <c r="X89" s="74" t="n">
        <f aca="false">Capitalization!Y28/'Ratio (data)'!X89</f>
        <v>0.374181633292211</v>
      </c>
      <c r="Y89" s="75" t="n">
        <f aca="false">Capitalization!Z28/'Ratio (data)'!Y89</f>
        <v>0.374181633292211</v>
      </c>
      <c r="Z89" s="31" t="n">
        <f aca="false">Capitalization!AA28/'Ratio (data)'!Z89</f>
        <v>0.295976468777761</v>
      </c>
      <c r="AA89" s="96" t="n">
        <f aca="false">Capitalization!AB28/'Ratio (data)'!AA89</f>
        <v>0.295976468777761</v>
      </c>
      <c r="AB89" s="31" t="n">
        <f aca="false">Capitalization!AC28/'Ratio (data)'!AB89</f>
        <v>0.295976468777761</v>
      </c>
      <c r="AC89" s="76" t="n">
        <f aca="false">Capitalization!AD28/'Ratio (data)'!AC89</f>
        <v>0.320207404847477</v>
      </c>
      <c r="AD89" s="75" t="n">
        <f aca="false">Capitalization!AE28/'Ratio (data)'!AD89</f>
        <v>0.320207404847477</v>
      </c>
      <c r="AE89" s="31" t="n">
        <f aca="false">Capitalization!AF28/'Ratio (data)'!AE89</f>
        <v>0.262934535687765</v>
      </c>
      <c r="AF89" s="96" t="n">
        <f aca="false">Capitalization!AG28/'Ratio (data)'!AF89</f>
        <v>0.262934535687765</v>
      </c>
      <c r="AG89" s="31" t="n">
        <f aca="false">Capitalization!AH28/'Ratio (data)'!AG89</f>
        <v>0.267131088331793</v>
      </c>
      <c r="AH89" s="31" t="n">
        <f aca="false">Capitalization!AI28/'Ratio (data)'!AH89</f>
        <v>0.267131088331793</v>
      </c>
      <c r="AI89" s="74" t="n">
        <f aca="false">Capitalization!AJ28/'Ratio (data)'!AI89</f>
        <v>0.267131088331793</v>
      </c>
      <c r="AJ89" s="75" t="n">
        <f aca="false">Capitalization!AK28/'Ratio (data)'!AJ89</f>
        <v>0.267131088331793</v>
      </c>
      <c r="AK89" s="31" t="n">
        <f aca="false">Capitalization!AL28/'Ratio (data)'!AK89</f>
        <v>0.267131088331793</v>
      </c>
      <c r="AL89" s="96" t="n">
        <f aca="false">Capitalization!AM28/'Ratio (data)'!AL89</f>
        <v>0.267131088331793</v>
      </c>
      <c r="AM89" s="31" t="n">
        <f aca="false">Capitalization!AN28/'Ratio (data)'!AM89</f>
        <v>0.267131088331793</v>
      </c>
      <c r="AN89" s="76" t="n">
        <f aca="false">Capitalization!AO28/'Ratio (data)'!AN89</f>
        <v>0.29273986761695</v>
      </c>
      <c r="AO89" s="31" t="n">
        <f aca="false">Capitalization!AP28/'Ratio (data)'!AO89</f>
        <v>0.29273986761695</v>
      </c>
      <c r="AP89" s="31" t="n">
        <f aca="false">Capitalization!AQ28/'Ratio (data)'!AP89</f>
        <v>0.29273986761695</v>
      </c>
      <c r="AQ89" s="96" t="n">
        <f aca="false">Capitalization!AR28/'Ratio (data)'!AQ89</f>
        <v>0.29273986761695</v>
      </c>
    </row>
    <row r="90" customFormat="false" ht="12.8" hidden="false" customHeight="false" outlineLevel="0" collapsed="false">
      <c r="A90" s="139" t="s">
        <v>200</v>
      </c>
      <c r="B90" s="72" t="n">
        <f aca="false">Capitalization!C29/'Ratio (data)'!B90</f>
        <v>0.185372757581103</v>
      </c>
      <c r="C90" s="72" t="n">
        <f aca="false">Capitalization!D29/'Ratio (data)'!C90</f>
        <v>0.185372757581103</v>
      </c>
      <c r="D90" s="31" t="n">
        <f aca="false">Capitalization!E29/'Ratio (data)'!D90</f>
        <v>0.185372757581103</v>
      </c>
      <c r="E90" s="96" t="n">
        <f aca="false">Capitalization!F29/'Ratio (data)'!E90</f>
        <v>0.185372757581103</v>
      </c>
      <c r="F90" s="31" t="n">
        <f aca="false">Capitalization!G29/'Ratio (data)'!F90</f>
        <v>0.185372757581103</v>
      </c>
      <c r="G90" s="96" t="n">
        <f aca="false">Capitalization!H29/'Ratio (data)'!G90</f>
        <v>0.187133837106006</v>
      </c>
      <c r="H90" s="31" t="n">
        <f aca="false">Capitalization!I29/'Ratio (data)'!H90</f>
        <v>0.187133837106006</v>
      </c>
      <c r="I90" s="74" t="n">
        <f aca="false">Capitalization!J29/'Ratio (data)'!I90</f>
        <v>0.177412598814785</v>
      </c>
      <c r="J90" s="75" t="n">
        <f aca="false">Capitalization!K29/'Ratio (data)'!J90</f>
        <v>0.17822270200572</v>
      </c>
      <c r="K90" s="96" t="n">
        <f aca="false">Capitalization!L29/'Ratio (data)'!K90</f>
        <v>0.166881257332629</v>
      </c>
      <c r="L90" s="31" t="n">
        <f aca="false">Capitalization!M29/'Ratio (data)'!L90</f>
        <v>0.166881257332629</v>
      </c>
      <c r="M90" s="96" t="n">
        <f aca="false">Capitalization!N29/'Ratio (data)'!M90</f>
        <v>0.166881257332629</v>
      </c>
      <c r="N90" s="96" t="n">
        <f aca="false">Capitalization!O29/'Ratio (data)'!N90</f>
        <v>0.166881257332629</v>
      </c>
      <c r="O90" s="31" t="n">
        <f aca="false">Capitalization!P29/'Ratio (data)'!O90</f>
        <v>0.154729709468602</v>
      </c>
      <c r="P90" s="76" t="n">
        <f aca="false">Capitalization!Q29/'Ratio (data)'!P90</f>
        <v>0.191732100964624</v>
      </c>
      <c r="Q90" s="75" t="n">
        <f aca="false">Capitalization!R29/'Ratio (data)'!Q90</f>
        <v>0.196648308681665</v>
      </c>
      <c r="R90" s="31" t="n">
        <f aca="false">Capitalization!S29/'Ratio (data)'!R90</f>
        <v>0.196648308681665</v>
      </c>
      <c r="S90" s="96" t="n">
        <f aca="false">Capitalization!T29/'Ratio (data)'!S90</f>
        <v>0.200581274855299</v>
      </c>
      <c r="T90" s="31" t="n">
        <f aca="false">Capitalization!U29/'Ratio (data)'!T90</f>
        <v>0.186815893247582</v>
      </c>
      <c r="U90" s="31" t="n">
        <f aca="false">Capitalization!V29/'Ratio (data)'!U90</f>
        <v>0.184367457175811</v>
      </c>
      <c r="V90" s="96" t="n">
        <f aca="false">Capitalization!W29/'Ratio (data)'!V90</f>
        <v>0.184367457175811</v>
      </c>
      <c r="W90" s="96" t="n">
        <f aca="false">Capitalization!X29/'Ratio (data)'!W90</f>
        <v>0.184367457175811</v>
      </c>
      <c r="X90" s="74" t="n">
        <f aca="false">Capitalization!Y29/'Ratio (data)'!X90</f>
        <v>0.208285397566186</v>
      </c>
      <c r="Y90" s="75" t="n">
        <f aca="false">Capitalization!Z29/'Ratio (data)'!Y90</f>
        <v>0.162442678484633</v>
      </c>
      <c r="Z90" s="31" t="n">
        <f aca="false">Capitalization!AA29/'Ratio (data)'!Z90</f>
        <v>0.190346942273405</v>
      </c>
      <c r="AA90" s="96" t="n">
        <f aca="false">Capitalization!AB29/'Ratio (data)'!AA90</f>
        <v>0.249145212399744</v>
      </c>
      <c r="AB90" s="31" t="n">
        <f aca="false">Capitalization!AC29/'Ratio (data)'!AB90</f>
        <v>0.249145212399744</v>
      </c>
      <c r="AC90" s="76" t="n">
        <f aca="false">Capitalization!AD29/'Ratio (data)'!AC90</f>
        <v>0.247201061820026</v>
      </c>
      <c r="AD90" s="75" t="n">
        <f aca="false">Capitalization!AE29/'Ratio (data)'!AD90</f>
        <v>0.1888616112305</v>
      </c>
      <c r="AE90" s="31" t="n">
        <f aca="false">Capitalization!AF29/'Ratio (data)'!AE90</f>
        <v>0.1888616112305</v>
      </c>
      <c r="AF90" s="96" t="n">
        <f aca="false">Capitalization!AG29/'Ratio (data)'!AF90</f>
        <v>0.1888616112305</v>
      </c>
      <c r="AG90" s="31" t="n">
        <f aca="false">Capitalization!AH29/'Ratio (data)'!AG90</f>
        <v>0.197760849456021</v>
      </c>
      <c r="AH90" s="31" t="n">
        <f aca="false">Capitalization!AI29/'Ratio (data)'!AH90</f>
        <v>0.203876748077897</v>
      </c>
      <c r="AI90" s="74" t="n">
        <f aca="false">Capitalization!AJ29/'Ratio (data)'!AI90</f>
        <v>0.203876748077897</v>
      </c>
      <c r="AJ90" s="75" t="n">
        <f aca="false">Capitalization!AK29/'Ratio (data)'!AJ90</f>
        <v>0.239555178991529</v>
      </c>
      <c r="AK90" s="31" t="n">
        <f aca="false">Capitalization!AL29/'Ratio (data)'!AK90</f>
        <v>0.203876748077897</v>
      </c>
      <c r="AL90" s="96" t="n">
        <f aca="false">Capitalization!AM29/'Ratio (data)'!AL90</f>
        <v>0.203876748077897</v>
      </c>
      <c r="AM90" s="31" t="n">
        <f aca="false">Capitalization!AN29/'Ratio (data)'!AM90</f>
        <v>0.208973666779844</v>
      </c>
      <c r="AN90" s="76" t="n">
        <f aca="false">Capitalization!AO29/'Ratio (data)'!AN90</f>
        <v>0.217310763427269</v>
      </c>
      <c r="AO90" s="31" t="n">
        <f aca="false">Capitalization!AP29/'Ratio (data)'!AO90</f>
        <v>0.165815321856826</v>
      </c>
      <c r="AP90" s="31" t="n">
        <f aca="false">Capitalization!AQ29/'Ratio (data)'!AP90</f>
        <v>0.245118301875308</v>
      </c>
      <c r="AQ90" s="96" t="n">
        <f aca="false">Capitalization!AR29/'Ratio (data)'!AQ90</f>
        <v>0.236879031224037</v>
      </c>
    </row>
    <row r="91" customFormat="false" ht="12.8" hidden="false" customHeight="false" outlineLevel="0" collapsed="false">
      <c r="A91" s="1" t="s">
        <v>103</v>
      </c>
      <c r="B91" s="203" t="s">
        <v>44</v>
      </c>
      <c r="C91" s="44" t="s">
        <v>49</v>
      </c>
      <c r="D91" s="23" t="s">
        <v>42</v>
      </c>
      <c r="E91" s="28" t="s">
        <v>41</v>
      </c>
      <c r="F91" s="23" t="s">
        <v>40</v>
      </c>
      <c r="G91" s="28" t="s">
        <v>38</v>
      </c>
      <c r="H91" s="23" t="s">
        <v>37</v>
      </c>
      <c r="I91" s="45" t="s">
        <v>36</v>
      </c>
      <c r="J91" s="46" t="s">
        <v>35</v>
      </c>
      <c r="K91" s="24" t="s">
        <v>34</v>
      </c>
      <c r="L91" s="23" t="s">
        <v>33</v>
      </c>
      <c r="M91" s="19" t="s">
        <v>32</v>
      </c>
      <c r="N91" s="19" t="s">
        <v>50</v>
      </c>
      <c r="O91" s="23" t="s">
        <v>51</v>
      </c>
      <c r="P91" s="47" t="s">
        <v>52</v>
      </c>
      <c r="Q91" s="46" t="s">
        <v>53</v>
      </c>
      <c r="R91" s="23" t="s">
        <v>54</v>
      </c>
      <c r="S91" s="19" t="s">
        <v>55</v>
      </c>
      <c r="T91" s="23" t="s">
        <v>56</v>
      </c>
      <c r="U91" s="23" t="s">
        <v>57</v>
      </c>
      <c r="V91" s="28" t="s">
        <v>58</v>
      </c>
      <c r="W91" s="28" t="s">
        <v>59</v>
      </c>
      <c r="X91" s="45" t="s">
        <v>60</v>
      </c>
      <c r="Y91" s="46" t="s">
        <v>61</v>
      </c>
      <c r="Z91" s="23" t="s">
        <v>62</v>
      </c>
      <c r="AA91" s="19" t="s">
        <v>63</v>
      </c>
      <c r="AB91" s="23" t="s">
        <v>64</v>
      </c>
      <c r="AC91" s="47" t="s">
        <v>65</v>
      </c>
      <c r="AD91" s="46" t="s">
        <v>66</v>
      </c>
      <c r="AE91" s="23" t="s">
        <v>67</v>
      </c>
      <c r="AF91" s="19" t="s">
        <v>68</v>
      </c>
      <c r="AG91" s="23" t="s">
        <v>69</v>
      </c>
      <c r="AH91" s="23" t="s">
        <v>70</v>
      </c>
      <c r="AI91" s="45" t="s">
        <v>71</v>
      </c>
      <c r="AJ91" s="46" t="s">
        <v>72</v>
      </c>
      <c r="AK91" s="23" t="s">
        <v>73</v>
      </c>
      <c r="AL91" s="24" t="s">
        <v>74</v>
      </c>
      <c r="AM91" s="23" t="s">
        <v>75</v>
      </c>
      <c r="AN91" s="47" t="s">
        <v>76</v>
      </c>
      <c r="AO91" s="46" t="s">
        <v>77</v>
      </c>
      <c r="AP91" s="23" t="s">
        <v>78</v>
      </c>
      <c r="AQ91" s="24" t="s">
        <v>79</v>
      </c>
    </row>
    <row r="92" customFormat="false" ht="12.8" hidden="false" customHeight="false" outlineLevel="0" collapsed="false">
      <c r="A92" s="16" t="s">
        <v>103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 customFormat="false" ht="12.8" hidden="true" customHeight="false" outlineLevel="0" collapsed="false">
      <c r="A93" s="139" t="s">
        <v>24</v>
      </c>
      <c r="B93" s="72" t="n">
        <f aca="false">'Ratio (data)'!B123/'Ratio (data)'!B93</f>
        <v>29.1184610210497</v>
      </c>
      <c r="C93" s="72" t="n">
        <f aca="false">'Ratio (data)'!C123/'Ratio (data)'!C93</f>
        <v>28.862764374692</v>
      </c>
      <c r="D93" s="31" t="n">
        <f aca="false">'Ratio (data)'!D123/'Ratio (data)'!D93</f>
        <v>29.2562886187955</v>
      </c>
      <c r="E93" s="96" t="n">
        <f aca="false">'Ratio (data)'!E123/'Ratio (data)'!E93</f>
        <v>28.866755121733</v>
      </c>
      <c r="F93" s="31" t="n">
        <f aca="false">'Ratio (data)'!F123/'Ratio (data)'!F93</f>
        <v>28.0153781019106</v>
      </c>
      <c r="G93" s="96" t="n">
        <f aca="false">'Ratio (data)'!G123/'Ratio (data)'!G93</f>
        <v>26.2370213092151</v>
      </c>
      <c r="H93" s="31" t="n">
        <f aca="false">'Ratio (data)'!H123/'Ratio (data)'!H93</f>
        <v>26.2093315903009</v>
      </c>
      <c r="I93" s="74" t="n">
        <f aca="false">'Ratio (data)'!I123/'Ratio (data)'!I93</f>
        <v>40.3477931645815</v>
      </c>
      <c r="J93" s="75" t="n">
        <f aca="false">'Ratio (data)'!J123/'Ratio (data)'!J93</f>
        <v>38.3803425345018</v>
      </c>
      <c r="K93" s="96" t="n">
        <f aca="false">'Ratio (data)'!K123/'Ratio (data)'!K93</f>
        <v>37.3946634098314</v>
      </c>
      <c r="L93" s="31" t="n">
        <f aca="false">'Ratio (data)'!L123/'Ratio (data)'!L93</f>
        <v>37.0042977939833</v>
      </c>
      <c r="M93" s="96" t="n">
        <f aca="false">'Ratio (data)'!M123/'Ratio (data)'!M93</f>
        <v>36.9641198588212</v>
      </c>
      <c r="N93" s="96" t="n">
        <f aca="false">'Ratio (data)'!N123/'Ratio (data)'!N93</f>
        <v>36.8628071014249</v>
      </c>
      <c r="O93" s="31" t="n">
        <f aca="false">'Ratio (data)'!O123/'Ratio (data)'!O93</f>
        <v>36.3775251759366</v>
      </c>
      <c r="P93" s="76" t="n">
        <f aca="false">'Ratio (data)'!P123/'Ratio (data)'!P93</f>
        <v>36.9279922146175</v>
      </c>
      <c r="Q93" s="75" t="n">
        <f aca="false">'Ratio (data)'!Q123/'Ratio (data)'!Q93</f>
        <v>33.2686621600517</v>
      </c>
      <c r="R93" s="31" t="n">
        <f aca="false">'Ratio (data)'!R123/'Ratio (data)'!R93</f>
        <v>32.8306032356697</v>
      </c>
      <c r="S93" s="96" t="n">
        <f aca="false">'Ratio (data)'!S123/'Ratio (data)'!S93</f>
        <v>33.0609722794451</v>
      </c>
      <c r="T93" s="31" t="n">
        <f aca="false">'Ratio (data)'!T123/'Ratio (data)'!T93</f>
        <v>33.2493456161117</v>
      </c>
      <c r="U93" s="31" t="n">
        <f aca="false">'Ratio (data)'!U123/'Ratio (data)'!U93</f>
        <v>33.9574806364403</v>
      </c>
      <c r="V93" s="96" t="n">
        <f aca="false">'Ratio (data)'!V123/'Ratio (data)'!V93</f>
        <v>36.1736484294541</v>
      </c>
      <c r="W93" s="96" t="n">
        <f aca="false">'Ratio (data)'!W123/'Ratio (data)'!W93</f>
        <v>35.34891833434</v>
      </c>
      <c r="X93" s="74" t="n">
        <f aca="false">'Ratio (data)'!X123/'Ratio (data)'!X93</f>
        <v>36.4082578566559</v>
      </c>
      <c r="Y93" s="75" t="n">
        <f aca="false">'Ratio (data)'!Y123/'Ratio (data)'!Y93</f>
        <v>35.8127266043034</v>
      </c>
      <c r="Z93" s="31" t="n">
        <f aca="false">'Ratio (data)'!Z123/'Ratio (data)'!Z93</f>
        <v>34.5424596292676</v>
      </c>
      <c r="AA93" s="96" t="n">
        <f aca="false">'Ratio (data)'!AA123/'Ratio (data)'!AA93</f>
        <v>34.8944463094516</v>
      </c>
      <c r="AB93" s="31" t="n">
        <f aca="false">'Ratio (data)'!AB123/'Ratio (data)'!AB93</f>
        <v>33.3146580614472</v>
      </c>
      <c r="AC93" s="76" t="n">
        <f aca="false">'Ratio (data)'!AC123/'Ratio (data)'!AC93</f>
        <v>32.6116234460136</v>
      </c>
      <c r="AD93" s="75" t="n">
        <f aca="false">'Ratio (data)'!AD123/'Ratio (data)'!AD93</f>
        <v>28.8932852547228</v>
      </c>
      <c r="AE93" s="31" t="n">
        <f aca="false">'Ratio (data)'!AE123/'Ratio (data)'!AE93</f>
        <v>28.5638824619306</v>
      </c>
      <c r="AF93" s="96" t="n">
        <f aca="false">'Ratio (data)'!AF123/'Ratio (data)'!AF93</f>
        <v>28.701127969251</v>
      </c>
      <c r="AG93" s="31" t="n">
        <f aca="false">'Ratio (data)'!AG123/'Ratio (data)'!AG93</f>
        <v>27.6219062033231</v>
      </c>
      <c r="AH93" s="31" t="n">
        <f aca="false">'Ratio (data)'!AH123/'Ratio (data)'!AH93</f>
        <v>24.6678578089973</v>
      </c>
      <c r="AI93" s="74" t="n">
        <f aca="false">'Ratio (data)'!AI123/'Ratio (data)'!AI93</f>
        <v>26.2521372553971</v>
      </c>
      <c r="AJ93" s="75" t="n">
        <f aca="false">'Ratio (data)'!AJ123/'Ratio (data)'!AJ93</f>
        <v>25.1899219980544</v>
      </c>
      <c r="AK93" s="31" t="n">
        <f aca="false">'Ratio (data)'!AK123/'Ratio (data)'!AK93</f>
        <v>24.35063530515</v>
      </c>
      <c r="AL93" s="96" t="n">
        <f aca="false">'Ratio (data)'!AL123/'Ratio (data)'!AL93</f>
        <v>24.2310230982574</v>
      </c>
      <c r="AM93" s="31" t="n">
        <f aca="false">'Ratio (data)'!AM123/'Ratio (data)'!AM93</f>
        <v>24.070612407861</v>
      </c>
      <c r="AN93" s="76" t="n">
        <f aca="false">'Ratio (data)'!AN123/'Ratio (data)'!AN93</f>
        <v>43.1221883349157</v>
      </c>
      <c r="AO93" s="31" t="n">
        <f aca="false">'Ratio (data)'!AO123/'Ratio (data)'!AO93</f>
        <v>42.2744433997115</v>
      </c>
      <c r="AP93" s="31" t="n">
        <f aca="false">'Ratio (data)'!AP123/'Ratio (data)'!AP93</f>
        <v>42.5661223259981</v>
      </c>
      <c r="AQ93" s="96" t="n">
        <f aca="false">'Ratio (data)'!AQ123/'Ratio (data)'!AQ93</f>
        <v>42.4224333865643</v>
      </c>
    </row>
    <row r="94" customFormat="false" ht="12.8" hidden="false" customHeight="false" outlineLevel="0" collapsed="false">
      <c r="A94" s="139" t="s">
        <v>180</v>
      </c>
      <c r="B94" s="72" t="n">
        <f aca="false">'Ratio (data)'!B124/'Ratio (data)'!B94</f>
        <v>8.49705275313104</v>
      </c>
      <c r="C94" s="72" t="n">
        <f aca="false">'Ratio (data)'!C124/'Ratio (data)'!C94</f>
        <v>8.54873974951065</v>
      </c>
      <c r="D94" s="31" t="n">
        <f aca="false">'Ratio (data)'!D124/'Ratio (data)'!D94</f>
        <v>8.65809246200036</v>
      </c>
      <c r="E94" s="96" t="n">
        <f aca="false">'Ratio (data)'!E124/'Ratio (data)'!E94</f>
        <v>8.69878632855297</v>
      </c>
      <c r="F94" s="31" t="n">
        <f aca="false">'Ratio (data)'!F124/'Ratio (data)'!F94</f>
        <v>8.71922969279266</v>
      </c>
      <c r="G94" s="96" t="n">
        <f aca="false">'Ratio (data)'!G124/'Ratio (data)'!G94</f>
        <v>9.76524259670334</v>
      </c>
      <c r="H94" s="31" t="n">
        <f aca="false">'Ratio (data)'!H124/'Ratio (data)'!H94</f>
        <v>9.76524259670334</v>
      </c>
      <c r="I94" s="74" t="n">
        <f aca="false">'Ratio (data)'!I124/'Ratio (data)'!I94</f>
        <v>9.76524259670334</v>
      </c>
      <c r="J94" s="75" t="n">
        <f aca="false">'Ratio (data)'!J124/'Ratio (data)'!J94</f>
        <v>8.98496921788085</v>
      </c>
      <c r="K94" s="96" t="n">
        <f aca="false">'Ratio (data)'!K124/'Ratio (data)'!K94</f>
        <v>9.57125197765907</v>
      </c>
      <c r="L94" s="31" t="n">
        <f aca="false">'Ratio (data)'!L124/'Ratio (data)'!L94</f>
        <v>9.33415233216052</v>
      </c>
      <c r="M94" s="96" t="n">
        <f aca="false">'Ratio (data)'!M124/'Ratio (data)'!M94</f>
        <v>9.33415233216052</v>
      </c>
      <c r="N94" s="96" t="n">
        <f aca="false">'Ratio (data)'!N124/'Ratio (data)'!N94</f>
        <v>9.31259781893339</v>
      </c>
      <c r="O94" s="31" t="n">
        <f aca="false">'Ratio (data)'!O124/'Ratio (data)'!O94</f>
        <v>9.37596808782118</v>
      </c>
      <c r="P94" s="76" t="n">
        <f aca="false">'Ratio (data)'!P124/'Ratio (data)'!P94</f>
        <v>8.35260382965914</v>
      </c>
      <c r="Q94" s="75" t="n">
        <f aca="false">'Ratio (data)'!Q124/'Ratio (data)'!Q94</f>
        <v>7.94415726408541</v>
      </c>
      <c r="R94" s="31" t="n">
        <f aca="false">'Ratio (data)'!R124/'Ratio (data)'!R94</f>
        <v>7.63782233990512</v>
      </c>
      <c r="S94" s="96" t="n">
        <f aca="false">'Ratio (data)'!S124/'Ratio (data)'!S94</f>
        <v>8.01359318023294</v>
      </c>
      <c r="T94" s="31" t="n">
        <f aca="false">'Ratio (data)'!T124/'Ratio (data)'!T94</f>
        <v>8.08200797996654</v>
      </c>
      <c r="U94" s="31" t="n">
        <f aca="false">'Ratio (data)'!U124/'Ratio (data)'!U94</f>
        <v>8.01419128338484</v>
      </c>
      <c r="V94" s="96" t="n">
        <f aca="false">'Ratio (data)'!V124/'Ratio (data)'!V94</f>
        <v>7.99305904932152</v>
      </c>
      <c r="W94" s="96" t="n">
        <f aca="false">'Ratio (data)'!W124/'Ratio (data)'!W94</f>
        <v>7.80646142254239</v>
      </c>
      <c r="X94" s="74" t="n">
        <f aca="false">'Ratio (data)'!X124/'Ratio (data)'!X94</f>
        <v>8.11985245370145</v>
      </c>
      <c r="Y94" s="75" t="n">
        <f aca="false">'Ratio (data)'!Y124/'Ratio (data)'!Y94</f>
        <v>7.69720777243501</v>
      </c>
      <c r="Z94" s="31" t="n">
        <f aca="false">'Ratio (data)'!Z124/'Ratio (data)'!Z94</f>
        <v>7.49687419351471</v>
      </c>
      <c r="AA94" s="96" t="n">
        <f aca="false">'Ratio (data)'!AA124/'Ratio (data)'!AA94</f>
        <v>7.89521680560834</v>
      </c>
      <c r="AB94" s="31" t="n">
        <f aca="false">'Ratio (data)'!AB124/'Ratio (data)'!AB94</f>
        <v>8.09831812098546</v>
      </c>
      <c r="AC94" s="76" t="n">
        <f aca="false">'Ratio (data)'!AC124/'Ratio (data)'!AC94</f>
        <v>7.71011199493974</v>
      </c>
      <c r="AD94" s="75" t="n">
        <f aca="false">'Ratio (data)'!AD124/'Ratio (data)'!AD94</f>
        <v>7.44256452969201</v>
      </c>
      <c r="AE94" s="31" t="n">
        <f aca="false">'Ratio (data)'!AE124/'Ratio (data)'!AE94</f>
        <v>7.52999834186447</v>
      </c>
      <c r="AF94" s="96" t="n">
        <f aca="false">'Ratio (data)'!AF124/'Ratio (data)'!AF94</f>
        <v>7.55513556286406</v>
      </c>
      <c r="AG94" s="31" t="n">
        <f aca="false">'Ratio (data)'!AG124/'Ratio (data)'!AG94</f>
        <v>7.96047175669271</v>
      </c>
      <c r="AH94" s="31" t="n">
        <f aca="false">'Ratio (data)'!AH124/'Ratio (data)'!AH94</f>
        <v>6.95640864549587</v>
      </c>
      <c r="AI94" s="74" t="n">
        <f aca="false">'Ratio (data)'!AI124/'Ratio (data)'!AI94</f>
        <v>8.12249828235339</v>
      </c>
      <c r="AJ94" s="75" t="n">
        <f aca="false">'Ratio (data)'!AJ124/'Ratio (data)'!AJ94</f>
        <v>8.12249828235339</v>
      </c>
      <c r="AK94" s="31" t="n">
        <f aca="false">'Ratio (data)'!AK124/'Ratio (data)'!AK94</f>
        <v>7.87182433266739</v>
      </c>
      <c r="AL94" s="96" t="n">
        <f aca="false">'Ratio (data)'!AL124/'Ratio (data)'!AL94</f>
        <v>7.66672746474248</v>
      </c>
      <c r="AM94" s="31" t="n">
        <f aca="false">'Ratio (data)'!AM124/'Ratio (data)'!AM94</f>
        <v>7.5299962194592</v>
      </c>
      <c r="AN94" s="76" t="n">
        <f aca="false">'Ratio (data)'!AN124/'Ratio (data)'!AN94</f>
        <v>7.81814617565347</v>
      </c>
      <c r="AO94" s="31" t="n">
        <f aca="false">'Ratio (data)'!AO124/'Ratio (data)'!AO94</f>
        <v>7.76704039918581</v>
      </c>
      <c r="AP94" s="31" t="n">
        <f aca="false">'Ratio (data)'!AP124/'Ratio (data)'!AP94</f>
        <v>7.71687666468069</v>
      </c>
      <c r="AQ94" s="96" t="n">
        <f aca="false">'Ratio (data)'!AQ124/'Ratio (data)'!AQ94</f>
        <v>7.6730717134227</v>
      </c>
    </row>
    <row r="95" customFormat="false" ht="12.8" hidden="false" customHeight="false" outlineLevel="0" collapsed="false">
      <c r="A95" s="139" t="s">
        <v>181</v>
      </c>
      <c r="B95" s="72" t="n">
        <f aca="false">'Ratio (data)'!B125/'Ratio (data)'!B95</f>
        <v>26.9586642751551</v>
      </c>
      <c r="C95" s="72" t="n">
        <f aca="false">'Ratio (data)'!C125/'Ratio (data)'!C95</f>
        <v>26.568089452103</v>
      </c>
      <c r="D95" s="31" t="n">
        <f aca="false">'Ratio (data)'!D125/'Ratio (data)'!D95</f>
        <v>26.7872345165178</v>
      </c>
      <c r="E95" s="96" t="n">
        <f aca="false">'Ratio (data)'!E125/'Ratio (data)'!E95</f>
        <v>26.2030452816962</v>
      </c>
      <c r="F95" s="31" t="n">
        <f aca="false">'Ratio (data)'!F125/'Ratio (data)'!F95</f>
        <v>25.720274445905</v>
      </c>
      <c r="G95" s="96" t="n">
        <f aca="false">'Ratio (data)'!G125/'Ratio (data)'!G95</f>
        <v>33.7117083669414</v>
      </c>
      <c r="H95" s="31" t="n">
        <f aca="false">'Ratio (data)'!H125/'Ratio (data)'!H95</f>
        <v>34.1535793175811</v>
      </c>
      <c r="I95" s="74" t="n">
        <f aca="false">'Ratio (data)'!I125/'Ratio (data)'!I95</f>
        <v>32.5018264566654</v>
      </c>
      <c r="J95" s="75" t="n">
        <f aca="false">'Ratio (data)'!J125/'Ratio (data)'!J95</f>
        <v>31.451334608643</v>
      </c>
      <c r="K95" s="96" t="n">
        <f aca="false">'Ratio (data)'!K125/'Ratio (data)'!K95</f>
        <v>31.2391603334674</v>
      </c>
      <c r="L95" s="31" t="n">
        <f aca="false">'Ratio (data)'!L125/'Ratio (data)'!L95</f>
        <v>31.0990896371867</v>
      </c>
      <c r="M95" s="96" t="n">
        <f aca="false">'Ratio (data)'!M125/'Ratio (data)'!M95</f>
        <v>31.1233499971694</v>
      </c>
      <c r="N95" s="96" t="n">
        <f aca="false">'Ratio (data)'!N125/'Ratio (data)'!N95</f>
        <v>31.035211344517</v>
      </c>
      <c r="O95" s="31" t="n">
        <f aca="false">'Ratio (data)'!O125/'Ratio (data)'!O95</f>
        <v>30.5464155064709</v>
      </c>
      <c r="P95" s="76" t="n">
        <f aca="false">'Ratio (data)'!P125/'Ratio (data)'!P95</f>
        <v>32.3201793019909</v>
      </c>
      <c r="Q95" s="75" t="n">
        <f aca="false">'Ratio (data)'!Q125/'Ratio (data)'!Q95</f>
        <v>31.4963076186472</v>
      </c>
      <c r="R95" s="31" t="n">
        <f aca="false">'Ratio (data)'!R125/'Ratio (data)'!R95</f>
        <v>31.2132461502576</v>
      </c>
      <c r="S95" s="96" t="n">
        <f aca="false">'Ratio (data)'!S125/'Ratio (data)'!S95</f>
        <v>31.8742389519318</v>
      </c>
      <c r="T95" s="31" t="n">
        <f aca="false">'Ratio (data)'!T125/'Ratio (data)'!T95</f>
        <v>31.8105029922381</v>
      </c>
      <c r="U95" s="31" t="n">
        <f aca="false">'Ratio (data)'!U125/'Ratio (data)'!U95</f>
        <v>35.5331431693645</v>
      </c>
      <c r="V95" s="96" t="n">
        <f aca="false">'Ratio (data)'!V125/'Ratio (data)'!V95</f>
        <v>35.8748437948621</v>
      </c>
      <c r="W95" s="96" t="n">
        <f aca="false">'Ratio (data)'!W125/'Ratio (data)'!W95</f>
        <v>34.1809584506125</v>
      </c>
      <c r="X95" s="74" t="n">
        <f aca="false">'Ratio (data)'!X125/'Ratio (data)'!X95</f>
        <v>32.9551084508706</v>
      </c>
      <c r="Y95" s="75" t="n">
        <f aca="false">'Ratio (data)'!Y125/'Ratio (data)'!Y95</f>
        <v>32.9080286067722</v>
      </c>
      <c r="Z95" s="31" t="n">
        <f aca="false">'Ratio (data)'!Z125/'Ratio (data)'!Z95</f>
        <v>32.6218631080836</v>
      </c>
      <c r="AA95" s="96" t="n">
        <f aca="false">'Ratio (data)'!AA125/'Ratio (data)'!AA95</f>
        <v>32.5510635158823</v>
      </c>
      <c r="AB95" s="31" t="n">
        <f aca="false">'Ratio (data)'!AB125/'Ratio (data)'!AB95</f>
        <v>32.0746040124042</v>
      </c>
      <c r="AC95" s="76" t="n">
        <f aca="false">'Ratio (data)'!AC125/'Ratio (data)'!AC95</f>
        <v>27.0729121767837</v>
      </c>
      <c r="AD95" s="75" t="n">
        <f aca="false">'Ratio (data)'!AD125/'Ratio (data)'!AD95</f>
        <v>27.030385073093</v>
      </c>
      <c r="AE95" s="31" t="n">
        <f aca="false">'Ratio (data)'!AE125/'Ratio (data)'!AE95</f>
        <v>26.7718925043841</v>
      </c>
      <c r="AF95" s="96" t="n">
        <f aca="false">'Ratio (data)'!AF125/'Ratio (data)'!AF95</f>
        <v>26.7079394124303</v>
      </c>
      <c r="AG95" s="31" t="n">
        <f aca="false">'Ratio (data)'!AG125/'Ratio (data)'!AG95</f>
        <v>26.2775547521402</v>
      </c>
      <c r="AH95" s="31" t="n">
        <f aca="false">'Ratio (data)'!AH125/'Ratio (data)'!AH95</f>
        <v>20.6832600474086</v>
      </c>
      <c r="AI95" s="74" t="n">
        <f aca="false">'Ratio (data)'!AI125/'Ratio (data)'!AI95</f>
        <v>21.9870318410987</v>
      </c>
      <c r="AJ95" s="75" t="n">
        <f aca="false">'Ratio (data)'!AJ125/'Ratio (data)'!AJ95</f>
        <v>21.5964925284226</v>
      </c>
      <c r="AK95" s="31" t="n">
        <f aca="false">'Ratio (data)'!AK125/'Ratio (data)'!AK95</f>
        <v>21.4992516935282</v>
      </c>
      <c r="AL95" s="96" t="n">
        <f aca="false">'Ratio (data)'!AL125/'Ratio (data)'!AL95</f>
        <v>21.5363886484589</v>
      </c>
      <c r="AM95" s="31" t="n">
        <f aca="false">'Ratio (data)'!AM125/'Ratio (data)'!AM95</f>
        <v>21.1790793051401</v>
      </c>
      <c r="AN95" s="76" t="n">
        <f aca="false">'Ratio (data)'!AN125/'Ratio (data)'!AN95</f>
        <v>19.5103130064998</v>
      </c>
      <c r="AO95" s="31" t="n">
        <f aca="false">'Ratio (data)'!AO125/'Ratio (data)'!AO95</f>
        <v>19.1887135325643</v>
      </c>
      <c r="AP95" s="31" t="n">
        <f aca="false">'Ratio (data)'!AP125/'Ratio (data)'!AP95</f>
        <v>19.2359886552328</v>
      </c>
      <c r="AQ95" s="96" t="n">
        <f aca="false">'Ratio (data)'!AQ125/'Ratio (data)'!AQ95</f>
        <v>19.161913576403</v>
      </c>
    </row>
    <row r="96" customFormat="false" ht="12.8" hidden="false" customHeight="false" outlineLevel="0" collapsed="false">
      <c r="A96" s="139" t="s">
        <v>30</v>
      </c>
      <c r="B96" s="72" t="n">
        <f aca="false">'Ratio (data)'!B126/'Ratio (data)'!B96</f>
        <v>13.6618319654351</v>
      </c>
      <c r="C96" s="72" t="n">
        <f aca="false">'Ratio (data)'!C126/'Ratio (data)'!C96</f>
        <v>13.5274763854855</v>
      </c>
      <c r="D96" s="31" t="n">
        <f aca="false">'Ratio (data)'!D126/'Ratio (data)'!D96</f>
        <v>13.6774051996663</v>
      </c>
      <c r="E96" s="96" t="n">
        <f aca="false">'Ratio (data)'!E126/'Ratio (data)'!E96</f>
        <v>13.5887127159433</v>
      </c>
      <c r="F96" s="31" t="n">
        <f aca="false">'Ratio (data)'!F126/'Ratio (data)'!F96</f>
        <v>12.7873834124473</v>
      </c>
      <c r="G96" s="96" t="n">
        <f aca="false">'Ratio (data)'!G126/'Ratio (data)'!G96</f>
        <v>12.5212955513625</v>
      </c>
      <c r="H96" s="31" t="n">
        <f aca="false">'Ratio (data)'!H126/'Ratio (data)'!H96</f>
        <v>13.3927284117246</v>
      </c>
      <c r="I96" s="74" t="n">
        <f aca="false">'Ratio (data)'!I126/'Ratio (data)'!I96</f>
        <v>13.3092510508014</v>
      </c>
      <c r="J96" s="75" t="n">
        <f aca="false">'Ratio (data)'!J126/'Ratio (data)'!J96</f>
        <v>12.1289150095216</v>
      </c>
      <c r="K96" s="96" t="n">
        <f aca="false">'Ratio (data)'!K126/'Ratio (data)'!K96</f>
        <v>11.8732486706079</v>
      </c>
      <c r="L96" s="31" t="n">
        <f aca="false">'Ratio (data)'!L126/'Ratio (data)'!L96</f>
        <v>11.8090782695793</v>
      </c>
      <c r="M96" s="96" t="n">
        <f aca="false">'Ratio (data)'!M126/'Ratio (data)'!M96</f>
        <v>11.7676949319379</v>
      </c>
      <c r="N96" s="96" t="n">
        <f aca="false">'Ratio (data)'!N126/'Ratio (data)'!N96</f>
        <v>11.75664546234</v>
      </c>
      <c r="O96" s="31" t="n">
        <f aca="false">'Ratio (data)'!O126/'Ratio (data)'!O96</f>
        <v>11.9562804429153</v>
      </c>
      <c r="P96" s="76" t="n">
        <f aca="false">'Ratio (data)'!P126/'Ratio (data)'!P96</f>
        <v>12.8591151121272</v>
      </c>
      <c r="Q96" s="75" t="n">
        <f aca="false">'Ratio (data)'!Q126/'Ratio (data)'!Q96</f>
        <v>12.3843490413713</v>
      </c>
      <c r="R96" s="31" t="n">
        <f aca="false">'Ratio (data)'!R126/'Ratio (data)'!R96</f>
        <v>11.7029416275764</v>
      </c>
      <c r="S96" s="96" t="n">
        <f aca="false">'Ratio (data)'!S126/'Ratio (data)'!S96</f>
        <v>12.203992346778</v>
      </c>
      <c r="T96" s="31" t="n">
        <f aca="false">'Ratio (data)'!T126/'Ratio (data)'!T96</f>
        <v>12.1305482873482</v>
      </c>
      <c r="U96" s="31" t="n">
        <f aca="false">'Ratio (data)'!U126/'Ratio (data)'!U96</f>
        <v>13.8830965079763</v>
      </c>
      <c r="V96" s="96" t="n">
        <f aca="false">'Ratio (data)'!V126/'Ratio (data)'!V96</f>
        <v>13.5631338287623</v>
      </c>
      <c r="W96" s="96" t="n">
        <f aca="false">'Ratio (data)'!W126/'Ratio (data)'!W96</f>
        <v>12.8319086500948</v>
      </c>
      <c r="X96" s="74" t="n">
        <f aca="false">'Ratio (data)'!X126/'Ratio (data)'!X96</f>
        <v>14.024241318351</v>
      </c>
      <c r="Y96" s="75" t="n">
        <f aca="false">'Ratio (data)'!Y126/'Ratio (data)'!Y96</f>
        <v>14.1863064210199</v>
      </c>
      <c r="Z96" s="31" t="n">
        <f aca="false">'Ratio (data)'!Z126/'Ratio (data)'!Z96</f>
        <v>13.2729086871953</v>
      </c>
      <c r="AA96" s="96" t="n">
        <f aca="false">'Ratio (data)'!AA126/'Ratio (data)'!AA96</f>
        <v>13.8441215281276</v>
      </c>
      <c r="AB96" s="31" t="n">
        <f aca="false">'Ratio (data)'!AB126/'Ratio (data)'!AB96</f>
        <v>12.1609782750002</v>
      </c>
      <c r="AC96" s="76" t="n">
        <f aca="false">'Ratio (data)'!AC126/'Ratio (data)'!AC96</f>
        <v>12.5961393791605</v>
      </c>
      <c r="AD96" s="75" t="n">
        <f aca="false">'Ratio (data)'!AD126/'Ratio (data)'!AD96</f>
        <v>11.7585454614555</v>
      </c>
      <c r="AE96" s="31" t="n">
        <f aca="false">'Ratio (data)'!AE126/'Ratio (data)'!AE96</f>
        <v>11.2138867530617</v>
      </c>
      <c r="AF96" s="96" t="n">
        <f aca="false">'Ratio (data)'!AF126/'Ratio (data)'!AF96</f>
        <v>11.471619811684</v>
      </c>
      <c r="AG96" s="31" t="n">
        <f aca="false">'Ratio (data)'!AG126/'Ratio (data)'!AG96</f>
        <v>10.7554652240641</v>
      </c>
      <c r="AH96" s="31" t="n">
        <f aca="false">'Ratio (data)'!AH126/'Ratio (data)'!AH96</f>
        <v>10.13788093523</v>
      </c>
      <c r="AI96" s="74" t="n">
        <f aca="false">'Ratio (data)'!AI126/'Ratio (data)'!AI96</f>
        <v>13.2011571248454</v>
      </c>
      <c r="AJ96" s="75" t="n">
        <f aca="false">'Ratio (data)'!AJ126/'Ratio (data)'!AJ96</f>
        <v>12.1582962339011</v>
      </c>
      <c r="AK96" s="31" t="n">
        <f aca="false">'Ratio (data)'!AK126/'Ratio (data)'!AK96</f>
        <v>11.5152615647121</v>
      </c>
      <c r="AL96" s="96" t="n">
        <f aca="false">'Ratio (data)'!AL126/'Ratio (data)'!AL96</f>
        <v>10.4070941905504</v>
      </c>
      <c r="AM96" s="31" t="n">
        <f aca="false">'Ratio (data)'!AM126/'Ratio (data)'!AM96</f>
        <v>9.53191185916482</v>
      </c>
      <c r="AN96" s="76" t="n">
        <f aca="false">'Ratio (data)'!AN126/'Ratio (data)'!AN96</f>
        <v>10.1843384446386</v>
      </c>
      <c r="AO96" s="31" t="n">
        <f aca="false">'Ratio (data)'!AO126/'Ratio (data)'!AO96</f>
        <v>9.88115559728436</v>
      </c>
      <c r="AP96" s="31" t="n">
        <f aca="false">'Ratio (data)'!AP126/'Ratio (data)'!AP96</f>
        <v>10.0347928164975</v>
      </c>
      <c r="AQ96" s="96" t="n">
        <f aca="false">'Ratio (data)'!AQ126/'Ratio (data)'!AQ96</f>
        <v>9.72622203238506</v>
      </c>
    </row>
    <row r="97" customFormat="false" ht="12.8" hidden="false" customHeight="false" outlineLevel="0" collapsed="false">
      <c r="A97" s="139" t="s">
        <v>182</v>
      </c>
      <c r="B97" s="72" t="n">
        <f aca="false">'Ratio (data)'!B127/'Ratio (data)'!B97</f>
        <v>25.7700990001138</v>
      </c>
      <c r="C97" s="72" t="n">
        <f aca="false">'Ratio (data)'!C127/'Ratio (data)'!C97</f>
        <v>25.0603873259635</v>
      </c>
      <c r="D97" s="31" t="n">
        <f aca="false">'Ratio (data)'!D127/'Ratio (data)'!D97</f>
        <v>25.0603873259635</v>
      </c>
      <c r="E97" s="96" t="n">
        <f aca="false">'Ratio (data)'!E127/'Ratio (data)'!E97</f>
        <v>24.1615800935935</v>
      </c>
      <c r="F97" s="31" t="n">
        <f aca="false">'Ratio (data)'!F127/'Ratio (data)'!F97</f>
        <v>24.1261976599949</v>
      </c>
      <c r="G97" s="96" t="n">
        <f aca="false">'Ratio (data)'!G127/'Ratio (data)'!G97</f>
        <v>35.747975241789</v>
      </c>
      <c r="H97" s="31" t="n">
        <f aca="false">'Ratio (data)'!H127/'Ratio (data)'!H97</f>
        <v>35.2771671563878</v>
      </c>
      <c r="I97" s="74" t="n">
        <f aca="false">'Ratio (data)'!I127/'Ratio (data)'!I97</f>
        <v>34.6741321193419</v>
      </c>
      <c r="J97" s="75" t="n">
        <f aca="false">'Ratio (data)'!J127/'Ratio (data)'!J97</f>
        <v>34.1307288448025</v>
      </c>
      <c r="K97" s="96" t="n">
        <f aca="false">'Ratio (data)'!K127/'Ratio (data)'!K97</f>
        <v>34.2572401037958</v>
      </c>
      <c r="L97" s="31" t="n">
        <f aca="false">'Ratio (data)'!L127/'Ratio (data)'!L97</f>
        <v>34.0071048944681</v>
      </c>
      <c r="M97" s="96" t="n">
        <f aca="false">'Ratio (data)'!M127/'Ratio (data)'!M97</f>
        <v>34.0200683210999</v>
      </c>
      <c r="N97" s="96" t="n">
        <f aca="false">'Ratio (data)'!N127/'Ratio (data)'!N97</f>
        <v>33.9425823846415</v>
      </c>
      <c r="O97" s="31" t="n">
        <f aca="false">'Ratio (data)'!O127/'Ratio (data)'!O97</f>
        <v>33.6488429220977</v>
      </c>
      <c r="P97" s="76" t="n">
        <f aca="false">'Ratio (data)'!P127/'Ratio (data)'!P97</f>
        <v>30.8835759978558</v>
      </c>
      <c r="Q97" s="75" t="n">
        <f aca="false">'Ratio (data)'!Q127/'Ratio (data)'!Q97</f>
        <v>31.0515206357408</v>
      </c>
      <c r="R97" s="31" t="n">
        <f aca="false">'Ratio (data)'!R127/'Ratio (data)'!R97</f>
        <v>31.0738908838774</v>
      </c>
      <c r="S97" s="96" t="n">
        <f aca="false">'Ratio (data)'!S127/'Ratio (data)'!S97</f>
        <v>31.3843340023921</v>
      </c>
      <c r="T97" s="31" t="n">
        <f aca="false">'Ratio (data)'!T127/'Ratio (data)'!T97</f>
        <v>31.1832254716447</v>
      </c>
      <c r="U97" s="31" t="n">
        <f aca="false">'Ratio (data)'!U127/'Ratio (data)'!U97</f>
        <v>36.5111038794501</v>
      </c>
      <c r="V97" s="96" t="n">
        <f aca="false">'Ratio (data)'!V127/'Ratio (data)'!V97</f>
        <v>35.8699566172677</v>
      </c>
      <c r="W97" s="96" t="n">
        <f aca="false">'Ratio (data)'!W127/'Ratio (data)'!W97</f>
        <v>35.551541951447</v>
      </c>
      <c r="X97" s="74" t="n">
        <f aca="false">'Ratio (data)'!X127/'Ratio (data)'!X97</f>
        <v>36.5111038794501</v>
      </c>
      <c r="Y97" s="75" t="n">
        <f aca="false">'Ratio (data)'!Y127/'Ratio (data)'!Y97</f>
        <v>35.6819957923442</v>
      </c>
      <c r="Z97" s="31" t="n">
        <f aca="false">'Ratio (data)'!Z127/'Ratio (data)'!Z97</f>
        <v>35.2680632690964</v>
      </c>
      <c r="AA97" s="96" t="n">
        <f aca="false">'Ratio (data)'!AA127/'Ratio (data)'!AA97</f>
        <v>35.4993342458122</v>
      </c>
      <c r="AB97" s="31" t="n">
        <f aca="false">'Ratio (data)'!AB127/'Ratio (data)'!AB97</f>
        <v>34.5484081788916</v>
      </c>
      <c r="AC97" s="76" t="n">
        <f aca="false">'Ratio (data)'!AC127/'Ratio (data)'!AC97</f>
        <v>24.4471326545076</v>
      </c>
      <c r="AD97" s="75" t="n">
        <f aca="false">'Ratio (data)'!AD127/'Ratio (data)'!AD97</f>
        <v>24.414979778029</v>
      </c>
      <c r="AE97" s="31" t="n">
        <f aca="false">'Ratio (data)'!AE127/'Ratio (data)'!AE97</f>
        <v>24.640153298834</v>
      </c>
      <c r="AF97" s="96" t="n">
        <f aca="false">'Ratio (data)'!AF127/'Ratio (data)'!AF97</f>
        <v>23.9561551291161</v>
      </c>
      <c r="AG97" s="31" t="n">
        <f aca="false">'Ratio (data)'!AG127/'Ratio (data)'!AG97</f>
        <v>5.63732039162881</v>
      </c>
      <c r="AH97" s="31" t="n">
        <f aca="false">'Ratio (data)'!AH127/'Ratio (data)'!AH97</f>
        <v>4.90073408913148</v>
      </c>
      <c r="AI97" s="74" t="n">
        <f aca="false">'Ratio (data)'!AI127/'Ratio (data)'!AI97</f>
        <v>6.53532258912631</v>
      </c>
      <c r="AJ97" s="75" t="n">
        <f aca="false">'Ratio (data)'!AJ127/'Ratio (data)'!AJ97</f>
        <v>6.31800605733191</v>
      </c>
      <c r="AK97" s="31" t="n">
        <f aca="false">'Ratio (data)'!AK127/'Ratio (data)'!AK97</f>
        <v>6.31082203975193</v>
      </c>
      <c r="AL97" s="96" t="n">
        <f aca="false">'Ratio (data)'!AL127/'Ratio (data)'!AL97</f>
        <v>6.31082203975193</v>
      </c>
      <c r="AM97" s="31" t="n">
        <f aca="false">'Ratio (data)'!AM127/'Ratio (data)'!AM97</f>
        <v>5.56938652538812</v>
      </c>
      <c r="AN97" s="76" t="n">
        <f aca="false">'Ratio (data)'!AN127/'Ratio (data)'!AN97</f>
        <v>23.7536181409781</v>
      </c>
      <c r="AO97" s="31" t="n">
        <f aca="false">'Ratio (data)'!AO127/'Ratio (data)'!AO97</f>
        <v>23.8724442371708</v>
      </c>
      <c r="AP97" s="31" t="n">
        <f aca="false">'Ratio (data)'!AP127/'Ratio (data)'!AP97</f>
        <v>23.6286857037311</v>
      </c>
      <c r="AQ97" s="96" t="n">
        <f aca="false">'Ratio (data)'!AQ127/'Ratio (data)'!AQ97</f>
        <v>23.5119500666382</v>
      </c>
    </row>
    <row r="98" customFormat="false" ht="12.8" hidden="false" customHeight="false" outlineLevel="0" collapsed="false">
      <c r="A98" s="139" t="s">
        <v>183</v>
      </c>
      <c r="B98" s="72" t="n">
        <f aca="false">'Ratio (data)'!B128/'Ratio (data)'!B98</f>
        <v>10.6943636282827</v>
      </c>
      <c r="C98" s="72" t="n">
        <f aca="false">'Ratio (data)'!C128/'Ratio (data)'!C98</f>
        <v>10.9434728541576</v>
      </c>
      <c r="D98" s="31" t="n">
        <f aca="false">'Ratio (data)'!D128/'Ratio (data)'!D98</f>
        <v>10.9434728541576</v>
      </c>
      <c r="E98" s="96" t="n">
        <f aca="false">'Ratio (data)'!E128/'Ratio (data)'!E98</f>
        <v>10.9581263380326</v>
      </c>
      <c r="F98" s="31" t="n">
        <f aca="false">'Ratio (data)'!F128/'Ratio (data)'!F98</f>
        <v>10.9581263380326</v>
      </c>
      <c r="G98" s="96" t="n">
        <f aca="false">'Ratio (data)'!G128/'Ratio (data)'!G98</f>
        <v>13.6871149919122</v>
      </c>
      <c r="H98" s="31" t="n">
        <f aca="false">'Ratio (data)'!H128/'Ratio (data)'!H98</f>
        <v>13.6871149919122</v>
      </c>
      <c r="I98" s="74" t="n">
        <f aca="false">'Ratio (data)'!I128/'Ratio (data)'!I98</f>
        <v>13.3778729995645</v>
      </c>
      <c r="J98" s="75" t="n">
        <f aca="false">'Ratio (data)'!J128/'Ratio (data)'!J98</f>
        <v>13.3304558940712</v>
      </c>
      <c r="K98" s="96" t="n">
        <f aca="false">'Ratio (data)'!K128/'Ratio (data)'!K98</f>
        <v>12.7177444265664</v>
      </c>
      <c r="L98" s="31" t="n">
        <f aca="false">'Ratio (data)'!L128/'Ratio (data)'!L98</f>
        <v>12.7177444265664</v>
      </c>
      <c r="M98" s="96" t="n">
        <f aca="false">'Ratio (data)'!M128/'Ratio (data)'!M98</f>
        <v>12.7177444265664</v>
      </c>
      <c r="N98" s="96" t="n">
        <f aca="false">'Ratio (data)'!N128/'Ratio (data)'!N98</f>
        <v>12.7177444265664</v>
      </c>
      <c r="O98" s="31" t="n">
        <f aca="false">'Ratio (data)'!O128/'Ratio (data)'!O98</f>
        <v>12.8418535461619</v>
      </c>
      <c r="P98" s="76" t="n">
        <f aca="false">'Ratio (data)'!P128/'Ratio (data)'!P98</f>
        <v>11.4872844097687</v>
      </c>
      <c r="Q98" s="75" t="n">
        <f aca="false">'Ratio (data)'!Q128/'Ratio (data)'!Q98</f>
        <v>11.1656499166357</v>
      </c>
      <c r="R98" s="31" t="n">
        <f aca="false">'Ratio (data)'!R128/'Ratio (data)'!R98</f>
        <v>10.9768315494905</v>
      </c>
      <c r="S98" s="96" t="n">
        <f aca="false">'Ratio (data)'!S128/'Ratio (data)'!S98</f>
        <v>10.8705029699959</v>
      </c>
      <c r="T98" s="31" t="n">
        <f aca="false">'Ratio (data)'!T128/'Ratio (data)'!T98</f>
        <v>13.4360110446337</v>
      </c>
      <c r="U98" s="31" t="n">
        <f aca="false">'Ratio (data)'!U128/'Ratio (data)'!U98</f>
        <v>10.7957380951491</v>
      </c>
      <c r="V98" s="96" t="n">
        <f aca="false">'Ratio (data)'!V128/'Ratio (data)'!V98</f>
        <v>10.3232631144523</v>
      </c>
      <c r="W98" s="96" t="n">
        <f aca="false">'Ratio (data)'!W128/'Ratio (data)'!W98</f>
        <v>8.95414232374285</v>
      </c>
      <c r="X98" s="74" t="n">
        <f aca="false">'Ratio (data)'!X128/'Ratio (data)'!X98</f>
        <v>8.95384042279672</v>
      </c>
      <c r="Y98" s="75" t="n">
        <f aca="false">'Ratio (data)'!Y128/'Ratio (data)'!Y98</f>
        <v>8.04843948534631</v>
      </c>
      <c r="Z98" s="31" t="n">
        <f aca="false">'Ratio (data)'!Z128/'Ratio (data)'!Z98</f>
        <v>7.74653853921413</v>
      </c>
      <c r="AA98" s="96" t="n">
        <f aca="false">'Ratio (data)'!AA128/'Ratio (data)'!AA98</f>
        <v>7.746236638268</v>
      </c>
      <c r="AB98" s="31" t="n">
        <f aca="false">'Ratio (data)'!AB128/'Ratio (data)'!AB98</f>
        <v>7.59528616520191</v>
      </c>
      <c r="AC98" s="76" t="n">
        <f aca="false">'Ratio (data)'!AC128/'Ratio (data)'!AC98</f>
        <v>9.96314275643973</v>
      </c>
      <c r="AD98" s="75" t="n">
        <f aca="false">'Ratio (data)'!AD128/'Ratio (data)'!AD98</f>
        <v>8.8753770251059</v>
      </c>
      <c r="AE98" s="31" t="n">
        <f aca="false">'Ratio (data)'!AE128/'Ratio (data)'!AE98</f>
        <v>8.51266754483453</v>
      </c>
      <c r="AF98" s="96" t="n">
        <f aca="false">'Ratio (data)'!AF128/'Ratio (data)'!AF98</f>
        <v>8.51230483535426</v>
      </c>
      <c r="AG98" s="31" t="n">
        <f aca="false">'Ratio (data)'!AG128/'Ratio (data)'!AG98</f>
        <v>8.33095009521857</v>
      </c>
      <c r="AH98" s="31" t="n">
        <f aca="false">'Ratio (data)'!AH128/'Ratio (data)'!AH98</f>
        <v>9.9357485082982</v>
      </c>
      <c r="AI98" s="74" t="n">
        <f aca="false">'Ratio (data)'!AI128/'Ratio (data)'!AI98</f>
        <v>10.3923865451057</v>
      </c>
      <c r="AJ98" s="75" t="n">
        <f aca="false">'Ratio (data)'!AJ128/'Ratio (data)'!AJ98</f>
        <v>10.6833634501488</v>
      </c>
      <c r="AK98" s="31" t="n">
        <f aca="false">'Ratio (data)'!AK128/'Ratio (data)'!AK98</f>
        <v>9.79226693832152</v>
      </c>
      <c r="AL98" s="96" t="n">
        <f aca="false">'Ratio (data)'!AL128/'Ratio (data)'!AL98</f>
        <v>9.79183204495313</v>
      </c>
      <c r="AM98" s="31" t="n">
        <f aca="false">'Ratio (data)'!AM128/'Ratio (data)'!AM98</f>
        <v>9.77052226990211</v>
      </c>
      <c r="AN98" s="76" t="n">
        <f aca="false">'Ratio (data)'!AN128/'Ratio (data)'!AN98</f>
        <v>9.5279378049002</v>
      </c>
      <c r="AO98" s="31" t="n">
        <f aca="false">'Ratio (data)'!AO128/'Ratio (data)'!AO98</f>
        <v>9.32080103951777</v>
      </c>
      <c r="AP98" s="31" t="n">
        <f aca="false">'Ratio (data)'!AP128/'Ratio (data)'!AP98</f>
        <v>9.65221986412966</v>
      </c>
      <c r="AQ98" s="96" t="n">
        <f aca="false">'Ratio (data)'!AQ128/'Ratio (data)'!AQ98</f>
        <v>9.65221986412966</v>
      </c>
    </row>
    <row r="99" customFormat="false" ht="12.8" hidden="false" customHeight="false" outlineLevel="0" collapsed="false">
      <c r="A99" s="139" t="s">
        <v>27</v>
      </c>
      <c r="B99" s="72" t="n">
        <f aca="false">'Ratio (data)'!B129/'Ratio (data)'!B99</f>
        <v>9.05685043080314</v>
      </c>
      <c r="C99" s="72" t="n">
        <f aca="false">'Ratio (data)'!C129/'Ratio (data)'!C99</f>
        <v>8.82815187535622</v>
      </c>
      <c r="D99" s="31" t="n">
        <f aca="false">'Ratio (data)'!D129/'Ratio (data)'!D99</f>
        <v>8.84053141099367</v>
      </c>
      <c r="E99" s="96" t="n">
        <f aca="false">'Ratio (data)'!E129/'Ratio (data)'!E99</f>
        <v>8.49333805509301</v>
      </c>
      <c r="F99" s="31" t="n">
        <f aca="false">'Ratio (data)'!F129/'Ratio (data)'!F99</f>
        <v>8.2404398433299</v>
      </c>
      <c r="G99" s="96" t="n">
        <f aca="false">'Ratio (data)'!G129/'Ratio (data)'!G99</f>
        <v>5.43467502884419</v>
      </c>
      <c r="H99" s="31" t="n">
        <f aca="false">'Ratio (data)'!H129/'Ratio (data)'!H99</f>
        <v>5.24246629539474</v>
      </c>
      <c r="I99" s="74" t="n">
        <f aca="false">'Ratio (data)'!I129/'Ratio (data)'!I99</f>
        <v>5.08108942844049</v>
      </c>
      <c r="J99" s="75" t="n">
        <f aca="false">'Ratio (data)'!J129/'Ratio (data)'!J99</f>
        <v>5.00849966123326</v>
      </c>
      <c r="K99" s="96" t="n">
        <f aca="false">'Ratio (data)'!K129/'Ratio (data)'!K99</f>
        <v>5.33923070406598</v>
      </c>
      <c r="L99" s="31" t="n">
        <f aca="false">'Ratio (data)'!L129/'Ratio (data)'!L99</f>
        <v>5.06495019250235</v>
      </c>
      <c r="M99" s="96" t="n">
        <f aca="false">'Ratio (data)'!M129/'Ratio (data)'!M99</f>
        <v>5.06817778148286</v>
      </c>
      <c r="N99" s="96" t="n">
        <f aca="false">'Ratio (data)'!N129/'Ratio (data)'!N99</f>
        <v>5.06819391942777</v>
      </c>
      <c r="O99" s="31" t="n">
        <f aca="false">'Ratio (data)'!O129/'Ratio (data)'!O99</f>
        <v>5.10898096137445</v>
      </c>
      <c r="P99" s="76" t="n">
        <f aca="false">'Ratio (data)'!P129/'Ratio (data)'!P99</f>
        <v>4.76527857120586</v>
      </c>
      <c r="Q99" s="75" t="n">
        <f aca="false">'Ratio (data)'!Q129/'Ratio (data)'!Q99</f>
        <v>4.81493392677405</v>
      </c>
      <c r="R99" s="31" t="n">
        <f aca="false">'Ratio (data)'!R129/'Ratio (data)'!R99</f>
        <v>4.7307010365303</v>
      </c>
      <c r="S99" s="96" t="n">
        <f aca="false">'Ratio (data)'!S129/'Ratio (data)'!S99</f>
        <v>4.96227154289929</v>
      </c>
      <c r="T99" s="31" t="n">
        <f aca="false">'Ratio (data)'!T129/'Ratio (data)'!T99</f>
        <v>5.03282242703269</v>
      </c>
      <c r="U99" s="31" t="n">
        <f aca="false">'Ratio (data)'!U129/'Ratio (data)'!U99</f>
        <v>15.963918725407</v>
      </c>
      <c r="V99" s="96" t="n">
        <f aca="false">'Ratio (data)'!V129/'Ratio (data)'!V99</f>
        <v>15.2385080446374</v>
      </c>
      <c r="W99" s="96" t="n">
        <f aca="false">'Ratio (data)'!W129/'Ratio (data)'!W99</f>
        <v>15.1430811963625</v>
      </c>
      <c r="X99" s="74" t="n">
        <f aca="false">'Ratio (data)'!X129/'Ratio (data)'!X99</f>
        <v>16.3654919008903</v>
      </c>
      <c r="Y99" s="75" t="n">
        <f aca="false">'Ratio (data)'!Y129/'Ratio (data)'!Y99</f>
        <v>16.7322151122487</v>
      </c>
      <c r="Z99" s="31" t="n">
        <f aca="false">'Ratio (data)'!Z129/'Ratio (data)'!Z99</f>
        <v>16.2907270103922</v>
      </c>
      <c r="AA99" s="96" t="n">
        <f aca="false">'Ratio (data)'!AA129/'Ratio (data)'!AA99</f>
        <v>16.5641609837734</v>
      </c>
      <c r="AB99" s="31" t="n">
        <f aca="false">'Ratio (data)'!AB129/'Ratio (data)'!AB99</f>
        <v>16.3971652056187</v>
      </c>
      <c r="AC99" s="76" t="n">
        <f aca="false">'Ratio (data)'!AC129/'Ratio (data)'!AC99</f>
        <v>8.88325325551955</v>
      </c>
      <c r="AD99" s="75" t="n">
        <f aca="false">'Ratio (data)'!AD129/'Ratio (data)'!AD99</f>
        <v>8.52275566582987</v>
      </c>
      <c r="AE99" s="31" t="n">
        <f aca="false">'Ratio (data)'!AE129/'Ratio (data)'!AE99</f>
        <v>8.66244753697237</v>
      </c>
      <c r="AF99" s="96" t="n">
        <f aca="false">'Ratio (data)'!AF129/'Ratio (data)'!AF99</f>
        <v>8.34750691022747</v>
      </c>
      <c r="AG99" s="31" t="n">
        <f aca="false">'Ratio (data)'!AG129/'Ratio (data)'!AG99</f>
        <v>8.11357791397094</v>
      </c>
      <c r="AH99" s="31" t="n">
        <f aca="false">'Ratio (data)'!AH129/'Ratio (data)'!AH99</f>
        <v>7.66719615333653</v>
      </c>
      <c r="AI99" s="74" t="n">
        <f aca="false">'Ratio (data)'!AI129/'Ratio (data)'!AI99</f>
        <v>10.1655694989035</v>
      </c>
      <c r="AJ99" s="75" t="n">
        <f aca="false">'Ratio (data)'!AJ129/'Ratio (data)'!AJ99</f>
        <v>10.2373384383917</v>
      </c>
      <c r="AK99" s="31" t="n">
        <f aca="false">'Ratio (data)'!AK129/'Ratio (data)'!AK99</f>
        <v>9.78161417595914</v>
      </c>
      <c r="AL99" s="96" t="n">
        <f aca="false">'Ratio (data)'!AL129/'Ratio (data)'!AL99</f>
        <v>9.15284975091386</v>
      </c>
      <c r="AM99" s="31" t="n">
        <f aca="false">'Ratio (data)'!AM129/'Ratio (data)'!AM99</f>
        <v>8.74627842213727</v>
      </c>
      <c r="AN99" s="76" t="n">
        <f aca="false">'Ratio (data)'!AN129/'Ratio (data)'!AN99</f>
        <v>14.3337630313268</v>
      </c>
      <c r="AO99" s="31" t="n">
        <f aca="false">'Ratio (data)'!AO129/'Ratio (data)'!AO99</f>
        <v>13.6456931097325</v>
      </c>
      <c r="AP99" s="31" t="n">
        <f aca="false">'Ratio (data)'!AP129/'Ratio (data)'!AP99</f>
        <v>13.7913600910862</v>
      </c>
      <c r="AQ99" s="96" t="n">
        <f aca="false">'Ratio (data)'!AQ129/'Ratio (data)'!AQ99</f>
        <v>13.4837912726116</v>
      </c>
    </row>
    <row r="100" customFormat="false" ht="12.8" hidden="false" customHeight="false" outlineLevel="0" collapsed="false">
      <c r="A100" s="139" t="s">
        <v>31</v>
      </c>
      <c r="B100" s="72" t="n">
        <f aca="false">'Ratio (data)'!B130/'Ratio (data)'!B100</f>
        <v>7.79763341665952</v>
      </c>
      <c r="C100" s="72" t="n">
        <f aca="false">'Ratio (data)'!C130/'Ratio (data)'!C100</f>
        <v>7.79763341665952</v>
      </c>
      <c r="D100" s="31" t="n">
        <f aca="false">'Ratio (data)'!D130/'Ratio (data)'!D100</f>
        <v>7.79763341665952</v>
      </c>
      <c r="E100" s="96" t="n">
        <f aca="false">'Ratio (data)'!E130/'Ratio (data)'!E100</f>
        <v>6.81133829847646</v>
      </c>
      <c r="F100" s="31" t="n">
        <f aca="false">'Ratio (data)'!F130/'Ratio (data)'!F100</f>
        <v>6.03549661394446</v>
      </c>
      <c r="G100" s="96" t="n">
        <f aca="false">'Ratio (data)'!G130/'Ratio (data)'!G100</f>
        <v>3.69046031760771</v>
      </c>
      <c r="H100" s="31" t="n">
        <f aca="false">'Ratio (data)'!H130/'Ratio (data)'!H100</f>
        <v>3.69046031760771</v>
      </c>
      <c r="I100" s="74" t="n">
        <f aca="false">'Ratio (data)'!I130/'Ratio (data)'!I100</f>
        <v>3.43154868195618</v>
      </c>
      <c r="J100" s="75" t="n">
        <f aca="false">'Ratio (data)'!J130/'Ratio (data)'!J100</f>
        <v>3.52627245109698</v>
      </c>
      <c r="K100" s="96" t="n">
        <f aca="false">'Ratio (data)'!K130/'Ratio (data)'!K100</f>
        <v>4.66327342668376</v>
      </c>
      <c r="L100" s="31" t="n">
        <f aca="false">'Ratio (data)'!L130/'Ratio (data)'!L100</f>
        <v>4.66327342668376</v>
      </c>
      <c r="M100" s="96" t="n">
        <f aca="false">'Ratio (data)'!M130/'Ratio (data)'!M100</f>
        <v>4.69225890004084</v>
      </c>
      <c r="N100" s="96" t="n">
        <f aca="false">'Ratio (data)'!N130/'Ratio (data)'!N100</f>
        <v>4.12852617529421</v>
      </c>
      <c r="O100" s="31" t="n">
        <f aca="false">'Ratio (data)'!O130/'Ratio (data)'!O100</f>
        <v>1.74757056389745</v>
      </c>
      <c r="P100" s="76" t="n">
        <f aca="false">'Ratio (data)'!P130/'Ratio (data)'!P100</f>
        <v>2.40556654611524</v>
      </c>
      <c r="Q100" s="75" t="n">
        <f aca="false">'Ratio (data)'!Q130/'Ratio (data)'!Q100</f>
        <v>2.60574882608795</v>
      </c>
      <c r="R100" s="31" t="n">
        <f aca="false">'Ratio (data)'!R130/'Ratio (data)'!R100</f>
        <v>2.34284276505712</v>
      </c>
      <c r="S100" s="96" t="n">
        <f aca="false">'Ratio (data)'!S130/'Ratio (data)'!S100</f>
        <v>2.77924013539764</v>
      </c>
      <c r="T100" s="31" t="n">
        <f aca="false">'Ratio (data)'!T130/'Ratio (data)'!T100</f>
        <v>2.28946082373107</v>
      </c>
      <c r="U100" s="31" t="n">
        <f aca="false">'Ratio (data)'!U130/'Ratio (data)'!U100</f>
        <v>11.5157752122827</v>
      </c>
      <c r="V100" s="96" t="n">
        <f aca="false">'Ratio (data)'!V130/'Ratio (data)'!V100</f>
        <v>11.5716888353123</v>
      </c>
      <c r="W100" s="96" t="n">
        <f aca="false">'Ratio (data)'!W130/'Ratio (data)'!W100</f>
        <v>11.5716888353123</v>
      </c>
      <c r="X100" s="74" t="n">
        <f aca="false">'Ratio (data)'!X130/'Ratio (data)'!X100</f>
        <v>11.5716888353123</v>
      </c>
      <c r="Y100" s="75" t="n">
        <f aca="false">'Ratio (data)'!Y130/'Ratio (data)'!Y100</f>
        <v>11.3222280556417</v>
      </c>
      <c r="Z100" s="31" t="n">
        <f aca="false">'Ratio (data)'!Z130/'Ratio (data)'!Z100</f>
        <v>11.3508300243453</v>
      </c>
      <c r="AA100" s="96" t="n">
        <f aca="false">'Ratio (data)'!AA130/'Ratio (data)'!AA100</f>
        <v>11.9774927070695</v>
      </c>
      <c r="AB100" s="31" t="n">
        <f aca="false">'Ratio (data)'!AB130/'Ratio (data)'!AB100</f>
        <v>10.4921258060482</v>
      </c>
      <c r="AC100" s="76" t="n">
        <f aca="false">'Ratio (data)'!AC130/'Ratio (data)'!AC100</f>
        <v>4.88291867599839</v>
      </c>
      <c r="AD100" s="75" t="n">
        <f aca="false">'Ratio (data)'!AD130/'Ratio (data)'!AD100</f>
        <v>4.88185765712287</v>
      </c>
      <c r="AE100" s="31" t="n">
        <f aca="false">'Ratio (data)'!AE130/'Ratio (data)'!AE100</f>
        <v>5.16653491597483</v>
      </c>
      <c r="AF100" s="96" t="n">
        <f aca="false">'Ratio (data)'!AF130/'Ratio (data)'!AF100</f>
        <v>4.5157324632013</v>
      </c>
      <c r="AG100" s="31" t="n">
        <f aca="false">'Ratio (data)'!AG130/'Ratio (data)'!AG100</f>
        <v>4.73555494328695</v>
      </c>
      <c r="AH100" s="31" t="n">
        <f aca="false">'Ratio (data)'!AH130/'Ratio (data)'!AH100</f>
        <v>7.57329403122959</v>
      </c>
      <c r="AI100" s="74" t="n">
        <f aca="false">'Ratio (data)'!AI130/'Ratio (data)'!AI100</f>
        <v>12.9308533134908</v>
      </c>
      <c r="AJ100" s="75" t="n">
        <f aca="false">'Ratio (data)'!AJ130/'Ratio (data)'!AJ100</f>
        <v>13.9345121763947</v>
      </c>
      <c r="AK100" s="31" t="n">
        <f aca="false">'Ratio (data)'!AK130/'Ratio (data)'!AK100</f>
        <v>13.8840111723422</v>
      </c>
      <c r="AL100" s="96" t="n">
        <f aca="false">'Ratio (data)'!AL130/'Ratio (data)'!AL100</f>
        <v>12.9061152429263</v>
      </c>
      <c r="AM100" s="31" t="n">
        <f aca="false">'Ratio (data)'!AM130/'Ratio (data)'!AM100</f>
        <v>12.5209081441358</v>
      </c>
      <c r="AN100" s="76" t="n">
        <f aca="false">'Ratio (data)'!AN130/'Ratio (data)'!AN100</f>
        <v>7.51660375412337</v>
      </c>
      <c r="AO100" s="31" t="n">
        <f aca="false">'Ratio (data)'!AO130/'Ratio (data)'!AO100</f>
        <v>7.51660375412337</v>
      </c>
      <c r="AP100" s="31" t="n">
        <f aca="false">'Ratio (data)'!AP130/'Ratio (data)'!AP100</f>
        <v>7.51660375412337</v>
      </c>
      <c r="AQ100" s="96" t="n">
        <f aca="false">'Ratio (data)'!AQ130/'Ratio (data)'!AQ100</f>
        <v>6.63795854115017</v>
      </c>
    </row>
    <row r="101" customFormat="false" ht="12.8" hidden="false" customHeight="false" outlineLevel="0" collapsed="false">
      <c r="A101" s="139" t="s">
        <v>184</v>
      </c>
      <c r="B101" s="72" t="n">
        <f aca="false">'Ratio (data)'!B131/'Ratio (data)'!B101</f>
        <v>15.5113043640562</v>
      </c>
      <c r="C101" s="72" t="n">
        <f aca="false">'Ratio (data)'!C131/'Ratio (data)'!C101</f>
        <v>14.1759534859082</v>
      </c>
      <c r="D101" s="31" t="n">
        <f aca="false">'Ratio (data)'!D131/'Ratio (data)'!D101</f>
        <v>14.1734226814011</v>
      </c>
      <c r="E101" s="96" t="n">
        <f aca="false">'Ratio (data)'!E131/'Ratio (data)'!E101</f>
        <v>14.1734226814011</v>
      </c>
      <c r="F101" s="31" t="n">
        <f aca="false">'Ratio (data)'!F131/'Ratio (data)'!F101</f>
        <v>13.4704214294148</v>
      </c>
      <c r="G101" s="96" t="n">
        <f aca="false">'Ratio (data)'!G131/'Ratio (data)'!G101</f>
        <v>17.8849786835988</v>
      </c>
      <c r="H101" s="31" t="n">
        <f aca="false">'Ratio (data)'!H131/'Ratio (data)'!H101</f>
        <v>16.5272357366243</v>
      </c>
      <c r="I101" s="74" t="n">
        <f aca="false">'Ratio (data)'!I131/'Ratio (data)'!I101</f>
        <v>16.0100261900234</v>
      </c>
      <c r="J101" s="75" t="n">
        <f aca="false">'Ratio (data)'!J131/'Ratio (data)'!J101</f>
        <v>16.0678660395646</v>
      </c>
      <c r="K101" s="96" t="n">
        <f aca="false">'Ratio (data)'!K131/'Ratio (data)'!K101</f>
        <v>15.5315575755096</v>
      </c>
      <c r="L101" s="31" t="n">
        <f aca="false">'Ratio (data)'!L131/'Ratio (data)'!L101</f>
        <v>15.491730449065</v>
      </c>
      <c r="M101" s="96" t="n">
        <f aca="false">'Ratio (data)'!M131/'Ratio (data)'!M101</f>
        <v>15.4410413790446</v>
      </c>
      <c r="N101" s="96" t="n">
        <f aca="false">'Ratio (data)'!N131/'Ratio (data)'!N101</f>
        <v>15.4410413790446</v>
      </c>
      <c r="O101" s="31" t="n">
        <f aca="false">'Ratio (data)'!O131/'Ratio (data)'!O101</f>
        <v>15.7974036445272</v>
      </c>
      <c r="P101" s="76" t="n">
        <f aca="false">'Ratio (data)'!P131/'Ratio (data)'!P101</f>
        <v>13.0823877505338</v>
      </c>
      <c r="Q101" s="75" t="n">
        <f aca="false">'Ratio (data)'!Q131/'Ratio (data)'!Q101</f>
        <v>13.620388741286</v>
      </c>
      <c r="R101" s="31" t="n">
        <f aca="false">'Ratio (data)'!R131/'Ratio (data)'!R101</f>
        <v>15.2509500593705</v>
      </c>
      <c r="S101" s="96" t="n">
        <f aca="false">'Ratio (data)'!S131/'Ratio (data)'!S101</f>
        <v>14.4431497056802</v>
      </c>
      <c r="T101" s="31" t="n">
        <f aca="false">'Ratio (data)'!T131/'Ratio (data)'!T101</f>
        <v>13.946617203821</v>
      </c>
      <c r="U101" s="31" t="n">
        <f aca="false">'Ratio (data)'!U131/'Ratio (data)'!U101</f>
        <v>15.0120626197559</v>
      </c>
      <c r="V101" s="96" t="n">
        <f aca="false">'Ratio (data)'!V131/'Ratio (data)'!V101</f>
        <v>14.0467288023316</v>
      </c>
      <c r="W101" s="96" t="n">
        <f aca="false">'Ratio (data)'!W131/'Ratio (data)'!W101</f>
        <v>14.0467288023316</v>
      </c>
      <c r="X101" s="74" t="n">
        <f aca="false">'Ratio (data)'!X131/'Ratio (data)'!X101</f>
        <v>15.1405348032476</v>
      </c>
      <c r="Y101" s="75" t="n">
        <f aca="false">'Ratio (data)'!Y131/'Ratio (data)'!Y101</f>
        <v>15.7859803870199</v>
      </c>
      <c r="Z101" s="31" t="n">
        <f aca="false">'Ratio (data)'!Z131/'Ratio (data)'!Z101</f>
        <v>15.054164146468</v>
      </c>
      <c r="AA101" s="96" t="n">
        <f aca="false">'Ratio (data)'!AA131/'Ratio (data)'!AA101</f>
        <v>15.0208164025376</v>
      </c>
      <c r="AB101" s="31" t="n">
        <f aca="false">'Ratio (data)'!AB131/'Ratio (data)'!AB101</f>
        <v>14.1787858682958</v>
      </c>
      <c r="AC101" s="76" t="n">
        <f aca="false">'Ratio (data)'!AC131/'Ratio (data)'!AC101</f>
        <v>13.8492922061118</v>
      </c>
      <c r="AD101" s="75" t="n">
        <f aca="false">'Ratio (data)'!AD131/'Ratio (data)'!AD101</f>
        <v>14.3979459631262</v>
      </c>
      <c r="AE101" s="31" t="n">
        <f aca="false">'Ratio (data)'!AE131/'Ratio (data)'!AE101</f>
        <v>13.6563755074746</v>
      </c>
      <c r="AF101" s="96" t="n">
        <f aca="false">'Ratio (data)'!AF131/'Ratio (data)'!AF101</f>
        <v>13.6542079041192</v>
      </c>
      <c r="AG101" s="31" t="n">
        <f aca="false">'Ratio (data)'!AG131/'Ratio (data)'!AG101</f>
        <v>12.8318525387963</v>
      </c>
      <c r="AH101" s="31" t="n">
        <f aca="false">'Ratio (data)'!AH131/'Ratio (data)'!AH101</f>
        <v>14.3761010252358</v>
      </c>
      <c r="AI101" s="74" t="n">
        <f aca="false">'Ratio (data)'!AI131/'Ratio (data)'!AI101</f>
        <v>18.1223181975013</v>
      </c>
      <c r="AJ101" s="75" t="n">
        <f aca="false">'Ratio (data)'!AJ131/'Ratio (data)'!AJ101</f>
        <v>17.4519164315437</v>
      </c>
      <c r="AK101" s="31" t="n">
        <f aca="false">'Ratio (data)'!AK131/'Ratio (data)'!AK101</f>
        <v>16.5116483822851</v>
      </c>
      <c r="AL101" s="96" t="n">
        <f aca="false">'Ratio (data)'!AL131/'Ratio (data)'!AL101</f>
        <v>15.7200222783988</v>
      </c>
      <c r="AM101" s="31" t="n">
        <f aca="false">'Ratio (data)'!AM131/'Ratio (data)'!AM101</f>
        <v>15.1139922864396</v>
      </c>
      <c r="AN101" s="76" t="n">
        <f aca="false">'Ratio (data)'!AN131/'Ratio (data)'!AN101</f>
        <v>8.25914553093144</v>
      </c>
      <c r="AO101" s="31" t="n">
        <f aca="false">'Ratio (data)'!AO131/'Ratio (data)'!AO101</f>
        <v>8.16051495986861</v>
      </c>
      <c r="AP101" s="31" t="n">
        <f aca="false">'Ratio (data)'!AP131/'Ratio (data)'!AP101</f>
        <v>8.48444968890745</v>
      </c>
      <c r="AQ101" s="96" t="n">
        <f aca="false">'Ratio (data)'!AQ131/'Ratio (data)'!AQ101</f>
        <v>8.23090040325515</v>
      </c>
    </row>
    <row r="102" customFormat="false" ht="12.8" hidden="false" customHeight="false" outlineLevel="0" collapsed="false">
      <c r="A102" s="139" t="s">
        <v>185</v>
      </c>
      <c r="B102" s="72" t="n">
        <f aca="false">'Ratio (data)'!B132/'Ratio (data)'!B102</f>
        <v>27.4081390308439</v>
      </c>
      <c r="C102" s="72" t="n">
        <f aca="false">'Ratio (data)'!C132/'Ratio (data)'!C102</f>
        <v>27.4025274970182</v>
      </c>
      <c r="D102" s="31" t="n">
        <f aca="false">'Ratio (data)'!D132/'Ratio (data)'!D102</f>
        <v>27.528406059815</v>
      </c>
      <c r="E102" s="96" t="n">
        <f aca="false">'Ratio (data)'!E132/'Ratio (data)'!E102</f>
        <v>27.36940155944</v>
      </c>
      <c r="F102" s="31" t="n">
        <f aca="false">'Ratio (data)'!F132/'Ratio (data)'!F102</f>
        <v>27.2368978091276</v>
      </c>
      <c r="G102" s="96" t="n">
        <f aca="false">'Ratio (data)'!G132/'Ratio (data)'!G102</f>
        <v>36.0792646454565</v>
      </c>
      <c r="H102" s="31" t="n">
        <f aca="false">'Ratio (data)'!H132/'Ratio (data)'!H102</f>
        <v>35.8867385103582</v>
      </c>
      <c r="I102" s="74" t="n">
        <f aca="false">'Ratio (data)'!I132/'Ratio (data)'!I102</f>
        <v>36.0274489695905</v>
      </c>
      <c r="J102" s="75" t="n">
        <f aca="false">'Ratio (data)'!J132/'Ratio (data)'!J102</f>
        <v>34.6822855017199</v>
      </c>
      <c r="K102" s="96" t="n">
        <f aca="false">'Ratio (data)'!K132/'Ratio (data)'!K102</f>
        <v>34.0518551070418</v>
      </c>
      <c r="L102" s="31" t="n">
        <f aca="false">'Ratio (data)'!L132/'Ratio (data)'!L102</f>
        <v>34.0498965695687</v>
      </c>
      <c r="M102" s="96" t="n">
        <f aca="false">'Ratio (data)'!M132/'Ratio (data)'!M102</f>
        <v>34.0498965695687</v>
      </c>
      <c r="N102" s="96" t="n">
        <f aca="false">'Ratio (data)'!N132/'Ratio (data)'!N102</f>
        <v>34.0508473159149</v>
      </c>
      <c r="O102" s="31" t="n">
        <f aca="false">'Ratio (data)'!O132/'Ratio (data)'!O102</f>
        <v>34.1925085214934</v>
      </c>
      <c r="P102" s="76" t="n">
        <f aca="false">'Ratio (data)'!P132/'Ratio (data)'!P102</f>
        <v>35.7211269822901</v>
      </c>
      <c r="Q102" s="75" t="n">
        <f aca="false">'Ratio (data)'!Q132/'Ratio (data)'!Q102</f>
        <v>34.7776785172053</v>
      </c>
      <c r="R102" s="31" t="n">
        <f aca="false">'Ratio (data)'!R132/'Ratio (data)'!R102</f>
        <v>33.8962546157911</v>
      </c>
      <c r="S102" s="96" t="n">
        <f aca="false">'Ratio (data)'!S132/'Ratio (data)'!S102</f>
        <v>33.5587059699647</v>
      </c>
      <c r="T102" s="31" t="n">
        <f aca="false">'Ratio (data)'!T132/'Ratio (data)'!T102</f>
        <v>33.8224158495166</v>
      </c>
      <c r="U102" s="31" t="n">
        <f aca="false">'Ratio (data)'!U132/'Ratio (data)'!U102</f>
        <v>22.1367629328607</v>
      </c>
      <c r="V102" s="96" t="n">
        <f aca="false">'Ratio (data)'!V132/'Ratio (data)'!V102</f>
        <v>22.2571169531003</v>
      </c>
      <c r="W102" s="96" t="n">
        <f aca="false">'Ratio (data)'!W132/'Ratio (data)'!W102</f>
        <v>22.2498234445684</v>
      </c>
      <c r="X102" s="74" t="n">
        <f aca="false">'Ratio (data)'!X132/'Ratio (data)'!X102</f>
        <v>22.2498234445684</v>
      </c>
      <c r="Y102" s="75" t="n">
        <f aca="false">'Ratio (data)'!Y132/'Ratio (data)'!Y102</f>
        <v>22.1004066848382</v>
      </c>
      <c r="Z102" s="31" t="n">
        <f aca="false">'Ratio (data)'!Z132/'Ratio (data)'!Z102</f>
        <v>22.2398959629655</v>
      </c>
      <c r="AA102" s="96" t="n">
        <f aca="false">'Ratio (data)'!AA132/'Ratio (data)'!AA102</f>
        <v>22.245089712683</v>
      </c>
      <c r="AB102" s="31" t="n">
        <f aca="false">'Ratio (data)'!AB132/'Ratio (data)'!AB102</f>
        <v>22.2621548903262</v>
      </c>
      <c r="AC102" s="76" t="n">
        <f aca="false">'Ratio (data)'!AC132/'Ratio (data)'!AC102</f>
        <v>26.2923435627978</v>
      </c>
      <c r="AD102" s="75" t="n">
        <f aca="false">'Ratio (data)'!AD132/'Ratio (data)'!AD102</f>
        <v>26.1334113512067</v>
      </c>
      <c r="AE102" s="31" t="n">
        <f aca="false">'Ratio (data)'!AE132/'Ratio (data)'!AE102</f>
        <v>26.1334113512067</v>
      </c>
      <c r="AF102" s="96" t="n">
        <f aca="false">'Ratio (data)'!AF132/'Ratio (data)'!AF102</f>
        <v>26.1334113512067</v>
      </c>
      <c r="AG102" s="31" t="n">
        <f aca="false">'Ratio (data)'!AG132/'Ratio (data)'!AG102</f>
        <v>25.8297135377914</v>
      </c>
      <c r="AH102" s="31" t="n">
        <f aca="false">'Ratio (data)'!AH132/'Ratio (data)'!AH102</f>
        <v>24.5023812928949</v>
      </c>
      <c r="AI102" s="74" t="n">
        <f aca="false">'Ratio (data)'!AI132/'Ratio (data)'!AI102</f>
        <v>24.857634674101</v>
      </c>
      <c r="AJ102" s="75" t="n">
        <f aca="false">'Ratio (data)'!AJ132/'Ratio (data)'!AJ102</f>
        <v>25.0505406619751</v>
      </c>
      <c r="AK102" s="31" t="n">
        <f aca="false">'Ratio (data)'!AK132/'Ratio (data)'!AK102</f>
        <v>24.8036905902243</v>
      </c>
      <c r="AL102" s="96" t="n">
        <f aca="false">'Ratio (data)'!AL132/'Ratio (data)'!AL102</f>
        <v>24.8085504176006</v>
      </c>
      <c r="AM102" s="31" t="n">
        <f aca="false">'Ratio (data)'!AM132/'Ratio (data)'!AM102</f>
        <v>24.8085504176006</v>
      </c>
      <c r="AN102" s="76" t="n">
        <f aca="false">'Ratio (data)'!AN132/'Ratio (data)'!AN102</f>
        <v>23.976015247552</v>
      </c>
      <c r="AO102" s="31" t="n">
        <f aca="false">'Ratio (data)'!AO132/'Ratio (data)'!AO102</f>
        <v>23.6947125966561</v>
      </c>
      <c r="AP102" s="31" t="n">
        <f aca="false">'Ratio (data)'!AP132/'Ratio (data)'!AP102</f>
        <v>23.9920832549712</v>
      </c>
      <c r="AQ102" s="96" t="n">
        <f aca="false">'Ratio (data)'!AQ132/'Ratio (data)'!AQ102</f>
        <v>24.0311505671276</v>
      </c>
    </row>
    <row r="103" customFormat="false" ht="12.8" hidden="false" customHeight="false" outlineLevel="0" collapsed="false">
      <c r="A103" s="139" t="s">
        <v>29</v>
      </c>
      <c r="B103" s="72" t="n">
        <f aca="false">'Ratio (data)'!B133/'Ratio (data)'!B103</f>
        <v>11.5450467583322</v>
      </c>
      <c r="C103" s="72" t="n">
        <f aca="false">'Ratio (data)'!C133/'Ratio (data)'!C103</f>
        <v>11.0718826625293</v>
      </c>
      <c r="D103" s="31" t="n">
        <f aca="false">'Ratio (data)'!D133/'Ratio (data)'!D103</f>
        <v>11.0718826625293</v>
      </c>
      <c r="E103" s="96" t="n">
        <f aca="false">'Ratio (data)'!E133/'Ratio (data)'!E103</f>
        <v>11.4689205438453</v>
      </c>
      <c r="F103" s="31" t="n">
        <f aca="false">'Ratio (data)'!F133/'Ratio (data)'!F103</f>
        <v>9.21991240789696</v>
      </c>
      <c r="G103" s="96" t="n">
        <f aca="false">'Ratio (data)'!G133/'Ratio (data)'!G103</f>
        <v>19.2702929075117</v>
      </c>
      <c r="H103" s="31" t="n">
        <f aca="false">'Ratio (data)'!H133/'Ratio (data)'!H103</f>
        <v>18.473651679251</v>
      </c>
      <c r="I103" s="74" t="n">
        <f aca="false">'Ratio (data)'!I133/'Ratio (data)'!I103</f>
        <v>17.7400301516145</v>
      </c>
      <c r="J103" s="75" t="n">
        <f aca="false">'Ratio (data)'!J133/'Ratio (data)'!J103</f>
        <v>16.9180984222729</v>
      </c>
      <c r="K103" s="96" t="n">
        <f aca="false">'Ratio (data)'!K133/'Ratio (data)'!K103</f>
        <v>16.0360254903083</v>
      </c>
      <c r="L103" s="31" t="n">
        <f aca="false">'Ratio (data)'!L133/'Ratio (data)'!L103</f>
        <v>15.7420011796534</v>
      </c>
      <c r="M103" s="96" t="n">
        <f aca="false">'Ratio (data)'!M133/'Ratio (data)'!M103</f>
        <v>15.7420011796534</v>
      </c>
      <c r="N103" s="96" t="n">
        <f aca="false">'Ratio (data)'!N133/'Ratio (data)'!N103</f>
        <v>15.0069404030163</v>
      </c>
      <c r="O103" s="31" t="n">
        <f aca="false">'Ratio (data)'!O133/'Ratio (data)'!O103</f>
        <v>15.0025506200582</v>
      </c>
      <c r="P103" s="76" t="n">
        <f aca="false">'Ratio (data)'!P133/'Ratio (data)'!P103</f>
        <v>14.7696518562878</v>
      </c>
      <c r="Q103" s="75" t="n">
        <f aca="false">'Ratio (data)'!Q133/'Ratio (data)'!Q103</f>
        <v>15.5888356398929</v>
      </c>
      <c r="R103" s="31" t="n">
        <f aca="false">'Ratio (data)'!R133/'Ratio (data)'!R103</f>
        <v>16.0980579918637</v>
      </c>
      <c r="S103" s="96" t="n">
        <f aca="false">'Ratio (data)'!S133/'Ratio (data)'!S103</f>
        <v>16.0980579918637</v>
      </c>
      <c r="T103" s="31" t="n">
        <f aca="false">'Ratio (data)'!T133/'Ratio (data)'!T103</f>
        <v>15.3615305900277</v>
      </c>
      <c r="U103" s="31" t="n">
        <f aca="false">'Ratio (data)'!U133/'Ratio (data)'!U103</f>
        <v>12.7432830361451</v>
      </c>
      <c r="V103" s="96" t="n">
        <f aca="false">'Ratio (data)'!V133/'Ratio (data)'!V103</f>
        <v>13.8859012464597</v>
      </c>
      <c r="W103" s="96" t="n">
        <f aca="false">'Ratio (data)'!W133/'Ratio (data)'!W103</f>
        <v>13.8859012464597</v>
      </c>
      <c r="X103" s="74" t="n">
        <f aca="false">'Ratio (data)'!X133/'Ratio (data)'!X103</f>
        <v>13.8859012464597</v>
      </c>
      <c r="Y103" s="75" t="n">
        <f aca="false">'Ratio (data)'!Y133/'Ratio (data)'!Y103</f>
        <v>15.1368624240262</v>
      </c>
      <c r="Z103" s="31" t="n">
        <f aca="false">'Ratio (data)'!Z133/'Ratio (data)'!Z103</f>
        <v>15.6639706468814</v>
      </c>
      <c r="AA103" s="96" t="n">
        <f aca="false">'Ratio (data)'!AA133/'Ratio (data)'!AA103</f>
        <v>15.4522801741618</v>
      </c>
      <c r="AB103" s="31" t="n">
        <f aca="false">'Ratio (data)'!AB133/'Ratio (data)'!AB103</f>
        <v>15.9179987060887</v>
      </c>
      <c r="AC103" s="76" t="n">
        <f aca="false">'Ratio (data)'!AC133/'Ratio (data)'!AC103</f>
        <v>18.6226268133038</v>
      </c>
      <c r="AD103" s="75" t="n">
        <f aca="false">'Ratio (data)'!AD133/'Ratio (data)'!AD103</f>
        <v>19.2917324111775</v>
      </c>
      <c r="AE103" s="31" t="n">
        <f aca="false">'Ratio (data)'!AE133/'Ratio (data)'!AE103</f>
        <v>16.8437851018833</v>
      </c>
      <c r="AF103" s="96" t="n">
        <f aca="false">'Ratio (data)'!AF133/'Ratio (data)'!AF103</f>
        <v>16.1547336293335</v>
      </c>
      <c r="AG103" s="31" t="n">
        <f aca="false">'Ratio (data)'!AG133/'Ratio (data)'!AG103</f>
        <v>15.7013688917576</v>
      </c>
      <c r="AH103" s="31" t="n">
        <f aca="false">'Ratio (data)'!AH133/'Ratio (data)'!AH103</f>
        <v>20.1338249926396</v>
      </c>
      <c r="AI103" s="74" t="n">
        <f aca="false">'Ratio (data)'!AI133/'Ratio (data)'!AI103</f>
        <v>20.0253485777851</v>
      </c>
      <c r="AJ103" s="75" t="n">
        <f aca="false">'Ratio (data)'!AJ133/'Ratio (data)'!AJ103</f>
        <v>18.6644620542847</v>
      </c>
      <c r="AK103" s="31" t="n">
        <f aca="false">'Ratio (data)'!AK133/'Ratio (data)'!AK103</f>
        <v>18.8342775426828</v>
      </c>
      <c r="AL103" s="96" t="n">
        <f aca="false">'Ratio (data)'!AL133/'Ratio (data)'!AL103</f>
        <v>18.7995650899293</v>
      </c>
      <c r="AM103" s="31" t="n">
        <f aca="false">'Ratio (data)'!AM133/'Ratio (data)'!AM103</f>
        <v>18.0727731104043</v>
      </c>
      <c r="AN103" s="76" t="n">
        <f aca="false">'Ratio (data)'!AN133/'Ratio (data)'!AN103</f>
        <v>15.378464479377</v>
      </c>
      <c r="AO103" s="31" t="n">
        <f aca="false">'Ratio (data)'!AO133/'Ratio (data)'!AO103</f>
        <v>14.3001225883481</v>
      </c>
      <c r="AP103" s="31" t="n">
        <f aca="false">'Ratio (data)'!AP133/'Ratio (data)'!AP103</f>
        <v>13.7500958519843</v>
      </c>
      <c r="AQ103" s="96" t="n">
        <f aca="false">'Ratio (data)'!AQ133/'Ratio (data)'!AQ103</f>
        <v>13.4787010807522</v>
      </c>
    </row>
    <row r="104" customFormat="false" ht="12.8" hidden="false" customHeight="false" outlineLevel="0" collapsed="false">
      <c r="A104" s="139" t="s">
        <v>186</v>
      </c>
      <c r="B104" s="72" t="n">
        <f aca="false">'Ratio (data)'!B134/'Ratio (data)'!B104</f>
        <v>18.7558496695547</v>
      </c>
      <c r="C104" s="72" t="n">
        <f aca="false">'Ratio (data)'!C134/'Ratio (data)'!C104</f>
        <v>17.6832754527718</v>
      </c>
      <c r="D104" s="31" t="n">
        <f aca="false">'Ratio (data)'!D134/'Ratio (data)'!D104</f>
        <v>17.1622289544561</v>
      </c>
      <c r="E104" s="96" t="n">
        <f aca="false">'Ratio (data)'!E134/'Ratio (data)'!E104</f>
        <v>18.7016845176616</v>
      </c>
      <c r="F104" s="31" t="n">
        <f aca="false">'Ratio (data)'!F134/'Ratio (data)'!F104</f>
        <v>15.1538315427665</v>
      </c>
      <c r="G104" s="96" t="n">
        <f aca="false">'Ratio (data)'!G134/'Ratio (data)'!G104</f>
        <v>13.3064848669199</v>
      </c>
      <c r="H104" s="31" t="n">
        <f aca="false">'Ratio (data)'!H134/'Ratio (data)'!H104</f>
        <v>22.0158214065389</v>
      </c>
      <c r="I104" s="74" t="n">
        <f aca="false">'Ratio (data)'!I134/'Ratio (data)'!I104</f>
        <v>21.370043212522</v>
      </c>
      <c r="J104" s="75" t="n">
        <f aca="false">'Ratio (data)'!J134/'Ratio (data)'!J104</f>
        <v>20.3975873560917</v>
      </c>
      <c r="K104" s="96" t="n">
        <f aca="false">'Ratio (data)'!K134/'Ratio (data)'!K104</f>
        <v>18.7869304364543</v>
      </c>
      <c r="L104" s="31" t="n">
        <f aca="false">'Ratio (data)'!L134/'Ratio (data)'!L104</f>
        <v>18.7869304364543</v>
      </c>
      <c r="M104" s="96" t="n">
        <f aca="false">'Ratio (data)'!M134/'Ratio (data)'!M104</f>
        <v>18.7869304364543</v>
      </c>
      <c r="N104" s="96" t="n">
        <f aca="false">'Ratio (data)'!N134/'Ratio (data)'!N104</f>
        <v>18.5716710384486</v>
      </c>
      <c r="O104" s="31" t="n">
        <f aca="false">'Ratio (data)'!O134/'Ratio (data)'!O104</f>
        <v>18.9160860752577</v>
      </c>
      <c r="P104" s="76" t="n">
        <f aca="false">'Ratio (data)'!P134/'Ratio (data)'!P104</f>
        <v>27.5236324974069</v>
      </c>
      <c r="Q104" s="75" t="n">
        <f aca="false">'Ratio (data)'!Q134/'Ratio (data)'!Q104</f>
        <v>26.635631203361</v>
      </c>
      <c r="R104" s="31" t="n">
        <f aca="false">'Ratio (data)'!R134/'Ratio (data)'!R104</f>
        <v>26.635631203361</v>
      </c>
      <c r="S104" s="96" t="n">
        <f aca="false">'Ratio (data)'!S134/'Ratio (data)'!S104</f>
        <v>26.5886855349491</v>
      </c>
      <c r="T104" s="31" t="n">
        <f aca="false">'Ratio (data)'!T134/'Ratio (data)'!T104</f>
        <v>27.5769125750496</v>
      </c>
      <c r="U104" s="31" t="n">
        <f aca="false">'Ratio (data)'!U134/'Ratio (data)'!U104</f>
        <v>109.402989717297</v>
      </c>
      <c r="V104" s="96" t="n">
        <f aca="false">'Ratio (data)'!V134/'Ratio (data)'!V104</f>
        <v>111.741150680623</v>
      </c>
      <c r="W104" s="96" t="n">
        <f aca="false">'Ratio (data)'!W134/'Ratio (data)'!W104</f>
        <v>111.741150680623</v>
      </c>
      <c r="X104" s="74" t="n">
        <f aca="false">'Ratio (data)'!X134/'Ratio (data)'!X104</f>
        <v>111.741150680623</v>
      </c>
      <c r="Y104" s="75" t="n">
        <f aca="false">'Ratio (data)'!Y134/'Ratio (data)'!Y104</f>
        <v>115.248392125611</v>
      </c>
      <c r="Z104" s="31" t="n">
        <f aca="false">'Ratio (data)'!Z134/'Ratio (data)'!Z104</f>
        <v>111.741150680623</v>
      </c>
      <c r="AA104" s="96" t="n">
        <f aca="false">'Ratio (data)'!AA134/'Ratio (data)'!AA104</f>
        <v>118.732251960966</v>
      </c>
      <c r="AB104" s="31" t="n">
        <f aca="false">'Ratio (data)'!AB134/'Ratio (data)'!AB104</f>
        <v>107.064828753971</v>
      </c>
      <c r="AC104" s="76" t="n">
        <f aca="false">'Ratio (data)'!AC134/'Ratio (data)'!AC104</f>
        <v>11.8389407506045</v>
      </c>
      <c r="AD104" s="75" t="n">
        <f aca="false">'Ratio (data)'!AD134/'Ratio (data)'!AD104</f>
        <v>11.8552633597127</v>
      </c>
      <c r="AE104" s="31" t="n">
        <f aca="false">'Ratio (data)'!AE134/'Ratio (data)'!AE104</f>
        <v>11.3927709600407</v>
      </c>
      <c r="AF104" s="96" t="n">
        <f aca="false">'Ratio (data)'!AF134/'Ratio (data)'!AF104</f>
        <v>11.3927709600407</v>
      </c>
      <c r="AG104" s="31" t="n">
        <f aca="false">'Ratio (data)'!AG134/'Ratio (data)'!AG104</f>
        <v>12.7229666089264</v>
      </c>
      <c r="AH104" s="31" t="n">
        <f aca="false">'Ratio (data)'!AH134/'Ratio (data)'!AH104</f>
        <v>11.3630078446443</v>
      </c>
      <c r="AI104" s="74" t="n">
        <f aca="false">'Ratio (data)'!AI134/'Ratio (data)'!AI104</f>
        <v>14.6713258959847</v>
      </c>
      <c r="AJ104" s="75" t="n">
        <f aca="false">'Ratio (data)'!AJ134/'Ratio (data)'!AJ104</f>
        <v>14.4937455624289</v>
      </c>
      <c r="AK104" s="31" t="n">
        <f aca="false">'Ratio (data)'!AK134/'Ratio (data)'!AK104</f>
        <v>13.6813753406221</v>
      </c>
      <c r="AL104" s="96" t="n">
        <f aca="false">'Ratio (data)'!AL134/'Ratio (data)'!AL104</f>
        <v>13.6788304805826</v>
      </c>
      <c r="AM104" s="31" t="n">
        <f aca="false">'Ratio (data)'!AM134/'Ratio (data)'!AM104</f>
        <v>13.7424519815699</v>
      </c>
      <c r="AN104" s="76" t="n">
        <f aca="false">'Ratio (data)'!AN134/'Ratio (data)'!AN104</f>
        <v>13.0862539238228</v>
      </c>
      <c r="AO104" s="31" t="n">
        <f aca="false">'Ratio (data)'!AO134/'Ratio (data)'!AO104</f>
        <v>12.9552926031471</v>
      </c>
      <c r="AP104" s="31" t="n">
        <f aca="false">'Ratio (data)'!AP134/'Ratio (data)'!AP104</f>
        <v>12.6375868275449</v>
      </c>
      <c r="AQ104" s="96" t="n">
        <f aca="false">'Ratio (data)'!AQ134/'Ratio (data)'!AQ104</f>
        <v>12.3147959196862</v>
      </c>
    </row>
    <row r="105" customFormat="false" ht="12.8" hidden="false" customHeight="false" outlineLevel="0" collapsed="false">
      <c r="A105" s="139" t="s">
        <v>187</v>
      </c>
      <c r="B105" s="72" t="n">
        <f aca="false">'Ratio (data)'!B135/'Ratio (data)'!B105</f>
        <v>7.03735591312818</v>
      </c>
      <c r="C105" s="72" t="n">
        <f aca="false">'Ratio (data)'!C135/'Ratio (data)'!C105</f>
        <v>7.07045528895887</v>
      </c>
      <c r="D105" s="31" t="n">
        <f aca="false">'Ratio (data)'!D135/'Ratio (data)'!D105</f>
        <v>7.07045528895887</v>
      </c>
      <c r="E105" s="96" t="n">
        <f aca="false">'Ratio (data)'!E135/'Ratio (data)'!E105</f>
        <v>7.01523504314232</v>
      </c>
      <c r="F105" s="31" t="n">
        <f aca="false">'Ratio (data)'!F135/'Ratio (data)'!F105</f>
        <v>7.05406945933972</v>
      </c>
      <c r="G105" s="96" t="n">
        <f aca="false">'Ratio (data)'!G135/'Ratio (data)'!G105</f>
        <v>3.77161584179255</v>
      </c>
      <c r="H105" s="31" t="n">
        <f aca="false">'Ratio (data)'!H135/'Ratio (data)'!H105</f>
        <v>3.7803445450666</v>
      </c>
      <c r="I105" s="74" t="n">
        <f aca="false">'Ratio (data)'!I135/'Ratio (data)'!I105</f>
        <v>3.8850889843552</v>
      </c>
      <c r="J105" s="75" t="n">
        <f aca="false">'Ratio (data)'!J135/'Ratio (data)'!J105</f>
        <v>3.72797232542229</v>
      </c>
      <c r="K105" s="96" t="n">
        <f aca="false">'Ratio (data)'!K135/'Ratio (data)'!K105</f>
        <v>3.7523254075569</v>
      </c>
      <c r="L105" s="31" t="n">
        <f aca="false">'Ratio (data)'!L135/'Ratio (data)'!L105</f>
        <v>3.71924362214825</v>
      </c>
      <c r="M105" s="96" t="n">
        <f aca="false">'Ratio (data)'!M135/'Ratio (data)'!M105</f>
        <v>3.71924362214825</v>
      </c>
      <c r="N105" s="96" t="n">
        <f aca="false">'Ratio (data)'!N135/'Ratio (data)'!N105</f>
        <v>3.71051491887419</v>
      </c>
      <c r="O105" s="31" t="n">
        <f aca="false">'Ratio (data)'!O135/'Ratio (data)'!O105</f>
        <v>3.75415843524445</v>
      </c>
      <c r="P105" s="76" t="n">
        <f aca="false">'Ratio (data)'!P135/'Ratio (data)'!P105</f>
        <v>5.33037463819078</v>
      </c>
      <c r="Q105" s="75" t="n">
        <f aca="false">'Ratio (data)'!Q135/'Ratio (data)'!Q105</f>
        <v>5.30829153725296</v>
      </c>
      <c r="R105" s="31" t="n">
        <f aca="false">'Ratio (data)'!R135/'Ratio (data)'!R105</f>
        <v>5.1537098306882</v>
      </c>
      <c r="S105" s="96" t="n">
        <f aca="false">'Ratio (data)'!S135/'Ratio (data)'!S105</f>
        <v>5.19202401081532</v>
      </c>
      <c r="T105" s="31" t="n">
        <f aca="false">'Ratio (data)'!T135/'Ratio (data)'!T105</f>
        <v>5.18550949603866</v>
      </c>
      <c r="U105" s="31" t="n">
        <f aca="false">'Ratio (data)'!U135/'Ratio (data)'!U105</f>
        <v>14.9223008056798</v>
      </c>
      <c r="V105" s="96" t="n">
        <f aca="false">'Ratio (data)'!V135/'Ratio (data)'!V105</f>
        <v>14.4294384801359</v>
      </c>
      <c r="W105" s="96" t="n">
        <f aca="false">'Ratio (data)'!W135/'Ratio (data)'!W105</f>
        <v>14.144282420357</v>
      </c>
      <c r="X105" s="74" t="n">
        <f aca="false">'Ratio (data)'!X135/'Ratio (data)'!X105</f>
        <v>14.2534162210131</v>
      </c>
      <c r="Y105" s="75" t="n">
        <f aca="false">'Ratio (data)'!Y135/'Ratio (data)'!Y105</f>
        <v>14.5350518356096</v>
      </c>
      <c r="Z105" s="31" t="n">
        <f aca="false">'Ratio (data)'!Z135/'Ratio (data)'!Z105</f>
        <v>14.2291251492542</v>
      </c>
      <c r="AA105" s="96" t="n">
        <f aca="false">'Ratio (data)'!AA135/'Ratio (data)'!AA105</f>
        <v>14.499847383785</v>
      </c>
      <c r="AB105" s="31" t="n">
        <f aca="false">'Ratio (data)'!AB135/'Ratio (data)'!AB105</f>
        <v>14.3238251246622</v>
      </c>
      <c r="AC105" s="76" t="n">
        <f aca="false">'Ratio (data)'!AC135/'Ratio (data)'!AC105</f>
        <v>16.7586881879177</v>
      </c>
      <c r="AD105" s="75" t="n">
        <f aca="false">'Ratio (data)'!AD135/'Ratio (data)'!AD105</f>
        <v>16.8531968101686</v>
      </c>
      <c r="AE105" s="31" t="n">
        <f aca="false">'Ratio (data)'!AE135/'Ratio (data)'!AE105</f>
        <v>17.1492196848223</v>
      </c>
      <c r="AF105" s="96" t="n">
        <f aca="false">'Ratio (data)'!AF135/'Ratio (data)'!AF105</f>
        <v>17.3034796260996</v>
      </c>
      <c r="AG105" s="31" t="n">
        <f aca="false">'Ratio (data)'!AG135/'Ratio (data)'!AG105</f>
        <v>20.6562610593001</v>
      </c>
      <c r="AH105" s="31" t="n">
        <f aca="false">'Ratio (data)'!AH135/'Ratio (data)'!AH105</f>
        <v>20.5221785936226</v>
      </c>
      <c r="AI105" s="74" t="n">
        <f aca="false">'Ratio (data)'!AI135/'Ratio (data)'!AI105</f>
        <v>21.3266733876876</v>
      </c>
      <c r="AJ105" s="75" t="n">
        <f aca="false">'Ratio (data)'!AJ135/'Ratio (data)'!AJ105</f>
        <v>21.3664511858386</v>
      </c>
      <c r="AK105" s="31" t="n">
        <f aca="false">'Ratio (data)'!AK135/'Ratio (data)'!AK105</f>
        <v>22.041779871301</v>
      </c>
      <c r="AL105" s="96" t="n">
        <f aca="false">'Ratio (data)'!AL135/'Ratio (data)'!AL105</f>
        <v>21.683779687942</v>
      </c>
      <c r="AM105" s="31" t="n">
        <f aca="false">'Ratio (data)'!AM135/'Ratio (data)'!AM105</f>
        <v>18.9127464192654</v>
      </c>
      <c r="AN105" s="76" t="n">
        <f aca="false">'Ratio (data)'!AN135/'Ratio (data)'!AN105</f>
        <v>19.1240362229381</v>
      </c>
      <c r="AO105" s="31" t="n">
        <f aca="false">'Ratio (data)'!AO135/'Ratio (data)'!AO105</f>
        <v>19.2930680658762</v>
      </c>
      <c r="AP105" s="31" t="n">
        <f aca="false">'Ratio (data)'!AP135/'Ratio (data)'!AP105</f>
        <v>20.5506649773358</v>
      </c>
      <c r="AQ105" s="96" t="n">
        <f aca="false">'Ratio (data)'!AQ135/'Ratio (data)'!AQ105</f>
        <v>20.1804852413013</v>
      </c>
    </row>
    <row r="106" customFormat="false" ht="12.8" hidden="false" customHeight="false" outlineLevel="0" collapsed="false">
      <c r="A106" s="139" t="s">
        <v>188</v>
      </c>
      <c r="B106" s="72" t="n">
        <f aca="false">'Ratio (data)'!B136/'Ratio (data)'!B106</f>
        <v>7.23165627854153</v>
      </c>
      <c r="C106" s="72" t="n">
        <f aca="false">'Ratio (data)'!C136/'Ratio (data)'!C106</f>
        <v>7.23165627854153</v>
      </c>
      <c r="D106" s="31" t="n">
        <f aca="false">'Ratio (data)'!D136/'Ratio (data)'!D106</f>
        <v>7.23165627854153</v>
      </c>
      <c r="E106" s="96" t="n">
        <f aca="false">'Ratio (data)'!E136/'Ratio (data)'!E106</f>
        <v>7.23165627854153</v>
      </c>
      <c r="F106" s="31" t="n">
        <f aca="false">'Ratio (data)'!F136/'Ratio (data)'!F106</f>
        <v>7.23165627854153</v>
      </c>
      <c r="G106" s="96" t="n">
        <f aca="false">'Ratio (data)'!G136/'Ratio (data)'!G106</f>
        <v>8.98602020977335</v>
      </c>
      <c r="H106" s="31" t="n">
        <f aca="false">'Ratio (data)'!H136/'Ratio (data)'!H106</f>
        <v>8.98602020977335</v>
      </c>
      <c r="I106" s="74" t="n">
        <f aca="false">'Ratio (data)'!I136/'Ratio (data)'!I106</f>
        <v>8.68604345547616</v>
      </c>
      <c r="J106" s="75" t="n">
        <f aca="false">'Ratio (data)'!J136/'Ratio (data)'!J106</f>
        <v>8.6867933973619</v>
      </c>
      <c r="K106" s="96" t="n">
        <f aca="false">'Ratio (data)'!K136/'Ratio (data)'!K106</f>
        <v>8.43181315620929</v>
      </c>
      <c r="L106" s="31" t="n">
        <f aca="false">'Ratio (data)'!L136/'Ratio (data)'!L106</f>
        <v>8.43181315620929</v>
      </c>
      <c r="M106" s="96" t="n">
        <f aca="false">'Ratio (data)'!M136/'Ratio (data)'!M106</f>
        <v>8.43181315620929</v>
      </c>
      <c r="N106" s="96" t="n">
        <f aca="false">'Ratio (data)'!N136/'Ratio (data)'!N106</f>
        <v>8.38606670117897</v>
      </c>
      <c r="O106" s="31" t="n">
        <f aca="false">'Ratio (data)'!O136/'Ratio (data)'!O106</f>
        <v>8.38756658495045</v>
      </c>
      <c r="P106" s="76" t="n">
        <f aca="false">'Ratio (data)'!P136/'Ratio (data)'!P106</f>
        <v>9.62536179842972</v>
      </c>
      <c r="Q106" s="75" t="n">
        <f aca="false">'Ratio (data)'!Q136/'Ratio (data)'!Q106</f>
        <v>9.41376227002239</v>
      </c>
      <c r="R106" s="31" t="n">
        <f aca="false">'Ratio (data)'!R136/'Ratio (data)'!R106</f>
        <v>9.11503352403558</v>
      </c>
      <c r="S106" s="96" t="n">
        <f aca="false">'Ratio (data)'!S136/'Ratio (data)'!S106</f>
        <v>9.11503352403558</v>
      </c>
      <c r="T106" s="31" t="n">
        <f aca="false">'Ratio (data)'!T136/'Ratio (data)'!T106</f>
        <v>8.94269001673549</v>
      </c>
      <c r="U106" s="31" t="n">
        <f aca="false">'Ratio (data)'!U136/'Ratio (data)'!U106</f>
        <v>14.7075709333927</v>
      </c>
      <c r="V106" s="96" t="n">
        <f aca="false">'Ratio (data)'!V136/'Ratio (data)'!V106</f>
        <v>14.7075709333927</v>
      </c>
      <c r="W106" s="96" t="n">
        <f aca="false">'Ratio (data)'!W136/'Ratio (data)'!W106</f>
        <v>14.7075709333927</v>
      </c>
      <c r="X106" s="74" t="n">
        <f aca="false">'Ratio (data)'!X136/'Ratio (data)'!X106</f>
        <v>14.7075709333927</v>
      </c>
      <c r="Y106" s="75" t="n">
        <f aca="false">'Ratio (data)'!Y136/'Ratio (data)'!Y106</f>
        <v>14.7075709333927</v>
      </c>
      <c r="Z106" s="31" t="n">
        <f aca="false">'Ratio (data)'!Z136/'Ratio (data)'!Z106</f>
        <v>14.6041827491761</v>
      </c>
      <c r="AA106" s="96" t="n">
        <f aca="false">'Ratio (data)'!AA136/'Ratio (data)'!AA106</f>
        <v>14.5067880828852</v>
      </c>
      <c r="AB106" s="31" t="n">
        <f aca="false">'Ratio (data)'!AB136/'Ratio (data)'!AB106</f>
        <v>14.2580570889729</v>
      </c>
      <c r="AC106" s="76" t="n">
        <f aca="false">'Ratio (data)'!AC136/'Ratio (data)'!AC106</f>
        <v>9.4640428519147</v>
      </c>
      <c r="AD106" s="75" t="n">
        <f aca="false">'Ratio (data)'!AD136/'Ratio (data)'!AD106</f>
        <v>8.96910371906877</v>
      </c>
      <c r="AE106" s="31" t="n">
        <f aca="false">'Ratio (data)'!AE136/'Ratio (data)'!AE106</f>
        <v>8.97009558105845</v>
      </c>
      <c r="AF106" s="96" t="n">
        <f aca="false">'Ratio (data)'!AF136/'Ratio (data)'!AF106</f>
        <v>8.97009558105845</v>
      </c>
      <c r="AG106" s="31" t="n">
        <f aca="false">'Ratio (data)'!AG136/'Ratio (data)'!AG106</f>
        <v>9.19242171876217</v>
      </c>
      <c r="AH106" s="31" t="n">
        <f aca="false">'Ratio (data)'!AH136/'Ratio (data)'!AH106</f>
        <v>9.4166549018141</v>
      </c>
      <c r="AI106" s="74" t="n">
        <f aca="false">'Ratio (data)'!AI136/'Ratio (data)'!AI106</f>
        <v>9.94116211371046</v>
      </c>
      <c r="AJ106" s="75" t="n">
        <f aca="false">'Ratio (data)'!AJ136/'Ratio (data)'!AJ106</f>
        <v>10.1707133934932</v>
      </c>
      <c r="AK106" s="31" t="n">
        <f aca="false">'Ratio (data)'!AK136/'Ratio (data)'!AK106</f>
        <v>9.95243330379661</v>
      </c>
      <c r="AL106" s="96" t="n">
        <f aca="false">'Ratio (data)'!AL136/'Ratio (data)'!AL106</f>
        <v>9.60516952473387</v>
      </c>
      <c r="AM106" s="31" t="n">
        <f aca="false">'Ratio (data)'!AM136/'Ratio (data)'!AM106</f>
        <v>11.7293736146225</v>
      </c>
      <c r="AN106" s="76" t="n">
        <f aca="false">'Ratio (data)'!AN136/'Ratio (data)'!AN106</f>
        <v>11.7293736146225</v>
      </c>
      <c r="AO106" s="31" t="n">
        <f aca="false">'Ratio (data)'!AO136/'Ratio (data)'!AO106</f>
        <v>10.8976006217518</v>
      </c>
      <c r="AP106" s="31" t="n">
        <f aca="false">'Ratio (data)'!AP136/'Ratio (data)'!AP106</f>
        <v>10.8976006217518</v>
      </c>
      <c r="AQ106" s="96" t="n">
        <f aca="false">'Ratio (data)'!AQ136/'Ratio (data)'!AQ106</f>
        <v>11.0081831583762</v>
      </c>
    </row>
    <row r="107" customFormat="false" ht="12.8" hidden="false" customHeight="false" outlineLevel="0" collapsed="false">
      <c r="A107" s="139" t="s">
        <v>189</v>
      </c>
      <c r="B107" s="72" t="n">
        <f aca="false">'Ratio (data)'!B137/'Ratio (data)'!B107</f>
        <v>35.0337485808821</v>
      </c>
      <c r="C107" s="72" t="n">
        <f aca="false">'Ratio (data)'!C137/'Ratio (data)'!C107</f>
        <v>35.278210300741</v>
      </c>
      <c r="D107" s="31" t="n">
        <f aca="false">'Ratio (data)'!D137/'Ratio (data)'!D107</f>
        <v>35.4251545039349</v>
      </c>
      <c r="E107" s="96" t="n">
        <f aca="false">'Ratio (data)'!E137/'Ratio (data)'!E107</f>
        <v>34.1649966401814</v>
      </c>
      <c r="F107" s="31" t="n">
        <f aca="false">'Ratio (data)'!F137/'Ratio (data)'!F107</f>
        <v>33.7753718589855</v>
      </c>
      <c r="G107" s="96" t="n">
        <f aca="false">'Ratio (data)'!G137/'Ratio (data)'!G107</f>
        <v>33.7197111759575</v>
      </c>
      <c r="H107" s="31" t="n">
        <f aca="false">'Ratio (data)'!H137/'Ratio (data)'!H107</f>
        <v>33.7419754491687</v>
      </c>
      <c r="I107" s="74" t="n">
        <f aca="false">'Ratio (data)'!I137/'Ratio (data)'!I107</f>
        <v>50.2398842309354</v>
      </c>
      <c r="J107" s="75" t="n">
        <f aca="false">'Ratio (data)'!J137/'Ratio (data)'!J107</f>
        <v>50.246641009843</v>
      </c>
      <c r="K107" s="96" t="n">
        <f aca="false">'Ratio (data)'!K137/'Ratio (data)'!K107</f>
        <v>48.8954879316763</v>
      </c>
      <c r="L107" s="31" t="n">
        <f aca="false">'Ratio (data)'!L137/'Ratio (data)'!L107</f>
        <v>48.8962987451452</v>
      </c>
      <c r="M107" s="96" t="n">
        <f aca="false">'Ratio (data)'!M137/'Ratio (data)'!M107</f>
        <v>48.8952852283091</v>
      </c>
      <c r="N107" s="96" t="n">
        <f aca="false">'Ratio (data)'!N137/'Ratio (data)'!N107</f>
        <v>48.8949473893637</v>
      </c>
      <c r="O107" s="31" t="n">
        <f aca="false">'Ratio (data)'!O137/'Ratio (data)'!O107</f>
        <v>48.8885284494014</v>
      </c>
      <c r="P107" s="76" t="n">
        <f aca="false">'Ratio (data)'!P137/'Ratio (data)'!P107</f>
        <v>49.5777198979837</v>
      </c>
      <c r="Q107" s="75" t="n">
        <f aca="false">'Ratio (data)'!Q137/'Ratio (data)'!Q107</f>
        <v>58.5662610726291</v>
      </c>
      <c r="R107" s="31" t="n">
        <f aca="false">'Ratio (data)'!R137/'Ratio (data)'!R107</f>
        <v>58.7503526477978</v>
      </c>
      <c r="S107" s="96" t="n">
        <f aca="false">'Ratio (data)'!S137/'Ratio (data)'!S107</f>
        <v>58.6030793876628</v>
      </c>
      <c r="T107" s="31" t="n">
        <f aca="false">'Ratio (data)'!T137/'Ratio (data)'!T107</f>
        <v>59.0502746420628</v>
      </c>
      <c r="U107" s="31" t="n">
        <f aca="false">'Ratio (data)'!U137/'Ratio (data)'!U107</f>
        <v>58.8239892778653</v>
      </c>
      <c r="V107" s="96" t="n">
        <f aca="false">'Ratio (data)'!V137/'Ratio (data)'!V107</f>
        <v>40.6593348085584</v>
      </c>
      <c r="W107" s="96" t="n">
        <f aca="false">'Ratio (data)'!W137/'Ratio (data)'!W107</f>
        <v>40.2303737362959</v>
      </c>
      <c r="X107" s="74" t="n">
        <f aca="false">'Ratio (data)'!X137/'Ratio (data)'!X107</f>
        <v>40.2303737362959</v>
      </c>
      <c r="Y107" s="75" t="n">
        <f aca="false">'Ratio (data)'!Y137/'Ratio (data)'!Y107</f>
        <v>40.8464758149495</v>
      </c>
      <c r="Z107" s="31" t="n">
        <f aca="false">'Ratio (data)'!Z137/'Ratio (data)'!Z107</f>
        <v>40.7437921351739</v>
      </c>
      <c r="AA107" s="96" t="n">
        <f aca="false">'Ratio (data)'!AA137/'Ratio (data)'!AA107</f>
        <v>40.939096494107</v>
      </c>
      <c r="AB107" s="31" t="n">
        <f aca="false">'Ratio (data)'!AB137/'Ratio (data)'!AB107</f>
        <v>41.0014254877308</v>
      </c>
      <c r="AC107" s="76" t="n">
        <f aca="false">'Ratio (data)'!AC137/'Ratio (data)'!AC107</f>
        <v>40.6924502952861</v>
      </c>
      <c r="AD107" s="75" t="n">
        <f aca="false">'Ratio (data)'!AD137/'Ratio (data)'!AD107</f>
        <v>33.6418226968476</v>
      </c>
      <c r="AE107" s="31" t="n">
        <f aca="false">'Ratio (data)'!AE137/'Ratio (data)'!AE107</f>
        <v>33.4038113567163</v>
      </c>
      <c r="AF107" s="96" t="n">
        <f aca="false">'Ratio (data)'!AF137/'Ratio (data)'!AF107</f>
        <v>33.5586626416352</v>
      </c>
      <c r="AG107" s="31" t="n">
        <f aca="false">'Ratio (data)'!AG137/'Ratio (data)'!AG107</f>
        <v>32.8281560224454</v>
      </c>
      <c r="AH107" s="31" t="n">
        <f aca="false">'Ratio (data)'!AH137/'Ratio (data)'!AH107</f>
        <v>32.8104435506217</v>
      </c>
      <c r="AI107" s="74" t="n">
        <f aca="false">'Ratio (data)'!AI137/'Ratio (data)'!AI107</f>
        <v>35.0554993542783</v>
      </c>
      <c r="AJ107" s="75" t="n">
        <f aca="false">'Ratio (data)'!AJ137/'Ratio (data)'!AJ107</f>
        <v>32.796022538741</v>
      </c>
      <c r="AK107" s="31" t="n">
        <f aca="false">'Ratio (data)'!AK137/'Ratio (data)'!AK107</f>
        <v>32.224743533913</v>
      </c>
      <c r="AL107" s="96" t="n">
        <f aca="false">'Ratio (data)'!AL137/'Ratio (data)'!AL107</f>
        <v>32.4475512581049</v>
      </c>
      <c r="AM107" s="31" t="n">
        <f aca="false">'Ratio (data)'!AM137/'Ratio (data)'!AM107</f>
        <v>31.6008819061758</v>
      </c>
      <c r="AN107" s="76" t="n">
        <f aca="false">'Ratio (data)'!AN137/'Ratio (data)'!AN107</f>
        <v>32.0019358097212</v>
      </c>
      <c r="AO107" s="31" t="n">
        <f aca="false">'Ratio (data)'!AO137/'Ratio (data)'!AO107</f>
        <v>30.3764971126148</v>
      </c>
      <c r="AP107" s="31" t="n">
        <f aca="false">'Ratio (data)'!AP137/'Ratio (data)'!AP107</f>
        <v>30.040074554646</v>
      </c>
      <c r="AQ107" s="96" t="n">
        <f aca="false">'Ratio (data)'!AQ137/'Ratio (data)'!AQ107</f>
        <v>29.6499122355523</v>
      </c>
    </row>
    <row r="108" customFormat="false" ht="12.8" hidden="false" customHeight="false" outlineLevel="0" collapsed="false">
      <c r="A108" s="139" t="s">
        <v>190</v>
      </c>
      <c r="B108" s="72" t="n">
        <f aca="false">'Ratio (data)'!B138/'Ratio (data)'!B108</f>
        <v>4.74060253078754</v>
      </c>
      <c r="C108" s="72" t="n">
        <f aca="false">'Ratio (data)'!C138/'Ratio (data)'!C108</f>
        <v>4.74197056017416</v>
      </c>
      <c r="D108" s="31" t="n">
        <f aca="false">'Ratio (data)'!D138/'Ratio (data)'!D108</f>
        <v>4.74197056017416</v>
      </c>
      <c r="E108" s="96" t="n">
        <f aca="false">'Ratio (data)'!E138/'Ratio (data)'!E108</f>
        <v>4.74197056017416</v>
      </c>
      <c r="F108" s="31" t="n">
        <f aca="false">'Ratio (data)'!F138/'Ratio (data)'!F108</f>
        <v>4.74197056017416</v>
      </c>
      <c r="G108" s="96" t="n">
        <f aca="false">'Ratio (data)'!G138/'Ratio (data)'!G108</f>
        <v>5.94157441924658</v>
      </c>
      <c r="H108" s="31" t="n">
        <f aca="false">'Ratio (data)'!H138/'Ratio (data)'!H108</f>
        <v>5.76913459341365</v>
      </c>
      <c r="I108" s="74" t="n">
        <f aca="false">'Ratio (data)'!I138/'Ratio (data)'!I108</f>
        <v>5.76913459341365</v>
      </c>
      <c r="J108" s="75" t="n">
        <f aca="false">'Ratio (data)'!J138/'Ratio (data)'!J108</f>
        <v>5.21677479094579</v>
      </c>
      <c r="K108" s="96" t="n">
        <f aca="false">'Ratio (data)'!K138/'Ratio (data)'!K108</f>
        <v>5.21677479094579</v>
      </c>
      <c r="L108" s="31" t="n">
        <f aca="false">'Ratio (data)'!L138/'Ratio (data)'!L108</f>
        <v>5.21677479094579</v>
      </c>
      <c r="M108" s="96" t="n">
        <f aca="false">'Ratio (data)'!M138/'Ratio (data)'!M108</f>
        <v>5.21677479094579</v>
      </c>
      <c r="N108" s="96" t="n">
        <f aca="false">'Ratio (data)'!N138/'Ratio (data)'!N108</f>
        <v>5.21677479094579</v>
      </c>
      <c r="O108" s="31" t="n">
        <f aca="false">'Ratio (data)'!O138/'Ratio (data)'!O108</f>
        <v>5.1993409346804</v>
      </c>
      <c r="P108" s="76" t="n">
        <f aca="false">'Ratio (data)'!P138/'Ratio (data)'!P108</f>
        <v>4.94230072490027</v>
      </c>
      <c r="Q108" s="75" t="n">
        <f aca="false">'Ratio (data)'!Q138/'Ratio (data)'!Q108</f>
        <v>4.94230072490027</v>
      </c>
      <c r="R108" s="31" t="n">
        <f aca="false">'Ratio (data)'!R138/'Ratio (data)'!R108</f>
        <v>5.09753048347975</v>
      </c>
      <c r="S108" s="96" t="n">
        <f aca="false">'Ratio (data)'!S138/'Ratio (data)'!S108</f>
        <v>5.09784156516027</v>
      </c>
      <c r="T108" s="31" t="n">
        <f aca="false">'Ratio (data)'!T138/'Ratio (data)'!T108</f>
        <v>5.09784156516027</v>
      </c>
      <c r="U108" s="31" t="n">
        <f aca="false">'Ratio (data)'!U138/'Ratio (data)'!U108</f>
        <v>4.78493692677447</v>
      </c>
      <c r="V108" s="96" t="n">
        <f aca="false">'Ratio (data)'!V138/'Ratio (data)'!V108</f>
        <v>5.36398947141388</v>
      </c>
      <c r="W108" s="96" t="n">
        <f aca="false">'Ratio (data)'!W138/'Ratio (data)'!W108</f>
        <v>5.36398947141388</v>
      </c>
      <c r="X108" s="74" t="n">
        <f aca="false">'Ratio (data)'!X138/'Ratio (data)'!X108</f>
        <v>5.36398947141388</v>
      </c>
      <c r="Y108" s="75" t="n">
        <f aca="false">'Ratio (data)'!Y138/'Ratio (data)'!Y108</f>
        <v>5.36254184005228</v>
      </c>
      <c r="Z108" s="31" t="n">
        <f aca="false">'Ratio (data)'!Z138/'Ratio (data)'!Z108</f>
        <v>5.49398676768543</v>
      </c>
      <c r="AA108" s="96" t="n">
        <f aca="false">'Ratio (data)'!AA138/'Ratio (data)'!AA108</f>
        <v>5.00222639415041</v>
      </c>
      <c r="AB108" s="31" t="n">
        <f aca="false">'Ratio (data)'!AB138/'Ratio (data)'!AB108</f>
        <v>5.00208163101425</v>
      </c>
      <c r="AC108" s="76" t="n">
        <f aca="false">'Ratio (data)'!AC138/'Ratio (data)'!AC108</f>
        <v>6.96878002729338</v>
      </c>
      <c r="AD108" s="75" t="n">
        <f aca="false">'Ratio (data)'!AD138/'Ratio (data)'!AD108</f>
        <v>6.69796833018734</v>
      </c>
      <c r="AE108" s="31" t="n">
        <f aca="false">'Ratio (data)'!AE138/'Ratio (data)'!AE108</f>
        <v>6.59776800225811</v>
      </c>
      <c r="AF108" s="96" t="n">
        <f aca="false">'Ratio (data)'!AF138/'Ratio (data)'!AF108</f>
        <v>6.59776800225811</v>
      </c>
      <c r="AG108" s="31" t="n">
        <f aca="false">'Ratio (data)'!AG138/'Ratio (data)'!AG108</f>
        <v>6.4271566330813</v>
      </c>
      <c r="AH108" s="31" t="n">
        <f aca="false">'Ratio (data)'!AH138/'Ratio (data)'!AH108</f>
        <v>7.90179528099448</v>
      </c>
      <c r="AI108" s="74" t="n">
        <f aca="false">'Ratio (data)'!AI138/'Ratio (data)'!AI108</f>
        <v>7.90179528099448</v>
      </c>
      <c r="AJ108" s="75" t="n">
        <f aca="false">'Ratio (data)'!AJ138/'Ratio (data)'!AJ108</f>
        <v>8.51598701146735</v>
      </c>
      <c r="AK108" s="31" t="n">
        <f aca="false">'Ratio (data)'!AK138/'Ratio (data)'!AK108</f>
        <v>8.22536000966631</v>
      </c>
      <c r="AL108" s="96" t="n">
        <f aca="false">'Ratio (data)'!AL138/'Ratio (data)'!AL108</f>
        <v>8.22536000966631</v>
      </c>
      <c r="AM108" s="31" t="n">
        <f aca="false">'Ratio (data)'!AM138/'Ratio (data)'!AM108</f>
        <v>8.53574964758982</v>
      </c>
      <c r="AN108" s="76" t="n">
        <f aca="false">'Ratio (data)'!AN138/'Ratio (data)'!AN108</f>
        <v>5.94230057636912</v>
      </c>
      <c r="AO108" s="31" t="n">
        <f aca="false">'Ratio (data)'!AO138/'Ratio (data)'!AO108</f>
        <v>6.12064948741372</v>
      </c>
      <c r="AP108" s="31" t="n">
        <f aca="false">'Ratio (data)'!AP138/'Ratio (data)'!AP108</f>
        <v>6.17697019616465</v>
      </c>
      <c r="AQ108" s="96" t="n">
        <f aca="false">'Ratio (data)'!AQ138/'Ratio (data)'!AQ108</f>
        <v>5.94230057636912</v>
      </c>
    </row>
    <row r="109" customFormat="false" ht="12.8" hidden="false" customHeight="false" outlineLevel="0" collapsed="false">
      <c r="A109" s="139" t="s">
        <v>26</v>
      </c>
      <c r="B109" s="72" t="n">
        <f aca="false">'Ratio (data)'!B139/'Ratio (data)'!B109</f>
        <v>40.7437757680139</v>
      </c>
      <c r="C109" s="72" t="n">
        <f aca="false">'Ratio (data)'!C139/'Ratio (data)'!C109</f>
        <v>41.0378224148726</v>
      </c>
      <c r="D109" s="31" t="n">
        <f aca="false">'Ratio (data)'!D139/'Ratio (data)'!D109</f>
        <v>40.5092051785024</v>
      </c>
      <c r="E109" s="96" t="n">
        <f aca="false">'Ratio (data)'!E139/'Ratio (data)'!E109</f>
        <v>40.5475812563886</v>
      </c>
      <c r="F109" s="31" t="n">
        <f aca="false">'Ratio (data)'!F139/'Ratio (data)'!F109</f>
        <v>40.351484792995</v>
      </c>
      <c r="G109" s="96" t="n">
        <f aca="false">'Ratio (data)'!G139/'Ratio (data)'!G109</f>
        <v>42.2671664013476</v>
      </c>
      <c r="H109" s="31" t="n">
        <f aca="false">'Ratio (data)'!H139/'Ratio (data)'!H109</f>
        <v>41.7973672684684</v>
      </c>
      <c r="I109" s="74" t="n">
        <f aca="false">'Ratio (data)'!I139/'Ratio (data)'!I109</f>
        <v>41.6172466523052</v>
      </c>
      <c r="J109" s="75" t="n">
        <f aca="false">'Ratio (data)'!J139/'Ratio (data)'!J109</f>
        <v>41.3387096170014</v>
      </c>
      <c r="K109" s="96" t="n">
        <f aca="false">'Ratio (data)'!K139/'Ratio (data)'!K109</f>
        <v>42.0480506002419</v>
      </c>
      <c r="L109" s="31" t="n">
        <f aca="false">'Ratio (data)'!L139/'Ratio (data)'!L109</f>
        <v>41.8976406011778</v>
      </c>
      <c r="M109" s="96" t="n">
        <f aca="false">'Ratio (data)'!M139/'Ratio (data)'!M109</f>
        <v>41.3387096170014</v>
      </c>
      <c r="N109" s="96" t="n">
        <f aca="false">'Ratio (data)'!N139/'Ratio (data)'!N109</f>
        <v>41.3387096170014</v>
      </c>
      <c r="O109" s="31" t="n">
        <f aca="false">'Ratio (data)'!O139/'Ratio (data)'!O109</f>
        <v>41.3201404813144</v>
      </c>
      <c r="P109" s="76" t="n">
        <f aca="false">'Ratio (data)'!P139/'Ratio (data)'!P109</f>
        <v>13.8622020910341</v>
      </c>
      <c r="Q109" s="75" t="n">
        <f aca="false">'Ratio (data)'!Q139/'Ratio (data)'!Q109</f>
        <v>13.7432983665858</v>
      </c>
      <c r="R109" s="31" t="n">
        <f aca="false">'Ratio (data)'!R139/'Ratio (data)'!R109</f>
        <v>13.9314460246834</v>
      </c>
      <c r="S109" s="96" t="n">
        <f aca="false">'Ratio (data)'!S139/'Ratio (data)'!S109</f>
        <v>13.9314460246834</v>
      </c>
      <c r="T109" s="31" t="n">
        <f aca="false">'Ratio (data)'!T139/'Ratio (data)'!T109</f>
        <v>14.1415069397633</v>
      </c>
      <c r="U109" s="31" t="n">
        <f aca="false">'Ratio (data)'!U139/'Ratio (data)'!U109</f>
        <v>27.3082315417694</v>
      </c>
      <c r="V109" s="96" t="n">
        <f aca="false">'Ratio (data)'!V139/'Ratio (data)'!V109</f>
        <v>27.2447318623032</v>
      </c>
      <c r="W109" s="96" t="n">
        <f aca="false">'Ratio (data)'!W139/'Ratio (data)'!W109</f>
        <v>27.2447318623032</v>
      </c>
      <c r="X109" s="74" t="n">
        <f aca="false">'Ratio (data)'!X139/'Ratio (data)'!X109</f>
        <v>27.6751120563653</v>
      </c>
      <c r="Y109" s="75" t="n">
        <f aca="false">'Ratio (data)'!Y139/'Ratio (data)'!Y109</f>
        <v>27.3816076446886</v>
      </c>
      <c r="Z109" s="31" t="n">
        <f aca="false">'Ratio (data)'!Z139/'Ratio (data)'!Z109</f>
        <v>27.2348554388502</v>
      </c>
      <c r="AA109" s="96" t="n">
        <f aca="false">'Ratio (data)'!AA139/'Ratio (data)'!AA109</f>
        <v>27.2348554388502</v>
      </c>
      <c r="AB109" s="31" t="n">
        <f aca="false">'Ratio (data)'!AB139/'Ratio (data)'!AB109</f>
        <v>27.4549837476078</v>
      </c>
      <c r="AC109" s="76" t="n">
        <f aca="false">'Ratio (data)'!AC139/'Ratio (data)'!AC109</f>
        <v>32.287440875033</v>
      </c>
      <c r="AD109" s="75" t="n">
        <f aca="false">'Ratio (data)'!AD139/'Ratio (data)'!AD109</f>
        <v>32.1222055679736</v>
      </c>
      <c r="AE109" s="31" t="n">
        <f aca="false">'Ratio (data)'!AE139/'Ratio (data)'!AE109</f>
        <v>32.1772840036601</v>
      </c>
      <c r="AF109" s="96" t="n">
        <f aca="false">'Ratio (data)'!AF139/'Ratio (data)'!AF109</f>
        <v>31.889000028875</v>
      </c>
      <c r="AG109" s="31" t="n">
        <f aca="false">'Ratio (data)'!AG139/'Ratio (data)'!AG109</f>
        <v>31.6241243892567</v>
      </c>
      <c r="AH109" s="31" t="n">
        <f aca="false">'Ratio (data)'!AH139/'Ratio (data)'!AH109</f>
        <v>34.8099679338919</v>
      </c>
      <c r="AI109" s="74" t="n">
        <f aca="false">'Ratio (data)'!AI139/'Ratio (data)'!AI109</f>
        <v>36.5338861338302</v>
      </c>
      <c r="AJ109" s="75" t="n">
        <f aca="false">'Ratio (data)'!AJ139/'Ratio (data)'!AJ109</f>
        <v>36.3140790897858</v>
      </c>
      <c r="AK109" s="31" t="n">
        <f aca="false">'Ratio (data)'!AK139/'Ratio (data)'!AK109</f>
        <v>35.4728861244627</v>
      </c>
      <c r="AL109" s="96" t="n">
        <f aca="false">'Ratio (data)'!AL139/'Ratio (data)'!AL109</f>
        <v>35.2517065789885</v>
      </c>
      <c r="AM109" s="31" t="n">
        <f aca="false">'Ratio (data)'!AM139/'Ratio (data)'!AM109</f>
        <v>34.9615447356271</v>
      </c>
      <c r="AN109" s="76" t="n">
        <f aca="false">'Ratio (data)'!AN139/'Ratio (data)'!AN109</f>
        <v>31.6414008628648</v>
      </c>
      <c r="AO109" s="31" t="n">
        <f aca="false">'Ratio (data)'!AO139/'Ratio (data)'!AO109</f>
        <v>30.7780324636468</v>
      </c>
      <c r="AP109" s="31" t="n">
        <f aca="false">'Ratio (data)'!AP139/'Ratio (data)'!AP109</f>
        <v>31.2891927472121</v>
      </c>
      <c r="AQ109" s="96" t="n">
        <f aca="false">'Ratio (data)'!AQ139/'Ratio (data)'!AQ109</f>
        <v>31.0497455711899</v>
      </c>
    </row>
    <row r="110" customFormat="false" ht="12.8" hidden="false" customHeight="false" outlineLevel="0" collapsed="false">
      <c r="A110" s="139" t="s">
        <v>191</v>
      </c>
      <c r="B110" s="72" t="n">
        <f aca="false">'Ratio (data)'!B140/'Ratio (data)'!B110</f>
        <v>19.3917019338781</v>
      </c>
      <c r="C110" s="72" t="n">
        <f aca="false">'Ratio (data)'!C140/'Ratio (data)'!C110</f>
        <v>21.3714726523331</v>
      </c>
      <c r="D110" s="31" t="n">
        <f aca="false">'Ratio (data)'!D140/'Ratio (data)'!D110</f>
        <v>21.3714726523331</v>
      </c>
      <c r="E110" s="96" t="n">
        <f aca="false">'Ratio (data)'!E140/'Ratio (data)'!E110</f>
        <v>20.7237200687471</v>
      </c>
      <c r="F110" s="31" t="n">
        <f aca="false">'Ratio (data)'!F140/'Ratio (data)'!F110</f>
        <v>20.9587820925475</v>
      </c>
      <c r="G110" s="96" t="n">
        <f aca="false">'Ratio (data)'!G140/'Ratio (data)'!G110</f>
        <v>20.0263693981392</v>
      </c>
      <c r="H110" s="31" t="n">
        <f aca="false">'Ratio (data)'!H140/'Ratio (data)'!H110</f>
        <v>19.3917019338781</v>
      </c>
      <c r="I110" s="74" t="n">
        <f aca="false">'Ratio (data)'!I140/'Ratio (data)'!I110</f>
        <v>19.3917019338781</v>
      </c>
      <c r="J110" s="75" t="n">
        <f aca="false">'Ratio (data)'!J140/'Ratio (data)'!J110</f>
        <v>16.4781151516223</v>
      </c>
      <c r="K110" s="96" t="n">
        <f aca="false">'Ratio (data)'!K140/'Ratio (data)'!K110</f>
        <v>17.084755356794</v>
      </c>
      <c r="L110" s="31" t="n">
        <f aca="false">'Ratio (data)'!L140/'Ratio (data)'!L110</f>
        <v>17.084755356794</v>
      </c>
      <c r="M110" s="96" t="n">
        <f aca="false">'Ratio (data)'!M140/'Ratio (data)'!M110</f>
        <v>17.084755356794</v>
      </c>
      <c r="N110" s="96" t="n">
        <f aca="false">'Ratio (data)'!N140/'Ratio (data)'!N110</f>
        <v>17.0301030860578</v>
      </c>
      <c r="O110" s="31" t="n">
        <f aca="false">'Ratio (data)'!O140/'Ratio (data)'!O110</f>
        <v>17.084755356794</v>
      </c>
      <c r="P110" s="76" t="n">
        <f aca="false">'Ratio (data)'!P140/'Ratio (data)'!P110</f>
        <v>14.3156887554033</v>
      </c>
      <c r="Q110" s="75" t="n">
        <f aca="false">'Ratio (data)'!Q140/'Ratio (data)'!Q110</f>
        <v>32.6921928307832</v>
      </c>
      <c r="R110" s="31" t="n">
        <f aca="false">'Ratio (data)'!R140/'Ratio (data)'!R110</f>
        <v>29.674148334273</v>
      </c>
      <c r="S110" s="96" t="n">
        <f aca="false">'Ratio (data)'!S140/'Ratio (data)'!S110</f>
        <v>29.8425370830053</v>
      </c>
      <c r="T110" s="31" t="n">
        <f aca="false">'Ratio (data)'!T140/'Ratio (data)'!T110</f>
        <v>29.5878814829993</v>
      </c>
      <c r="U110" s="31" t="n">
        <f aca="false">'Ratio (data)'!U140/'Ratio (data)'!U110</f>
        <v>30.7492457300255</v>
      </c>
      <c r="V110" s="96" t="n">
        <f aca="false">'Ratio (data)'!V140/'Ratio (data)'!V110</f>
        <v>30.1663615997982</v>
      </c>
      <c r="W110" s="96" t="n">
        <f aca="false">'Ratio (data)'!W140/'Ratio (data)'!W110</f>
        <v>19.6111489257686</v>
      </c>
      <c r="X110" s="74" t="n">
        <f aca="false">'Ratio (data)'!X140/'Ratio (data)'!X110</f>
        <v>19.6111489257686</v>
      </c>
      <c r="Y110" s="75" t="n">
        <f aca="false">'Ratio (data)'!Y140/'Ratio (data)'!Y110</f>
        <v>19.9755793407747</v>
      </c>
      <c r="Z110" s="31" t="n">
        <f aca="false">'Ratio (data)'!Z140/'Ratio (data)'!Z110</f>
        <v>18.9551741787577</v>
      </c>
      <c r="AA110" s="96" t="n">
        <f aca="false">'Ratio (data)'!AA140/'Ratio (data)'!AA110</f>
        <v>19.1171432520937</v>
      </c>
      <c r="AB110" s="31" t="n">
        <f aca="false">'Ratio (data)'!AB140/'Ratio (data)'!AB110</f>
        <v>17.4650587040662</v>
      </c>
      <c r="AC110" s="76" t="n">
        <f aca="false">'Ratio (data)'!AC140/'Ratio (data)'!AC110</f>
        <v>16.3312751907139</v>
      </c>
      <c r="AD110" s="75" t="n">
        <f aca="false">'Ratio (data)'!AD140/'Ratio (data)'!AD110</f>
        <v>247.894780177632</v>
      </c>
      <c r="AE110" s="31" t="n">
        <f aca="false">'Ratio (data)'!AE140/'Ratio (data)'!AE110</f>
        <v>254.11080543169</v>
      </c>
      <c r="AF110" s="96" t="n">
        <f aca="false">'Ratio (data)'!AF140/'Ratio (data)'!AF110</f>
        <v>240.642750714564</v>
      </c>
      <c r="AG110" s="31" t="n">
        <f aca="false">'Ratio (data)'!AG140/'Ratio (data)'!AG110</f>
        <v>187.393285487255</v>
      </c>
      <c r="AH110" s="31" t="n">
        <f aca="false">'Ratio (data)'!AH140/'Ratio (data)'!AH110</f>
        <v>379.994765882603</v>
      </c>
      <c r="AI110" s="74" t="n">
        <f aca="false">'Ratio (data)'!AI140/'Ratio (data)'!AI110</f>
        <v>425.853146650465</v>
      </c>
      <c r="AJ110" s="75" t="n">
        <f aca="false">'Ratio (data)'!AJ140/'Ratio (data)'!AJ110</f>
        <v>434.894503427046</v>
      </c>
      <c r="AK110" s="31" t="n">
        <f aca="false">'Ratio (data)'!AK140/'Ratio (data)'!AK110</f>
        <v>452.894417376044</v>
      </c>
      <c r="AL110" s="96" t="n">
        <f aca="false">'Ratio (data)'!AL140/'Ratio (data)'!AL110</f>
        <v>444.074459541035</v>
      </c>
      <c r="AM110" s="31" t="n">
        <f aca="false">'Ratio (data)'!AM140/'Ratio (data)'!AM110</f>
        <v>450.126030610688</v>
      </c>
      <c r="AN110" s="76" t="n">
        <f aca="false">'Ratio (data)'!AN140/'Ratio (data)'!AN110</f>
        <v>418.820774454171</v>
      </c>
      <c r="AO110" s="31" t="n">
        <f aca="false">'Ratio (data)'!AO140/'Ratio (data)'!AO110</f>
        <v>430.226185469686</v>
      </c>
      <c r="AP110" s="31" t="n">
        <f aca="false">'Ratio (data)'!AP140/'Ratio (data)'!AP110</f>
        <v>431.122999873438</v>
      </c>
      <c r="AQ110" s="96" t="n">
        <f aca="false">'Ratio (data)'!AQ140/'Ratio (data)'!AQ110</f>
        <v>422.20834377252</v>
      </c>
    </row>
    <row r="111" customFormat="false" ht="12.8" hidden="false" customHeight="false" outlineLevel="0" collapsed="false">
      <c r="A111" s="139" t="s">
        <v>192</v>
      </c>
      <c r="B111" s="72" t="n">
        <f aca="false">'Ratio (data)'!B141/'Ratio (data)'!B111</f>
        <v>4.52473338591753</v>
      </c>
      <c r="C111" s="72" t="n">
        <f aca="false">'Ratio (data)'!C141/'Ratio (data)'!C111</f>
        <v>4.52466153486821</v>
      </c>
      <c r="D111" s="31" t="n">
        <f aca="false">'Ratio (data)'!D141/'Ratio (data)'!D111</f>
        <v>4.52466153486821</v>
      </c>
      <c r="E111" s="96" t="n">
        <f aca="false">'Ratio (data)'!E141/'Ratio (data)'!E111</f>
        <v>4.52466153486821</v>
      </c>
      <c r="F111" s="31" t="n">
        <f aca="false">'Ratio (data)'!F141/'Ratio (data)'!F111</f>
        <v>4.52466153486821</v>
      </c>
      <c r="G111" s="96" t="n">
        <f aca="false">'Ratio (data)'!G141/'Ratio (data)'!G111</f>
        <v>5.30002809464884</v>
      </c>
      <c r="H111" s="31" t="n">
        <f aca="false">'Ratio (data)'!H141/'Ratio (data)'!H111</f>
        <v>5.15839796541996</v>
      </c>
      <c r="I111" s="74" t="n">
        <f aca="false">'Ratio (data)'!I141/'Ratio (data)'!I111</f>
        <v>5.24326288972488</v>
      </c>
      <c r="J111" s="75" t="n">
        <f aca="false">'Ratio (data)'!J141/'Ratio (data)'!J111</f>
        <v>5.24326288972488</v>
      </c>
      <c r="K111" s="96" t="n">
        <f aca="false">'Ratio (data)'!K141/'Ratio (data)'!K111</f>
        <v>5.24448871640929</v>
      </c>
      <c r="L111" s="31" t="n">
        <f aca="false">'Ratio (data)'!L141/'Ratio (data)'!L111</f>
        <v>5.24420583332827</v>
      </c>
      <c r="M111" s="96" t="n">
        <f aca="false">'Ratio (data)'!M141/'Ratio (data)'!M111</f>
        <v>5.24420583332827</v>
      </c>
      <c r="N111" s="96" t="n">
        <f aca="false">'Ratio (data)'!N141/'Ratio (data)'!N111</f>
        <v>5.24420583332827</v>
      </c>
      <c r="O111" s="31" t="n">
        <f aca="false">'Ratio (data)'!O141/'Ratio (data)'!O111</f>
        <v>5.24420583332827</v>
      </c>
      <c r="P111" s="76" t="n">
        <f aca="false">'Ratio (data)'!P141/'Ratio (data)'!P111</f>
        <v>7.20147751642036</v>
      </c>
      <c r="Q111" s="75" t="n">
        <f aca="false">'Ratio (data)'!Q141/'Ratio (data)'!Q111</f>
        <v>7.19583409753008</v>
      </c>
      <c r="R111" s="31" t="n">
        <f aca="false">'Ratio (data)'!R141/'Ratio (data)'!R111</f>
        <v>7.30870247533569</v>
      </c>
      <c r="S111" s="96" t="n">
        <f aca="false">'Ratio (data)'!S141/'Ratio (data)'!S111</f>
        <v>7.30870247533569</v>
      </c>
      <c r="T111" s="31" t="n">
        <f aca="false">'Ratio (data)'!T141/'Ratio (data)'!T111</f>
        <v>7.47800504204411</v>
      </c>
      <c r="U111" s="31" t="n">
        <f aca="false">'Ratio (data)'!U141/'Ratio (data)'!U111</f>
        <v>15.6892323538623</v>
      </c>
      <c r="V111" s="96" t="n">
        <f aca="false">'Ratio (data)'!V141/'Ratio (data)'!V111</f>
        <v>16.2599794193265</v>
      </c>
      <c r="W111" s="96" t="n">
        <f aca="false">'Ratio (data)'!W141/'Ratio (data)'!W111</f>
        <v>16.2599794193265</v>
      </c>
      <c r="X111" s="74" t="n">
        <f aca="false">'Ratio (data)'!X141/'Ratio (data)'!X111</f>
        <v>16.2599794193265</v>
      </c>
      <c r="Y111" s="75" t="n">
        <f aca="false">'Ratio (data)'!Y141/'Ratio (data)'!Y111</f>
        <v>16.3398840084915</v>
      </c>
      <c r="Z111" s="31" t="n">
        <f aca="false">'Ratio (data)'!Z141/'Ratio (data)'!Z111</f>
        <v>16.8489903908856</v>
      </c>
      <c r="AA111" s="96" t="n">
        <f aca="false">'Ratio (data)'!AA141/'Ratio (data)'!AA111</f>
        <v>16.8489903908856</v>
      </c>
      <c r="AB111" s="31" t="n">
        <f aca="false">'Ratio (data)'!AB141/'Ratio (data)'!AB111</f>
        <v>17.7439217895336</v>
      </c>
      <c r="AC111" s="76" t="n">
        <f aca="false">'Ratio (data)'!AC141/'Ratio (data)'!AC111</f>
        <v>12.7483469599787</v>
      </c>
      <c r="AD111" s="75" t="n">
        <f aca="false">'Ratio (data)'!AD141/'Ratio (data)'!AD111</f>
        <v>11.8030260536953</v>
      </c>
      <c r="AE111" s="31" t="n">
        <f aca="false">'Ratio (data)'!AE141/'Ratio (data)'!AE111</f>
        <v>11.8030260536953</v>
      </c>
      <c r="AF111" s="96" t="n">
        <f aca="false">'Ratio (data)'!AF141/'Ratio (data)'!AF111</f>
        <v>11.9380526079423</v>
      </c>
      <c r="AG111" s="31" t="n">
        <f aca="false">'Ratio (data)'!AG141/'Ratio (data)'!AG111</f>
        <v>11.6004862223248</v>
      </c>
      <c r="AH111" s="31" t="n">
        <f aca="false">'Ratio (data)'!AH141/'Ratio (data)'!AH111</f>
        <v>15.560629475788</v>
      </c>
      <c r="AI111" s="74" t="n">
        <f aca="false">'Ratio (data)'!AI141/'Ratio (data)'!AI111</f>
        <v>18.793690020603</v>
      </c>
      <c r="AJ111" s="75" t="n">
        <f aca="false">'Ratio (data)'!AJ141/'Ratio (data)'!AJ111</f>
        <v>18.793690020603</v>
      </c>
      <c r="AK111" s="31" t="n">
        <f aca="false">'Ratio (data)'!AK141/'Ratio (data)'!AK111</f>
        <v>19.0297947341971</v>
      </c>
      <c r="AL111" s="96" t="n">
        <f aca="false">'Ratio (data)'!AL141/'Ratio (data)'!AL111</f>
        <v>19.0297947341971</v>
      </c>
      <c r="AM111" s="31" t="n">
        <f aca="false">'Ratio (data)'!AM141/'Ratio (data)'!AM111</f>
        <v>19.2816397620308</v>
      </c>
      <c r="AN111" s="76" t="n">
        <f aca="false">'Ratio (data)'!AN141/'Ratio (data)'!AN111</f>
        <v>10.6859291153152</v>
      </c>
      <c r="AO111" s="31" t="n">
        <f aca="false">'Ratio (data)'!AO141/'Ratio (data)'!AO111</f>
        <v>10.0051376046824</v>
      </c>
      <c r="AP111" s="31" t="n">
        <f aca="false">'Ratio (data)'!AP141/'Ratio (data)'!AP111</f>
        <v>9.57903356011071</v>
      </c>
      <c r="AQ111" s="96" t="n">
        <f aca="false">'Ratio (data)'!AQ141/'Ratio (data)'!AQ111</f>
        <v>9.43360892908942</v>
      </c>
    </row>
    <row r="112" customFormat="false" ht="12.8" hidden="false" customHeight="false" outlineLevel="0" collapsed="false">
      <c r="A112" s="139" t="s">
        <v>193</v>
      </c>
      <c r="B112" s="72" t="n">
        <f aca="false">'Ratio (data)'!B142/'Ratio (data)'!B112</f>
        <v>11.3168152635579</v>
      </c>
      <c r="C112" s="72" t="n">
        <f aca="false">'Ratio (data)'!C142/'Ratio (data)'!C112</f>
        <v>11.2003155843203</v>
      </c>
      <c r="D112" s="31" t="n">
        <f aca="false">'Ratio (data)'!D142/'Ratio (data)'!D112</f>
        <v>11.2003155843203</v>
      </c>
      <c r="E112" s="96" t="n">
        <f aca="false">'Ratio (data)'!E142/'Ratio (data)'!E112</f>
        <v>11.1881108560192</v>
      </c>
      <c r="F112" s="31" t="n">
        <f aca="false">'Ratio (data)'!F142/'Ratio (data)'!F112</f>
        <v>12.2965220899082</v>
      </c>
      <c r="G112" s="96" t="n">
        <f aca="false">'Ratio (data)'!G142/'Ratio (data)'!G112</f>
        <v>10.2099617546014</v>
      </c>
      <c r="H112" s="31" t="n">
        <f aca="false">'Ratio (data)'!H142/'Ratio (data)'!H112</f>
        <v>10.1993842007924</v>
      </c>
      <c r="I112" s="74" t="n">
        <f aca="false">'Ratio (data)'!I142/'Ratio (data)'!I112</f>
        <v>10.2014997115542</v>
      </c>
      <c r="J112" s="75" t="n">
        <f aca="false">'Ratio (data)'!J142/'Ratio (data)'!J112</f>
        <v>10.9398129674233</v>
      </c>
      <c r="K112" s="96" t="n">
        <f aca="false">'Ratio (data)'!K142/'Ratio (data)'!K112</f>
        <v>11.0984762745585</v>
      </c>
      <c r="L112" s="31" t="n">
        <f aca="false">'Ratio (data)'!L142/'Ratio (data)'!L112</f>
        <v>11.0984762745585</v>
      </c>
      <c r="M112" s="96" t="n">
        <f aca="false">'Ratio (data)'!M142/'Ratio (data)'!M112</f>
        <v>11.0984762745585</v>
      </c>
      <c r="N112" s="96" t="n">
        <f aca="false">'Ratio (data)'!N142/'Ratio (data)'!N112</f>
        <v>11.0984762745585</v>
      </c>
      <c r="O112" s="31" t="n">
        <f aca="false">'Ratio (data)'!O142/'Ratio (data)'!O112</f>
        <v>11.2571395816937</v>
      </c>
      <c r="P112" s="76" t="n">
        <f aca="false">'Ratio (data)'!P142/'Ratio (data)'!P112</f>
        <v>10.27907509093</v>
      </c>
      <c r="Q112" s="75" t="n">
        <f aca="false">'Ratio (data)'!Q142/'Ratio (data)'!Q112</f>
        <v>10.2690077202499</v>
      </c>
      <c r="R112" s="31" t="n">
        <f aca="false">'Ratio (data)'!R142/'Ratio (data)'!R112</f>
        <v>10.4703551338513</v>
      </c>
      <c r="S112" s="96" t="n">
        <f aca="false">'Ratio (data)'!S142/'Ratio (data)'!S112</f>
        <v>10.4703551338513</v>
      </c>
      <c r="T112" s="31" t="n">
        <f aca="false">'Ratio (data)'!T142/'Ratio (data)'!T112</f>
        <v>10.7723762542535</v>
      </c>
      <c r="U112" s="31" t="n">
        <f aca="false">'Ratio (data)'!U142/'Ratio (data)'!U112</f>
        <v>12.2525280312917</v>
      </c>
      <c r="V112" s="96" t="n">
        <f aca="false">'Ratio (data)'!V142/'Ratio (data)'!V112</f>
        <v>12.7826069440718</v>
      </c>
      <c r="W112" s="96" t="n">
        <f aca="false">'Ratio (data)'!W142/'Ratio (data)'!W112</f>
        <v>12.7826069440718</v>
      </c>
      <c r="X112" s="74" t="n">
        <f aca="false">'Ratio (data)'!X142/'Ratio (data)'!X112</f>
        <v>12.7826069440718</v>
      </c>
      <c r="Y112" s="75" t="n">
        <f aca="false">'Ratio (data)'!Y142/'Ratio (data)'!Y112</f>
        <v>12.856817991861</v>
      </c>
      <c r="Z112" s="31" t="n">
        <f aca="false">'Ratio (data)'!Z142/'Ratio (data)'!Z112</f>
        <v>13.3296483820609</v>
      </c>
      <c r="AA112" s="96" t="n">
        <f aca="false">'Ratio (data)'!AA142/'Ratio (data)'!AA112</f>
        <v>13.3296483820609</v>
      </c>
      <c r="AB112" s="31" t="n">
        <f aca="false">'Ratio (data)'!AB142/'Ratio (data)'!AB112</f>
        <v>14.1608121173002</v>
      </c>
      <c r="AC112" s="76" t="n">
        <f aca="false">'Ratio (data)'!AC142/'Ratio (data)'!AC112</f>
        <v>7.59950010994263</v>
      </c>
      <c r="AD112" s="75" t="n">
        <f aca="false">'Ratio (data)'!AD142/'Ratio (data)'!AD112</f>
        <v>7.59950010994263</v>
      </c>
      <c r="AE112" s="31" t="n">
        <f aca="false">'Ratio (data)'!AE142/'Ratio (data)'!AE112</f>
        <v>9.95128170438523</v>
      </c>
      <c r="AF112" s="96" t="n">
        <f aca="false">'Ratio (data)'!AF142/'Ratio (data)'!AF112</f>
        <v>9.95128170438523</v>
      </c>
      <c r="AG112" s="31" t="n">
        <f aca="false">'Ratio (data)'!AG142/'Ratio (data)'!AG112</f>
        <v>9.95128170438523</v>
      </c>
      <c r="AH112" s="31" t="n">
        <f aca="false">'Ratio (data)'!AH142/'Ratio (data)'!AH112</f>
        <v>9.35400035643949</v>
      </c>
      <c r="AI112" s="74" t="n">
        <f aca="false">'Ratio (data)'!AI142/'Ratio (data)'!AI112</f>
        <v>9.35400035643949</v>
      </c>
      <c r="AJ112" s="75" t="n">
        <f aca="false">'Ratio (data)'!AJ142/'Ratio (data)'!AJ112</f>
        <v>8.76215192194522</v>
      </c>
      <c r="AK112" s="31" t="n">
        <f aca="false">'Ratio (data)'!AK142/'Ratio (data)'!AK112</f>
        <v>8.76215192194522</v>
      </c>
      <c r="AL112" s="96" t="n">
        <f aca="false">'Ratio (data)'!AL142/'Ratio (data)'!AL112</f>
        <v>8.76215192194522</v>
      </c>
      <c r="AM112" s="31" t="n">
        <f aca="false">'Ratio (data)'!AM142/'Ratio (data)'!AM112</f>
        <v>8.46030922035314</v>
      </c>
      <c r="AN112" s="76" t="n">
        <f aca="false">'Ratio (data)'!AN142/'Ratio (data)'!AN112</f>
        <v>7.53072031274489</v>
      </c>
      <c r="AO112" s="31" t="n">
        <f aca="false">'Ratio (data)'!AO142/'Ratio (data)'!AO112</f>
        <v>7.80419965068874</v>
      </c>
      <c r="AP112" s="31" t="n">
        <f aca="false">'Ratio (data)'!AP142/'Ratio (data)'!AP112</f>
        <v>7.80419965068874</v>
      </c>
      <c r="AQ112" s="96" t="n">
        <f aca="false">'Ratio (data)'!AQ142/'Ratio (data)'!AQ112</f>
        <v>7.80966923744761</v>
      </c>
    </row>
    <row r="113" customFormat="false" ht="12.8" hidden="false" customHeight="false" outlineLevel="0" collapsed="false">
      <c r="A113" s="139" t="s">
        <v>194</v>
      </c>
      <c r="B113" s="72" t="n">
        <f aca="false">'Ratio (data)'!B143/'Ratio (data)'!B113</f>
        <v>11.3022725347299</v>
      </c>
      <c r="C113" s="72" t="n">
        <f aca="false">'Ratio (data)'!C143/'Ratio (data)'!C113</f>
        <v>11.3022725347299</v>
      </c>
      <c r="D113" s="31" t="n">
        <f aca="false">'Ratio (data)'!D143/'Ratio (data)'!D113</f>
        <v>11.3022725347299</v>
      </c>
      <c r="E113" s="96" t="n">
        <f aca="false">'Ratio (data)'!E143/'Ratio (data)'!E113</f>
        <v>11.3022725347299</v>
      </c>
      <c r="F113" s="31" t="n">
        <f aca="false">'Ratio (data)'!F143/'Ratio (data)'!F113</f>
        <v>9.84868560897943</v>
      </c>
      <c r="G113" s="96" t="n">
        <f aca="false">'Ratio (data)'!G143/'Ratio (data)'!G113</f>
        <v>9.84868560897943</v>
      </c>
      <c r="H113" s="31" t="n">
        <f aca="false">'Ratio (data)'!H143/'Ratio (data)'!H113</f>
        <v>9.84868560897943</v>
      </c>
      <c r="I113" s="74" t="n">
        <f aca="false">'Ratio (data)'!I143/'Ratio (data)'!I113</f>
        <v>9.34526257235577</v>
      </c>
      <c r="J113" s="75" t="n">
        <f aca="false">'Ratio (data)'!J143/'Ratio (data)'!J113</f>
        <v>9.34526257235577</v>
      </c>
      <c r="K113" s="96" t="n">
        <f aca="false">'Ratio (data)'!K143/'Ratio (data)'!K113</f>
        <v>9.10328575364716</v>
      </c>
      <c r="L113" s="31" t="n">
        <f aca="false">'Ratio (data)'!L143/'Ratio (data)'!L113</f>
        <v>9.10328575364716</v>
      </c>
      <c r="M113" s="96" t="n">
        <f aca="false">'Ratio (data)'!M143/'Ratio (data)'!M113</f>
        <v>9.10328575364716</v>
      </c>
      <c r="N113" s="96" t="n">
        <f aca="false">'Ratio (data)'!N143/'Ratio (data)'!N113</f>
        <v>9.10328575364716</v>
      </c>
      <c r="O113" s="31" t="n">
        <f aca="false">'Ratio (data)'!O143/'Ratio (data)'!O113</f>
        <v>9.10328575364716</v>
      </c>
      <c r="P113" s="76" t="n">
        <f aca="false">'Ratio (data)'!P143/'Ratio (data)'!P113</f>
        <v>6.6817669304673</v>
      </c>
      <c r="Q113" s="75" t="n">
        <f aca="false">'Ratio (data)'!Q143/'Ratio (data)'!Q113</f>
        <v>6.6817669304673</v>
      </c>
      <c r="R113" s="31" t="n">
        <f aca="false">'Ratio (data)'!R143/'Ratio (data)'!R113</f>
        <v>6.6817669304673</v>
      </c>
      <c r="S113" s="96" t="n">
        <f aca="false">'Ratio (data)'!S143/'Ratio (data)'!S113</f>
        <v>6.6817669304673</v>
      </c>
      <c r="T113" s="31" t="n">
        <f aca="false">'Ratio (data)'!T143/'Ratio (data)'!T113</f>
        <v>6.6817669304673</v>
      </c>
      <c r="U113" s="31" t="n">
        <f aca="false">'Ratio (data)'!U143/'Ratio (data)'!U113</f>
        <v>5.82259792666098</v>
      </c>
      <c r="V113" s="96" t="n">
        <f aca="false">'Ratio (data)'!V143/'Ratio (data)'!V113</f>
        <v>5.82259792666098</v>
      </c>
      <c r="W113" s="96" t="n">
        <f aca="false">'Ratio (data)'!W143/'Ratio (data)'!W113</f>
        <v>5.82259792666098</v>
      </c>
      <c r="X113" s="74" t="n">
        <f aca="false">'Ratio (data)'!X143/'Ratio (data)'!X113</f>
        <v>5.82259792666098</v>
      </c>
      <c r="Y113" s="75" t="n">
        <f aca="false">'Ratio (data)'!Y143/'Ratio (data)'!Y113</f>
        <v>5.82259792666098</v>
      </c>
      <c r="Z113" s="31" t="n">
        <f aca="false">'Ratio (data)'!Z143/'Ratio (data)'!Z113</f>
        <v>5.82259792666098</v>
      </c>
      <c r="AA113" s="96" t="n">
        <f aca="false">'Ratio (data)'!AA143/'Ratio (data)'!AA113</f>
        <v>5.82259792666098</v>
      </c>
      <c r="AB113" s="31" t="n">
        <f aca="false">'Ratio (data)'!AB143/'Ratio (data)'!AB113</f>
        <v>6.61279075469735</v>
      </c>
      <c r="AC113" s="76" t="n">
        <f aca="false">'Ratio (data)'!AC143/'Ratio (data)'!AC113</f>
        <v>7.39900245427411</v>
      </c>
      <c r="AD113" s="75" t="n">
        <f aca="false">'Ratio (data)'!AD143/'Ratio (data)'!AD113</f>
        <v>7.39900245427411</v>
      </c>
      <c r="AE113" s="31" t="n">
        <f aca="false">'Ratio (data)'!AE143/'Ratio (data)'!AE113</f>
        <v>6.82780790556681</v>
      </c>
      <c r="AF113" s="96" t="n">
        <f aca="false">'Ratio (data)'!AF143/'Ratio (data)'!AF113</f>
        <v>6.82780790556681</v>
      </c>
      <c r="AG113" s="31" t="n">
        <f aca="false">'Ratio (data)'!AG143/'Ratio (data)'!AG113</f>
        <v>6.82780790556681</v>
      </c>
      <c r="AH113" s="31" t="n">
        <f aca="false">'Ratio (data)'!AH143/'Ratio (data)'!AH113</f>
        <v>5.62923728088309</v>
      </c>
      <c r="AI113" s="74" t="n">
        <f aca="false">'Ratio (data)'!AI143/'Ratio (data)'!AI113</f>
        <v>5.62923728088309</v>
      </c>
      <c r="AJ113" s="75" t="n">
        <f aca="false">'Ratio (data)'!AJ143/'Ratio (data)'!AJ113</f>
        <v>5.62923728088309</v>
      </c>
      <c r="AK113" s="31" t="n">
        <f aca="false">'Ratio (data)'!AK143/'Ratio (data)'!AK113</f>
        <v>5.62923728088309</v>
      </c>
      <c r="AL113" s="96" t="n">
        <f aca="false">'Ratio (data)'!AL143/'Ratio (data)'!AL113</f>
        <v>5.62923728088309</v>
      </c>
      <c r="AM113" s="31" t="n">
        <f aca="false">'Ratio (data)'!AM143/'Ratio (data)'!AM113</f>
        <v>5.62923728088309</v>
      </c>
      <c r="AN113" s="76" t="n">
        <f aca="false">'Ratio (data)'!AN143/'Ratio (data)'!AN113</f>
        <v>9.24927981037936</v>
      </c>
      <c r="AO113" s="31" t="n">
        <f aca="false">'Ratio (data)'!AO143/'Ratio (data)'!AO113</f>
        <v>9.94710664451812</v>
      </c>
      <c r="AP113" s="31" t="n">
        <f aca="false">'Ratio (data)'!AP143/'Ratio (data)'!AP113</f>
        <v>9.94710664451812</v>
      </c>
      <c r="AQ113" s="96" t="n">
        <f aca="false">'Ratio (data)'!AQ143/'Ratio (data)'!AQ113</f>
        <v>9.94710664451812</v>
      </c>
    </row>
    <row r="114" customFormat="false" ht="12.8" hidden="false" customHeight="false" outlineLevel="0" collapsed="false">
      <c r="A114" s="139" t="s">
        <v>195</v>
      </c>
      <c r="B114" s="72" t="n">
        <f aca="false">'Ratio (data)'!B144/'Ratio (data)'!B114</f>
        <v>8.99256540456404</v>
      </c>
      <c r="C114" s="72" t="n">
        <f aca="false">'Ratio (data)'!C144/'Ratio (data)'!C114</f>
        <v>8.96717144088851</v>
      </c>
      <c r="D114" s="31" t="n">
        <f aca="false">'Ratio (data)'!D144/'Ratio (data)'!D114</f>
        <v>8.96717144088851</v>
      </c>
      <c r="E114" s="96" t="n">
        <f aca="false">'Ratio (data)'!E144/'Ratio (data)'!E114</f>
        <v>8.96451112088441</v>
      </c>
      <c r="F114" s="31" t="n">
        <f aca="false">'Ratio (data)'!F144/'Ratio (data)'!F114</f>
        <v>9.20611654671159</v>
      </c>
      <c r="G114" s="96" t="n">
        <f aca="false">'Ratio (data)'!G144/'Ratio (data)'!G114</f>
        <v>8.52280021897855</v>
      </c>
      <c r="H114" s="31" t="n">
        <f aca="false">'Ratio (data)'!H144/'Ratio (data)'!H114</f>
        <v>8.52280021897855</v>
      </c>
      <c r="I114" s="74" t="n">
        <f aca="false">'Ratio (data)'!I144/'Ratio (data)'!I114</f>
        <v>8.52280021897855</v>
      </c>
      <c r="J114" s="75" t="n">
        <f aca="false">'Ratio (data)'!J144/'Ratio (data)'!J114</f>
        <v>8.52280021897855</v>
      </c>
      <c r="K114" s="96" t="n">
        <f aca="false">'Ratio (data)'!K144/'Ratio (data)'!K114</f>
        <v>8.52280021897855</v>
      </c>
      <c r="L114" s="31" t="n">
        <f aca="false">'Ratio (data)'!L144/'Ratio (data)'!L114</f>
        <v>8.52280021897855</v>
      </c>
      <c r="M114" s="96" t="n">
        <f aca="false">'Ratio (data)'!M144/'Ratio (data)'!M114</f>
        <v>8.52280021897855</v>
      </c>
      <c r="N114" s="96" t="n">
        <f aca="false">'Ratio (data)'!N144/'Ratio (data)'!N114</f>
        <v>8.52280021897855</v>
      </c>
      <c r="O114" s="31" t="n">
        <f aca="false">'Ratio (data)'!O144/'Ratio (data)'!O114</f>
        <v>8.52280021897855</v>
      </c>
      <c r="P114" s="76" t="n">
        <f aca="false">'Ratio (data)'!P144/'Ratio (data)'!P114</f>
        <v>11.2544040534014</v>
      </c>
      <c r="Q114" s="75" t="n">
        <f aca="false">'Ratio (data)'!Q144/'Ratio (data)'!Q114</f>
        <v>11.6316738482298</v>
      </c>
      <c r="R114" s="31" t="n">
        <f aca="false">'Ratio (data)'!R144/'Ratio (data)'!R114</f>
        <v>11.6316738482298</v>
      </c>
      <c r="S114" s="96" t="n">
        <f aca="false">'Ratio (data)'!S144/'Ratio (data)'!S114</f>
        <v>11.6316738482298</v>
      </c>
      <c r="T114" s="31" t="n">
        <f aca="false">'Ratio (data)'!T144/'Ratio (data)'!T114</f>
        <v>11.6316738482298</v>
      </c>
      <c r="U114" s="31" t="n">
        <f aca="false">'Ratio (data)'!U144/'Ratio (data)'!U114</f>
        <v>13.758718466558</v>
      </c>
      <c r="V114" s="96" t="n">
        <f aca="false">'Ratio (data)'!V144/'Ratio (data)'!V114</f>
        <v>13.758718466558</v>
      </c>
      <c r="W114" s="96" t="n">
        <f aca="false">'Ratio (data)'!W144/'Ratio (data)'!W114</f>
        <v>13.758718466558</v>
      </c>
      <c r="X114" s="74" t="n">
        <f aca="false">'Ratio (data)'!X144/'Ratio (data)'!X114</f>
        <v>13.758718466558</v>
      </c>
      <c r="Y114" s="75" t="n">
        <f aca="false">'Ratio (data)'!Y144/'Ratio (data)'!Y114</f>
        <v>13.758718466558</v>
      </c>
      <c r="Z114" s="31" t="n">
        <f aca="false">'Ratio (data)'!Z144/'Ratio (data)'!Z114</f>
        <v>14.3185583011762</v>
      </c>
      <c r="AA114" s="96" t="n">
        <f aca="false">'Ratio (data)'!AA144/'Ratio (data)'!AA114</f>
        <v>14.3185583011762</v>
      </c>
      <c r="AB114" s="31" t="n">
        <f aca="false">'Ratio (data)'!AB144/'Ratio (data)'!AB114</f>
        <v>14.3177301357404</v>
      </c>
      <c r="AC114" s="76" t="n">
        <f aca="false">'Ratio (data)'!AC144/'Ratio (data)'!AC114</f>
        <v>15.3563819324266</v>
      </c>
      <c r="AD114" s="75" t="n">
        <f aca="false">'Ratio (data)'!AD144/'Ratio (data)'!AD114</f>
        <v>15.3563819324266</v>
      </c>
      <c r="AE114" s="31" t="n">
        <f aca="false">'Ratio (data)'!AE144/'Ratio (data)'!AE114</f>
        <v>15.809597408632</v>
      </c>
      <c r="AF114" s="96" t="n">
        <f aca="false">'Ratio (data)'!AF144/'Ratio (data)'!AF114</f>
        <v>15.809597408632</v>
      </c>
      <c r="AG114" s="31" t="n">
        <f aca="false">'Ratio (data)'!AG144/'Ratio (data)'!AG114</f>
        <v>15.809597408632</v>
      </c>
      <c r="AH114" s="31" t="n">
        <f aca="false">'Ratio (data)'!AH144/'Ratio (data)'!AH114</f>
        <v>14.0149758945371</v>
      </c>
      <c r="AI114" s="74" t="n">
        <f aca="false">'Ratio (data)'!AI144/'Ratio (data)'!AI114</f>
        <v>14.0158606780168</v>
      </c>
      <c r="AJ114" s="75" t="n">
        <f aca="false">'Ratio (data)'!AJ144/'Ratio (data)'!AJ114</f>
        <v>13.5663906703273</v>
      </c>
      <c r="AK114" s="31" t="n">
        <f aca="false">'Ratio (data)'!AK144/'Ratio (data)'!AK114</f>
        <v>13.068257571254</v>
      </c>
      <c r="AL114" s="96" t="n">
        <f aca="false">'Ratio (data)'!AL144/'Ratio (data)'!AL114</f>
        <v>12.6869158915016</v>
      </c>
      <c r="AM114" s="31" t="n">
        <f aca="false">'Ratio (data)'!AM144/'Ratio (data)'!AM114</f>
        <v>12.5418114008301</v>
      </c>
      <c r="AN114" s="76" t="n">
        <f aca="false">'Ratio (data)'!AN144/'Ratio (data)'!AN114</f>
        <v>9.60995637870321</v>
      </c>
      <c r="AO114" s="31" t="n">
        <f aca="false">'Ratio (data)'!AO144/'Ratio (data)'!AO114</f>
        <v>8.89148016850723</v>
      </c>
      <c r="AP114" s="31" t="n">
        <f aca="false">'Ratio (data)'!AP144/'Ratio (data)'!AP114</f>
        <v>8.76230391080483</v>
      </c>
      <c r="AQ114" s="96" t="n">
        <f aca="false">'Ratio (data)'!AQ144/'Ratio (data)'!AQ114</f>
        <v>8.53704613910891</v>
      </c>
    </row>
    <row r="115" customFormat="false" ht="12.8" hidden="false" customHeight="false" outlineLevel="0" collapsed="false">
      <c r="A115" s="139" t="s">
        <v>196</v>
      </c>
      <c r="B115" s="72" t="n">
        <f aca="false">'Ratio (data)'!B145/'Ratio (data)'!B115</f>
        <v>8.79414951513907</v>
      </c>
      <c r="C115" s="72" t="n">
        <f aca="false">'Ratio (data)'!C145/'Ratio (data)'!C115</f>
        <v>8.80583678670193</v>
      </c>
      <c r="D115" s="31" t="n">
        <f aca="false">'Ratio (data)'!D145/'Ratio (data)'!D115</f>
        <v>8.80583678670193</v>
      </c>
      <c r="E115" s="96" t="n">
        <f aca="false">'Ratio (data)'!E145/'Ratio (data)'!E115</f>
        <v>6.70227357745779</v>
      </c>
      <c r="F115" s="31" t="n">
        <f aca="false">'Ratio (data)'!F145/'Ratio (data)'!F115</f>
        <v>6.70227357745779</v>
      </c>
      <c r="G115" s="96" t="n">
        <f aca="false">'Ratio (data)'!G145/'Ratio (data)'!G115</f>
        <v>6.70227357745779</v>
      </c>
      <c r="H115" s="31" t="n">
        <f aca="false">'Ratio (data)'!H145/'Ratio (data)'!H115</f>
        <v>6.6966134378855</v>
      </c>
      <c r="I115" s="74" t="n">
        <f aca="false">'Ratio (data)'!I145/'Ratio (data)'!I115</f>
        <v>6.69472672469474</v>
      </c>
      <c r="J115" s="75" t="n">
        <f aca="false">'Ratio (data)'!J145/'Ratio (data)'!J115</f>
        <v>6.69472672469474</v>
      </c>
      <c r="K115" s="96" t="n">
        <f aca="false">'Ratio (data)'!K145/'Ratio (data)'!K115</f>
        <v>6.69472672469474</v>
      </c>
      <c r="L115" s="31" t="n">
        <f aca="false">'Ratio (data)'!L145/'Ratio (data)'!L115</f>
        <v>6.69472672469474</v>
      </c>
      <c r="M115" s="96" t="n">
        <f aca="false">'Ratio (data)'!M145/'Ratio (data)'!M115</f>
        <v>6.69472672469474</v>
      </c>
      <c r="N115" s="96" t="n">
        <f aca="false">'Ratio (data)'!N145/'Ratio (data)'!N115</f>
        <v>6.69472672469474</v>
      </c>
      <c r="O115" s="31" t="n">
        <f aca="false">'Ratio (data)'!O145/'Ratio (data)'!O115</f>
        <v>6.69472672469474</v>
      </c>
      <c r="P115" s="76" t="n">
        <f aca="false">'Ratio (data)'!P145/'Ratio (data)'!P115</f>
        <v>7.45109185265452</v>
      </c>
      <c r="Q115" s="75" t="n">
        <f aca="false">'Ratio (data)'!Q145/'Ratio (data)'!Q115</f>
        <v>7.36537360018673</v>
      </c>
      <c r="R115" s="31" t="n">
        <f aca="false">'Ratio (data)'!R145/'Ratio (data)'!R115</f>
        <v>7.40074938691947</v>
      </c>
      <c r="S115" s="96" t="n">
        <f aca="false">'Ratio (data)'!S145/'Ratio (data)'!S115</f>
        <v>7.40074938691947</v>
      </c>
      <c r="T115" s="31" t="n">
        <f aca="false">'Ratio (data)'!T145/'Ratio (data)'!T115</f>
        <v>7.44610295965375</v>
      </c>
      <c r="U115" s="31" t="n">
        <f aca="false">'Ratio (data)'!U145/'Ratio (data)'!U115</f>
        <v>8.12045917013421</v>
      </c>
      <c r="V115" s="96" t="n">
        <f aca="false">'Ratio (data)'!V145/'Ratio (data)'!V115</f>
        <v>8.12045917013421</v>
      </c>
      <c r="W115" s="96" t="n">
        <f aca="false">'Ratio (data)'!W145/'Ratio (data)'!W115</f>
        <v>8.12045917013421</v>
      </c>
      <c r="X115" s="74" t="n">
        <f aca="false">'Ratio (data)'!X145/'Ratio (data)'!X115</f>
        <v>8.12045917013421</v>
      </c>
      <c r="Y115" s="75" t="n">
        <f aca="false">'Ratio (data)'!Y145/'Ratio (data)'!Y115</f>
        <v>8.12045917013421</v>
      </c>
      <c r="Z115" s="31" t="n">
        <f aca="false">'Ratio (data)'!Z145/'Ratio (data)'!Z115</f>
        <v>8.12139948594144</v>
      </c>
      <c r="AA115" s="96" t="n">
        <f aca="false">'Ratio (data)'!AA145/'Ratio (data)'!AA115</f>
        <v>8.12139948594144</v>
      </c>
      <c r="AB115" s="31" t="n">
        <f aca="false">'Ratio (data)'!AB145/'Ratio (data)'!AB115</f>
        <v>8.14913880225477</v>
      </c>
      <c r="AC115" s="76" t="n">
        <f aca="false">'Ratio (data)'!AC145/'Ratio (data)'!AC115</f>
        <v>14.4685902460234</v>
      </c>
      <c r="AD115" s="75" t="n">
        <f aca="false">'Ratio (data)'!AD145/'Ratio (data)'!AD115</f>
        <v>13.7074234553987</v>
      </c>
      <c r="AE115" s="31" t="n">
        <f aca="false">'Ratio (data)'!AE145/'Ratio (data)'!AE115</f>
        <v>13.4516301087677</v>
      </c>
      <c r="AF115" s="96" t="n">
        <f aca="false">'Ratio (data)'!AF145/'Ratio (data)'!AF115</f>
        <v>13.3426211298237</v>
      </c>
      <c r="AG115" s="31" t="n">
        <f aca="false">'Ratio (data)'!AG145/'Ratio (data)'!AG115</f>
        <v>13.3426211298237</v>
      </c>
      <c r="AH115" s="31" t="n">
        <f aca="false">'Ratio (data)'!AH145/'Ratio (data)'!AH115</f>
        <v>10.4245715567363</v>
      </c>
      <c r="AI115" s="74" t="n">
        <f aca="false">'Ratio (data)'!AI145/'Ratio (data)'!AI115</f>
        <v>10.4245715567363</v>
      </c>
      <c r="AJ115" s="75" t="n">
        <f aca="false">'Ratio (data)'!AJ145/'Ratio (data)'!AJ115</f>
        <v>9.73471551666695</v>
      </c>
      <c r="AK115" s="31" t="n">
        <f aca="false">'Ratio (data)'!AK145/'Ratio (data)'!AK115</f>
        <v>9.81913845863348</v>
      </c>
      <c r="AL115" s="96" t="n">
        <f aca="false">'Ratio (data)'!AL145/'Ratio (data)'!AL115</f>
        <v>9.91851632174837</v>
      </c>
      <c r="AM115" s="31" t="n">
        <f aca="false">'Ratio (data)'!AM145/'Ratio (data)'!AM115</f>
        <v>10.1592423105558</v>
      </c>
      <c r="AN115" s="76" t="n">
        <f aca="false">'Ratio (data)'!AN145/'Ratio (data)'!AN115</f>
        <v>1.51779338079957</v>
      </c>
      <c r="AO115" s="31" t="n">
        <f aca="false">'Ratio (data)'!AO145/'Ratio (data)'!AO115</f>
        <v>1.51779338079957</v>
      </c>
      <c r="AP115" s="31" t="n">
        <f aca="false">'Ratio (data)'!AP145/'Ratio (data)'!AP115</f>
        <v>1.73120477731059</v>
      </c>
      <c r="AQ115" s="96" t="n">
        <f aca="false">'Ratio (data)'!AQ145/'Ratio (data)'!AQ115</f>
        <v>1.73120477731059</v>
      </c>
    </row>
    <row r="116" customFormat="false" ht="12.8" hidden="false" customHeight="false" outlineLevel="0" collapsed="false">
      <c r="A116" s="139" t="s">
        <v>197</v>
      </c>
      <c r="B116" s="72" t="n">
        <f aca="false">'Ratio (data)'!B146/'Ratio (data)'!B116</f>
        <v>3.47178584038098</v>
      </c>
      <c r="C116" s="72" t="n">
        <f aca="false">'Ratio (data)'!C146/'Ratio (data)'!C116</f>
        <v>3.19702381268959</v>
      </c>
      <c r="D116" s="31" t="n">
        <f aca="false">'Ratio (data)'!D146/'Ratio (data)'!D116</f>
        <v>3.19702381268959</v>
      </c>
      <c r="E116" s="96" t="n">
        <f aca="false">'Ratio (data)'!E146/'Ratio (data)'!E116</f>
        <v>3.19702381268959</v>
      </c>
      <c r="F116" s="31" t="n">
        <f aca="false">'Ratio (data)'!F146/'Ratio (data)'!F116</f>
        <v>3.38521698234123</v>
      </c>
      <c r="G116" s="96" t="n">
        <f aca="false">'Ratio (data)'!G146/'Ratio (data)'!G116</f>
        <v>6.06092029296684</v>
      </c>
      <c r="H116" s="31" t="n">
        <f aca="false">'Ratio (data)'!H146/'Ratio (data)'!H116</f>
        <v>6.06092029296684</v>
      </c>
      <c r="I116" s="74" t="n">
        <f aca="false">'Ratio (data)'!I146/'Ratio (data)'!I116</f>
        <v>6.06092029296684</v>
      </c>
      <c r="J116" s="75" t="n">
        <f aca="false">'Ratio (data)'!J146/'Ratio (data)'!J116</f>
        <v>5.26718098570374</v>
      </c>
      <c r="K116" s="96" t="n">
        <f aca="false">'Ratio (data)'!K146/'Ratio (data)'!K116</f>
        <v>5.26718098570374</v>
      </c>
      <c r="L116" s="31" t="n">
        <f aca="false">'Ratio (data)'!L146/'Ratio (data)'!L116</f>
        <v>4.73140695330115</v>
      </c>
      <c r="M116" s="96" t="n">
        <f aca="false">'Ratio (data)'!M146/'Ratio (data)'!M116</f>
        <v>4.73140695330115</v>
      </c>
      <c r="N116" s="96" t="n">
        <f aca="false">'Ratio (data)'!N146/'Ratio (data)'!N116</f>
        <v>4.73140695330115</v>
      </c>
      <c r="O116" s="31" t="n">
        <f aca="false">'Ratio (data)'!O146/'Ratio (data)'!O116</f>
        <v>4.16388334860804</v>
      </c>
      <c r="P116" s="76" t="n">
        <f aca="false">'Ratio (data)'!P146/'Ratio (data)'!P116</f>
        <v>4.92896762739759</v>
      </c>
      <c r="Q116" s="75" t="n">
        <f aca="false">'Ratio (data)'!Q146/'Ratio (data)'!Q116</f>
        <v>5.43820669070182</v>
      </c>
      <c r="R116" s="31" t="n">
        <f aca="false">'Ratio (data)'!R146/'Ratio (data)'!R116</f>
        <v>5.33031705864584</v>
      </c>
      <c r="S116" s="96" t="n">
        <f aca="false">'Ratio (data)'!S146/'Ratio (data)'!S116</f>
        <v>5.33031705864584</v>
      </c>
      <c r="T116" s="31" t="n">
        <f aca="false">'Ratio (data)'!T146/'Ratio (data)'!T116</f>
        <v>5.28716120582345</v>
      </c>
      <c r="U116" s="31" t="n">
        <f aca="false">'Ratio (data)'!U146/'Ratio (data)'!U116</f>
        <v>4.76846617454775</v>
      </c>
      <c r="V116" s="96" t="n">
        <f aca="false">'Ratio (data)'!V146/'Ratio (data)'!V116</f>
        <v>4.72708329427583</v>
      </c>
      <c r="W116" s="96" t="n">
        <f aca="false">'Ratio (data)'!W146/'Ratio (data)'!W116</f>
        <v>4.72708329427583</v>
      </c>
      <c r="X116" s="74" t="n">
        <f aca="false">'Ratio (data)'!X146/'Ratio (data)'!X116</f>
        <v>4.65259410978637</v>
      </c>
      <c r="Y116" s="75" t="n">
        <f aca="false">'Ratio (data)'!Y146/'Ratio (data)'!Y116</f>
        <v>4.52016889291622</v>
      </c>
      <c r="Z116" s="31" t="n">
        <f aca="false">'Ratio (data)'!Z146/'Ratio (data)'!Z116</f>
        <v>4.52016889291622</v>
      </c>
      <c r="AA116" s="96" t="n">
        <f aca="false">'Ratio (data)'!AA146/'Ratio (data)'!AA116</f>
        <v>4.321531067611</v>
      </c>
      <c r="AB116" s="31" t="n">
        <f aca="false">'Ratio (data)'!AB146/'Ratio (data)'!AB116</f>
        <v>4.35877565985573</v>
      </c>
      <c r="AC116" s="76" t="n">
        <f aca="false">'Ratio (data)'!AC146/'Ratio (data)'!AC116</f>
        <v>7.45929330364587</v>
      </c>
      <c r="AD116" s="75" t="n">
        <f aca="false">'Ratio (data)'!AD146/'Ratio (data)'!AD116</f>
        <v>7.00774995199315</v>
      </c>
      <c r="AE116" s="31" t="n">
        <f aca="false">'Ratio (data)'!AE146/'Ratio (data)'!AE116</f>
        <v>6.61980425550279</v>
      </c>
      <c r="AF116" s="96" t="n">
        <f aca="false">'Ratio (data)'!AF146/'Ratio (data)'!AF116</f>
        <v>6.61980425550279</v>
      </c>
      <c r="AG116" s="31" t="n">
        <f aca="false">'Ratio (data)'!AG146/'Ratio (data)'!AG116</f>
        <v>6.61980425550279</v>
      </c>
      <c r="AH116" s="31" t="n">
        <f aca="false">'Ratio (data)'!AH146/'Ratio (data)'!AH116</f>
        <v>14.9195333402553</v>
      </c>
      <c r="AI116" s="74" t="n">
        <f aca="false">'Ratio (data)'!AI146/'Ratio (data)'!AI116</f>
        <v>14.9195333402553</v>
      </c>
      <c r="AJ116" s="75" t="n">
        <f aca="false">'Ratio (data)'!AJ146/'Ratio (data)'!AJ116</f>
        <v>14.9195333402553</v>
      </c>
      <c r="AK116" s="31" t="n">
        <f aca="false">'Ratio (data)'!AK146/'Ratio (data)'!AK116</f>
        <v>14.9195333402553</v>
      </c>
      <c r="AL116" s="96" t="n">
        <f aca="false">'Ratio (data)'!AL146/'Ratio (data)'!AL116</f>
        <v>15.1737527968218</v>
      </c>
      <c r="AM116" s="31" t="n">
        <f aca="false">'Ratio (data)'!AM146/'Ratio (data)'!AM116</f>
        <v>15.1737527968218</v>
      </c>
      <c r="AN116" s="76" t="n">
        <f aca="false">'Ratio (data)'!AN146/'Ratio (data)'!AN116</f>
        <v>16.7940782369213</v>
      </c>
      <c r="AO116" s="31" t="n">
        <f aca="false">'Ratio (data)'!AO146/'Ratio (data)'!AO116</f>
        <v>16.3433890701105</v>
      </c>
      <c r="AP116" s="31" t="n">
        <f aca="false">'Ratio (data)'!AP146/'Ratio (data)'!AP116</f>
        <v>14.8895530481399</v>
      </c>
      <c r="AQ116" s="96" t="n">
        <f aca="false">'Ratio (data)'!AQ146/'Ratio (data)'!AQ116</f>
        <v>15.0930900912158</v>
      </c>
    </row>
    <row r="117" customFormat="false" ht="12.8" hidden="false" customHeight="false" outlineLevel="0" collapsed="false">
      <c r="A117" s="139" t="s">
        <v>198</v>
      </c>
      <c r="B117" s="72" t="n">
        <f aca="false">'Ratio (data)'!B147/'Ratio (data)'!B117</f>
        <v>13.6647291205219</v>
      </c>
      <c r="C117" s="72" t="n">
        <f aca="false">'Ratio (data)'!C147/'Ratio (data)'!C117</f>
        <v>13.6647291205219</v>
      </c>
      <c r="D117" s="31" t="n">
        <f aca="false">'Ratio (data)'!D147/'Ratio (data)'!D117</f>
        <v>13.6647291205219</v>
      </c>
      <c r="E117" s="96" t="n">
        <f aca="false">'Ratio (data)'!E147/'Ratio (data)'!E117</f>
        <v>13.6647291205219</v>
      </c>
      <c r="F117" s="31" t="n">
        <f aca="false">'Ratio (data)'!F147/'Ratio (data)'!F117</f>
        <v>13.6647291205219</v>
      </c>
      <c r="G117" s="96" t="n">
        <f aca="false">'Ratio (data)'!G147/'Ratio (data)'!G117</f>
        <v>44.0246825295095</v>
      </c>
      <c r="H117" s="31" t="n">
        <f aca="false">'Ratio (data)'!H147/'Ratio (data)'!H117</f>
        <v>44.0246825295095</v>
      </c>
      <c r="I117" s="74" t="n">
        <f aca="false">'Ratio (data)'!I147/'Ratio (data)'!I117</f>
        <v>44.0246825295095</v>
      </c>
      <c r="J117" s="75" t="n">
        <f aca="false">'Ratio (data)'!J147/'Ratio (data)'!J117</f>
        <v>30.4510903174592</v>
      </c>
      <c r="K117" s="96" t="n">
        <f aca="false">'Ratio (data)'!K147/'Ratio (data)'!K117</f>
        <v>44.0246825295095</v>
      </c>
      <c r="L117" s="31" t="n">
        <f aca="false">'Ratio (data)'!L147/'Ratio (data)'!L117</f>
        <v>44.0246825295095</v>
      </c>
      <c r="M117" s="96" t="n">
        <f aca="false">'Ratio (data)'!M147/'Ratio (data)'!M117</f>
        <v>44.0246825295095</v>
      </c>
      <c r="N117" s="96" t="n">
        <f aca="false">'Ratio (data)'!N147/'Ratio (data)'!N117</f>
        <v>44.0246825295095</v>
      </c>
      <c r="O117" s="31" t="n">
        <f aca="false">'Ratio (data)'!O147/'Ratio (data)'!O117</f>
        <v>44.0246825295095</v>
      </c>
      <c r="P117" s="76" t="n">
        <f aca="false">'Ratio (data)'!P147/'Ratio (data)'!P117</f>
        <v>10.7470258143814</v>
      </c>
      <c r="Q117" s="75" t="n">
        <f aca="false">'Ratio (data)'!Q147/'Ratio (data)'!Q117</f>
        <v>10.7470258143814</v>
      </c>
      <c r="R117" s="31" t="n">
        <f aca="false">'Ratio (data)'!R147/'Ratio (data)'!R117</f>
        <v>10.7470258143814</v>
      </c>
      <c r="S117" s="96" t="n">
        <f aca="false">'Ratio (data)'!S147/'Ratio (data)'!S117</f>
        <v>10.7470258143814</v>
      </c>
      <c r="T117" s="31" t="n">
        <f aca="false">'Ratio (data)'!T147/'Ratio (data)'!T117</f>
        <v>11.0043052100868</v>
      </c>
      <c r="U117" s="31" t="n">
        <f aca="false">'Ratio (data)'!U147/'Ratio (data)'!U117</f>
        <v>16.0765724028309</v>
      </c>
      <c r="V117" s="96" t="n">
        <f aca="false">'Ratio (data)'!V147/'Ratio (data)'!V117</f>
        <v>16.0765724028309</v>
      </c>
      <c r="W117" s="96" t="n">
        <f aca="false">'Ratio (data)'!W147/'Ratio (data)'!W117</f>
        <v>16.0765724028309</v>
      </c>
      <c r="X117" s="74" t="n">
        <f aca="false">'Ratio (data)'!X147/'Ratio (data)'!X117</f>
        <v>16.0765724028309</v>
      </c>
      <c r="Y117" s="75" t="n">
        <f aca="false">'Ratio (data)'!Y147/'Ratio (data)'!Y117</f>
        <v>14.8996393546445</v>
      </c>
      <c r="Z117" s="31" t="n">
        <f aca="false">'Ratio (data)'!Z147/'Ratio (data)'!Z117</f>
        <v>14.8996393546445</v>
      </c>
      <c r="AA117" s="96" t="n">
        <f aca="false">'Ratio (data)'!AA147/'Ratio (data)'!AA117</f>
        <v>14.9074855749657</v>
      </c>
      <c r="AB117" s="31" t="n">
        <f aca="false">'Ratio (data)'!AB147/'Ratio (data)'!AB117</f>
        <v>14.9074855749657</v>
      </c>
      <c r="AC117" s="76" t="n">
        <f aca="false">'Ratio (data)'!AC147/'Ratio (data)'!AC117</f>
        <v>17.2577379981115</v>
      </c>
      <c r="AD117" s="75" t="n">
        <f aca="false">'Ratio (data)'!AD147/'Ratio (data)'!AD117</f>
        <v>16.3517638257672</v>
      </c>
      <c r="AE117" s="31" t="n">
        <f aca="false">'Ratio (data)'!AE147/'Ratio (data)'!AE117</f>
        <v>15.4637297360436</v>
      </c>
      <c r="AF117" s="96" t="n">
        <f aca="false">'Ratio (data)'!AF147/'Ratio (data)'!AF117</f>
        <v>15.4637297360436</v>
      </c>
      <c r="AG117" s="31" t="n">
        <f aca="false">'Ratio (data)'!AG147/'Ratio (data)'!AG117</f>
        <v>15.4637297360436</v>
      </c>
      <c r="AH117" s="31" t="n">
        <f aca="false">'Ratio (data)'!AH147/'Ratio (data)'!AH117</f>
        <v>18.9678134808208</v>
      </c>
      <c r="AI117" s="74" t="n">
        <f aca="false">'Ratio (data)'!AI147/'Ratio (data)'!AI117</f>
        <v>18.9678134808208</v>
      </c>
      <c r="AJ117" s="75" t="n">
        <f aca="false">'Ratio (data)'!AJ147/'Ratio (data)'!AJ117</f>
        <v>18.9678134808208</v>
      </c>
      <c r="AK117" s="31" t="n">
        <f aca="false">'Ratio (data)'!AK147/'Ratio (data)'!AK117</f>
        <v>18.9678134808208</v>
      </c>
      <c r="AL117" s="96" t="n">
        <f aca="false">'Ratio (data)'!AL147/'Ratio (data)'!AL117</f>
        <v>18.9678134808208</v>
      </c>
      <c r="AM117" s="31" t="n">
        <f aca="false">'Ratio (data)'!AM147/'Ratio (data)'!AM117</f>
        <v>18.9678134808208</v>
      </c>
      <c r="AN117" s="76" t="n">
        <f aca="false">'Ratio (data)'!AN147/'Ratio (data)'!AN117</f>
        <v>3.94225010663952</v>
      </c>
      <c r="AO117" s="31" t="n">
        <f aca="false">'Ratio (data)'!AO147/'Ratio (data)'!AO117</f>
        <v>3.94225010663952</v>
      </c>
      <c r="AP117" s="31" t="n">
        <f aca="false">'Ratio (data)'!AP147/'Ratio (data)'!AP117</f>
        <v>3.72511153339505</v>
      </c>
      <c r="AQ117" s="96" t="n">
        <f aca="false">'Ratio (data)'!AQ147/'Ratio (data)'!AQ117</f>
        <v>3.72511153339505</v>
      </c>
    </row>
    <row r="118" customFormat="false" ht="12.8" hidden="false" customHeight="false" outlineLevel="0" collapsed="false">
      <c r="A118" s="139" t="s">
        <v>28</v>
      </c>
      <c r="B118" s="72" t="n">
        <f aca="false">'Ratio (data)'!B148/'Ratio (data)'!B118</f>
        <v>6.69487792256143</v>
      </c>
      <c r="C118" s="72" t="n">
        <f aca="false">'Ratio (data)'!C148/'Ratio (data)'!C118</f>
        <v>6.69487792256143</v>
      </c>
      <c r="D118" s="31" t="n">
        <f aca="false">'Ratio (data)'!D148/'Ratio (data)'!D118</f>
        <v>6.69487792256143</v>
      </c>
      <c r="E118" s="96" t="n">
        <f aca="false">'Ratio (data)'!E148/'Ratio (data)'!E118</f>
        <v>6.69487792256143</v>
      </c>
      <c r="F118" s="31" t="n">
        <f aca="false">'Ratio (data)'!F148/'Ratio (data)'!F118</f>
        <v>6.69487792256143</v>
      </c>
      <c r="G118" s="96" t="n">
        <f aca="false">'Ratio (data)'!G148/'Ratio (data)'!G118</f>
        <v>9.56808652508578</v>
      </c>
      <c r="H118" s="31" t="n">
        <f aca="false">'Ratio (data)'!H148/'Ratio (data)'!H118</f>
        <v>9.37611768524529</v>
      </c>
      <c r="I118" s="74" t="n">
        <f aca="false">'Ratio (data)'!I148/'Ratio (data)'!I118</f>
        <v>9.08816442548456</v>
      </c>
      <c r="J118" s="75" t="n">
        <f aca="false">'Ratio (data)'!J148/'Ratio (data)'!J118</f>
        <v>9.08816442548456</v>
      </c>
      <c r="K118" s="96" t="n">
        <f aca="false">'Ratio (data)'!K148/'Ratio (data)'!K118</f>
        <v>9.08816442548456</v>
      </c>
      <c r="L118" s="31" t="n">
        <f aca="false">'Ratio (data)'!L148/'Ratio (data)'!L118</f>
        <v>9.08816442548456</v>
      </c>
      <c r="M118" s="96" t="n">
        <f aca="false">'Ratio (data)'!M148/'Ratio (data)'!M118</f>
        <v>9.08816442548456</v>
      </c>
      <c r="N118" s="96" t="n">
        <f aca="false">'Ratio (data)'!N148/'Ratio (data)'!N118</f>
        <v>5.72870972827599</v>
      </c>
      <c r="O118" s="31" t="n">
        <f aca="false">'Ratio (data)'!O148/'Ratio (data)'!O118</f>
        <v>5.72870972827599</v>
      </c>
      <c r="P118" s="76" t="n">
        <f aca="false">'Ratio (data)'!P148/'Ratio (data)'!P118</f>
        <v>33.340055751348</v>
      </c>
      <c r="Q118" s="75" t="n">
        <f aca="false">'Ratio (data)'!Q148/'Ratio (data)'!Q118</f>
        <v>33.340055751348</v>
      </c>
      <c r="R118" s="31" t="n">
        <f aca="false">'Ratio (data)'!R148/'Ratio (data)'!R118</f>
        <v>33.340055751348</v>
      </c>
      <c r="S118" s="96" t="n">
        <f aca="false">'Ratio (data)'!S148/'Ratio (data)'!S118</f>
        <v>33.340055751348</v>
      </c>
      <c r="T118" s="31" t="n">
        <f aca="false">'Ratio (data)'!T148/'Ratio (data)'!T118</f>
        <v>33.340055751348</v>
      </c>
      <c r="U118" s="31" t="n">
        <f aca="false">'Ratio (data)'!U148/'Ratio (data)'!U118</f>
        <v>6.74944196522255</v>
      </c>
      <c r="V118" s="96" t="n">
        <f aca="false">'Ratio (data)'!V148/'Ratio (data)'!V118</f>
        <v>6.74944196522255</v>
      </c>
      <c r="W118" s="96" t="n">
        <f aca="false">'Ratio (data)'!W148/'Ratio (data)'!W118</f>
        <v>6.74944196522255</v>
      </c>
      <c r="X118" s="74" t="n">
        <f aca="false">'Ratio (data)'!X148/'Ratio (data)'!X118</f>
        <v>6.74944196522255</v>
      </c>
      <c r="Y118" s="75" t="n">
        <f aca="false">'Ratio (data)'!Y148/'Ratio (data)'!Y118</f>
        <v>6.74944196522255</v>
      </c>
      <c r="Z118" s="31" t="n">
        <f aca="false">'Ratio (data)'!Z148/'Ratio (data)'!Z118</f>
        <v>5.57074103796309</v>
      </c>
      <c r="AA118" s="96" t="n">
        <f aca="false">'Ratio (data)'!AA148/'Ratio (data)'!AA118</f>
        <v>5.57074103796309</v>
      </c>
      <c r="AB118" s="31" t="n">
        <f aca="false">'Ratio (data)'!AB148/'Ratio (data)'!AB118</f>
        <v>5.57074103796309</v>
      </c>
      <c r="AC118" s="76" t="n">
        <f aca="false">'Ratio (data)'!AC148/'Ratio (data)'!AC118</f>
        <v>4.55191942545369</v>
      </c>
      <c r="AD118" s="75" t="n">
        <f aca="false">'Ratio (data)'!AD148/'Ratio (data)'!AD118</f>
        <v>4.55191942545369</v>
      </c>
      <c r="AE118" s="31" t="n">
        <f aca="false">'Ratio (data)'!AE148/'Ratio (data)'!AE118</f>
        <v>5.24660717841065</v>
      </c>
      <c r="AF118" s="96" t="n">
        <f aca="false">'Ratio (data)'!AF148/'Ratio (data)'!AF118</f>
        <v>5.39909961198656</v>
      </c>
      <c r="AG118" s="31" t="n">
        <f aca="false">'Ratio (data)'!AG148/'Ratio (data)'!AG118</f>
        <v>5.73797168659971</v>
      </c>
      <c r="AH118" s="31" t="n">
        <f aca="false">'Ratio (data)'!AH148/'Ratio (data)'!AH118</f>
        <v>7.01359242924294</v>
      </c>
      <c r="AI118" s="74" t="n">
        <f aca="false">'Ratio (data)'!AI148/'Ratio (data)'!AI118</f>
        <v>7.01359242924294</v>
      </c>
      <c r="AJ118" s="75" t="n">
        <f aca="false">'Ratio (data)'!AJ148/'Ratio (data)'!AJ118</f>
        <v>6.30824450914046</v>
      </c>
      <c r="AK118" s="31" t="n">
        <f aca="false">'Ratio (data)'!AK148/'Ratio (data)'!AK118</f>
        <v>6.50417448694671</v>
      </c>
      <c r="AL118" s="96" t="n">
        <f aca="false">'Ratio (data)'!AL148/'Ratio (data)'!AL118</f>
        <v>6.52376748472733</v>
      </c>
      <c r="AM118" s="31" t="n">
        <f aca="false">'Ratio (data)'!AM148/'Ratio (data)'!AM118</f>
        <v>8.11080030495791</v>
      </c>
      <c r="AN118" s="76" t="n">
        <f aca="false">'Ratio (data)'!AN148/'Ratio (data)'!AN118</f>
        <v>10.20937652068</v>
      </c>
      <c r="AO118" s="31" t="n">
        <f aca="false">'Ratio (data)'!AO148/'Ratio (data)'!AO118</f>
        <v>9.54980746747535</v>
      </c>
      <c r="AP118" s="31" t="n">
        <f aca="false">'Ratio (data)'!AP148/'Ratio (data)'!AP118</f>
        <v>9.32236986292204</v>
      </c>
      <c r="AQ118" s="96" t="n">
        <f aca="false">'Ratio (data)'!AQ148/'Ratio (data)'!AQ118</f>
        <v>8.29890064243212</v>
      </c>
    </row>
    <row r="119" customFormat="false" ht="12.8" hidden="false" customHeight="false" outlineLevel="0" collapsed="false">
      <c r="A119" s="139" t="s">
        <v>199</v>
      </c>
      <c r="B119" s="72" t="n">
        <f aca="false">'Ratio (data)'!B149/'Ratio (data)'!B119</f>
        <v>0.871446060343526</v>
      </c>
      <c r="C119" s="72" t="n">
        <f aca="false">'Ratio (data)'!C149/'Ratio (data)'!C119</f>
        <v>0.871446060343526</v>
      </c>
      <c r="D119" s="31" t="n">
        <f aca="false">'Ratio (data)'!D149/'Ratio (data)'!D119</f>
        <v>0.871446060343526</v>
      </c>
      <c r="E119" s="96" t="n">
        <f aca="false">'Ratio (data)'!E149/'Ratio (data)'!E119</f>
        <v>0.45300866670535</v>
      </c>
      <c r="F119" s="31" t="n">
        <f aca="false">'Ratio (data)'!F149/'Ratio (data)'!F119</f>
        <v>0.45300866670535</v>
      </c>
      <c r="G119" s="96" t="n">
        <f aca="false">'Ratio (data)'!G149/'Ratio (data)'!G119</f>
        <v>-0.268423631146294</v>
      </c>
      <c r="H119" s="31" t="n">
        <f aca="false">'Ratio (data)'!H149/'Ratio (data)'!H119</f>
        <v>-0.268423631146294</v>
      </c>
      <c r="I119" s="74" t="n">
        <f aca="false">'Ratio (data)'!I149/'Ratio (data)'!I119</f>
        <v>-0.268423631146294</v>
      </c>
      <c r="J119" s="75" t="n">
        <f aca="false">'Ratio (data)'!J149/'Ratio (data)'!J119</f>
        <v>-0.268423631146294</v>
      </c>
      <c r="K119" s="96" t="n">
        <f aca="false">'Ratio (data)'!K149/'Ratio (data)'!K119</f>
        <v>-0.268423631146294</v>
      </c>
      <c r="L119" s="31" t="n">
        <f aca="false">'Ratio (data)'!L149/'Ratio (data)'!L119</f>
        <v>-0.268423631146294</v>
      </c>
      <c r="M119" s="96" t="n">
        <f aca="false">'Ratio (data)'!M149/'Ratio (data)'!M119</f>
        <v>-0.268423631146294</v>
      </c>
      <c r="N119" s="96" t="n">
        <f aca="false">'Ratio (data)'!N149/'Ratio (data)'!N119</f>
        <v>-0.268423631146294</v>
      </c>
      <c r="O119" s="31" t="n">
        <f aca="false">'Ratio (data)'!O149/'Ratio (data)'!O119</f>
        <v>-0.268423631146294</v>
      </c>
      <c r="P119" s="76" t="n">
        <f aca="false">'Ratio (data)'!P149/'Ratio (data)'!P119</f>
        <v>-0.503248550788458</v>
      </c>
      <c r="Q119" s="75" t="n">
        <f aca="false">'Ratio (data)'!Q149/'Ratio (data)'!Q119</f>
        <v>-0.503248550788458</v>
      </c>
      <c r="R119" s="31" t="n">
        <f aca="false">'Ratio (data)'!R149/'Ratio (data)'!R119</f>
        <v>-0.503248550788458</v>
      </c>
      <c r="S119" s="96" t="n">
        <f aca="false">'Ratio (data)'!S149/'Ratio (data)'!S119</f>
        <v>-0.503248550788458</v>
      </c>
      <c r="T119" s="31" t="n">
        <f aca="false">'Ratio (data)'!T149/'Ratio (data)'!T119</f>
        <v>-0.503248550788458</v>
      </c>
      <c r="U119" s="31" t="n">
        <f aca="false">'Ratio (data)'!U149/'Ratio (data)'!U119</f>
        <v>-0.265095466890879</v>
      </c>
      <c r="V119" s="96" t="n">
        <f aca="false">'Ratio (data)'!V149/'Ratio (data)'!V119</f>
        <v>-0.265095466890879</v>
      </c>
      <c r="W119" s="96" t="n">
        <f aca="false">'Ratio (data)'!W149/'Ratio (data)'!W119</f>
        <v>-0.265095466890879</v>
      </c>
      <c r="X119" s="74" t="n">
        <f aca="false">'Ratio (data)'!X149/'Ratio (data)'!X119</f>
        <v>-0.265095466890879</v>
      </c>
      <c r="Y119" s="75" t="n">
        <f aca="false">'Ratio (data)'!Y149/'Ratio (data)'!Y119</f>
        <v>-0.265095466890879</v>
      </c>
      <c r="Z119" s="31" t="n">
        <f aca="false">'Ratio (data)'!Z149/'Ratio (data)'!Z119</f>
        <v>-0.802126322446872</v>
      </c>
      <c r="AA119" s="96" t="n">
        <f aca="false">'Ratio (data)'!AA149/'Ratio (data)'!AA119</f>
        <v>-0.802126322446872</v>
      </c>
      <c r="AB119" s="31" t="n">
        <f aca="false">'Ratio (data)'!AB149/'Ratio (data)'!AB119</f>
        <v>-0.802126322446872</v>
      </c>
      <c r="AC119" s="76" t="n">
        <f aca="false">'Ratio (data)'!AC149/'Ratio (data)'!AC119</f>
        <v>0.652947314433263</v>
      </c>
      <c r="AD119" s="75" t="n">
        <f aca="false">'Ratio (data)'!AD149/'Ratio (data)'!AD119</f>
        <v>0.652947314433263</v>
      </c>
      <c r="AE119" s="31" t="n">
        <f aca="false">'Ratio (data)'!AE149/'Ratio (data)'!AE119</f>
        <v>0.0104835387529369</v>
      </c>
      <c r="AF119" s="96" t="n">
        <f aca="false">'Ratio (data)'!AF149/'Ratio (data)'!AF119</f>
        <v>0.0104835387529369</v>
      </c>
      <c r="AG119" s="31" t="n">
        <f aca="false">'Ratio (data)'!AG149/'Ratio (data)'!AG119</f>
        <v>0.00666470690393019</v>
      </c>
      <c r="AH119" s="31" t="n">
        <f aca="false">'Ratio (data)'!AH149/'Ratio (data)'!AH119</f>
        <v>0.00666470690393019</v>
      </c>
      <c r="AI119" s="74" t="n">
        <f aca="false">'Ratio (data)'!AI149/'Ratio (data)'!AI119</f>
        <v>0.00666470690393019</v>
      </c>
      <c r="AJ119" s="75" t="n">
        <f aca="false">'Ratio (data)'!AJ149/'Ratio (data)'!AJ119</f>
        <v>0.00666470690393019</v>
      </c>
      <c r="AK119" s="31" t="n">
        <f aca="false">'Ratio (data)'!AK149/'Ratio (data)'!AK119</f>
        <v>0.00666470690393019</v>
      </c>
      <c r="AL119" s="96" t="n">
        <f aca="false">'Ratio (data)'!AL149/'Ratio (data)'!AL119</f>
        <v>0.00666470690393019</v>
      </c>
      <c r="AM119" s="31" t="n">
        <f aca="false">'Ratio (data)'!AM149/'Ratio (data)'!AM119</f>
        <v>0.00666470690393019</v>
      </c>
      <c r="AN119" s="76" t="n">
        <f aca="false">'Ratio (data)'!AN149/'Ratio (data)'!AN119</f>
        <v>0.495687398326633</v>
      </c>
      <c r="AO119" s="31" t="n">
        <f aca="false">'Ratio (data)'!AO149/'Ratio (data)'!AO119</f>
        <v>0.495687398326633</v>
      </c>
      <c r="AP119" s="31" t="n">
        <f aca="false">'Ratio (data)'!AP149/'Ratio (data)'!AP119</f>
        <v>0.495687398326633</v>
      </c>
      <c r="AQ119" s="96" t="n">
        <f aca="false">'Ratio (data)'!AQ149/'Ratio (data)'!AQ119</f>
        <v>0.495687398326633</v>
      </c>
    </row>
    <row r="120" customFormat="false" ht="12.8" hidden="false" customHeight="false" outlineLevel="0" collapsed="false">
      <c r="A120" s="139" t="s">
        <v>200</v>
      </c>
      <c r="B120" s="72" t="n">
        <f aca="false">'Ratio (data)'!B150/'Ratio (data)'!B120</f>
        <v>8.44009302974048</v>
      </c>
      <c r="C120" s="72" t="n">
        <f aca="false">'Ratio (data)'!C150/'Ratio (data)'!C120</f>
        <v>8.44009302974048</v>
      </c>
      <c r="D120" s="31" t="n">
        <f aca="false">'Ratio (data)'!D150/'Ratio (data)'!D120</f>
        <v>8.44009302974048</v>
      </c>
      <c r="E120" s="96" t="n">
        <f aca="false">'Ratio (data)'!E150/'Ratio (data)'!E120</f>
        <v>8.44009302974048</v>
      </c>
      <c r="F120" s="31" t="n">
        <f aca="false">'Ratio (data)'!F150/'Ratio (data)'!F120</f>
        <v>8.44009302974048</v>
      </c>
      <c r="G120" s="96" t="n">
        <f aca="false">'Ratio (data)'!G150/'Ratio (data)'!G120</f>
        <v>0.804784169819926</v>
      </c>
      <c r="H120" s="31" t="n">
        <f aca="false">'Ratio (data)'!H150/'Ratio (data)'!H120</f>
        <v>0.804784169819926</v>
      </c>
      <c r="I120" s="74" t="n">
        <f aca="false">'Ratio (data)'!I150/'Ratio (data)'!I120</f>
        <v>0.756946764357112</v>
      </c>
      <c r="J120" s="75" t="n">
        <f aca="false">'Ratio (data)'!J150/'Ratio (data)'!J120</f>
        <v>0.760933214812346</v>
      </c>
      <c r="K120" s="96" t="n">
        <f aca="false">'Ratio (data)'!K150/'Ratio (data)'!K120</f>
        <v>0.705122908439064</v>
      </c>
      <c r="L120" s="31" t="n">
        <f aca="false">'Ratio (data)'!L150/'Ratio (data)'!L120</f>
        <v>0.705122908439064</v>
      </c>
      <c r="M120" s="96" t="n">
        <f aca="false">'Ratio (data)'!M150/'Ratio (data)'!M120</f>
        <v>0.705122908439064</v>
      </c>
      <c r="N120" s="96" t="n">
        <f aca="false">'Ratio (data)'!N150/'Ratio (data)'!N120</f>
        <v>0.705122908439064</v>
      </c>
      <c r="O120" s="31" t="n">
        <f aca="false">'Ratio (data)'!O150/'Ratio (data)'!O120</f>
        <v>0.645326151610547</v>
      </c>
      <c r="P120" s="76" t="n">
        <f aca="false">'Ratio (data)'!P150/'Ratio (data)'!P120</f>
        <v>8.09069068747926</v>
      </c>
      <c r="Q120" s="75" t="n">
        <f aca="false">'Ratio (data)'!Q150/'Ratio (data)'!Q120</f>
        <v>8.30360626529575</v>
      </c>
      <c r="R120" s="31" t="n">
        <f aca="false">'Ratio (data)'!R150/'Ratio (data)'!R120</f>
        <v>8.30360626529575</v>
      </c>
      <c r="S120" s="96" t="n">
        <f aca="false">'Ratio (data)'!S150/'Ratio (data)'!S120</f>
        <v>8.47393872754895</v>
      </c>
      <c r="T120" s="31" t="n">
        <f aca="false">'Ratio (data)'!T150/'Ratio (data)'!T120</f>
        <v>7.87777510966277</v>
      </c>
      <c r="U120" s="31" t="n">
        <f aca="false">'Ratio (data)'!U150/'Ratio (data)'!U120</f>
        <v>10.2298884669609</v>
      </c>
      <c r="V120" s="96" t="n">
        <f aca="false">'Ratio (data)'!V150/'Ratio (data)'!V120</f>
        <v>10.2298884669609</v>
      </c>
      <c r="W120" s="96" t="n">
        <f aca="false">'Ratio (data)'!W150/'Ratio (data)'!W120</f>
        <v>10.2298884669609</v>
      </c>
      <c r="X120" s="74" t="n">
        <f aca="false">'Ratio (data)'!X150/'Ratio (data)'!X120</f>
        <v>11.3741905613553</v>
      </c>
      <c r="Y120" s="75" t="n">
        <f aca="false">'Ratio (data)'!Y150/'Ratio (data)'!Y120</f>
        <v>9.18094488043267</v>
      </c>
      <c r="Z120" s="31" t="n">
        <f aca="false">'Ratio (data)'!Z150/'Ratio (data)'!Z120</f>
        <v>10.5159639905595</v>
      </c>
      <c r="AA120" s="96" t="n">
        <f aca="false">'Ratio (data)'!AA150/'Ratio (data)'!AA120</f>
        <v>13.3290399726125</v>
      </c>
      <c r="AB120" s="31" t="n">
        <f aca="false">'Ratio (data)'!AB150/'Ratio (data)'!AB120</f>
        <v>13.3290399726125</v>
      </c>
      <c r="AC120" s="76" t="n">
        <f aca="false">'Ratio (data)'!AC150/'Ratio (data)'!AC120</f>
        <v>3.15891432084162</v>
      </c>
      <c r="AD120" s="75" t="n">
        <f aca="false">'Ratio (data)'!AD150/'Ratio (data)'!AD120</f>
        <v>2.39130613108204</v>
      </c>
      <c r="AE120" s="31" t="n">
        <f aca="false">'Ratio (data)'!AE150/'Ratio (data)'!AE120</f>
        <v>2.39130613108204</v>
      </c>
      <c r="AF120" s="96" t="n">
        <f aca="false">'Ratio (data)'!AF150/'Ratio (data)'!AF120</f>
        <v>2.39130613108204</v>
      </c>
      <c r="AG120" s="31" t="n">
        <f aca="false">'Ratio (data)'!AG150/'Ratio (data)'!AG120</f>
        <v>2.50839890579113</v>
      </c>
      <c r="AH120" s="31" t="n">
        <f aca="false">'Ratio (data)'!AH150/'Ratio (data)'!AH120</f>
        <v>9.22001936887311</v>
      </c>
      <c r="AI120" s="74" t="n">
        <f aca="false">'Ratio (data)'!AI150/'Ratio (data)'!AI120</f>
        <v>9.22001936887311</v>
      </c>
      <c r="AJ120" s="75" t="n">
        <f aca="false">'Ratio (data)'!AJ150/'Ratio (data)'!AJ120</f>
        <v>10.686118102947</v>
      </c>
      <c r="AK120" s="31" t="n">
        <f aca="false">'Ratio (data)'!AK150/'Ratio (data)'!AK120</f>
        <v>9.22001936887311</v>
      </c>
      <c r="AL120" s="96" t="n">
        <f aca="false">'Ratio (data)'!AL150/'Ratio (data)'!AL120</f>
        <v>9.22001936887311</v>
      </c>
      <c r="AM120" s="31" t="n">
        <f aca="false">'Ratio (data)'!AM150/'Ratio (data)'!AM120</f>
        <v>9.42946204516939</v>
      </c>
      <c r="AN120" s="76" t="n">
        <f aca="false">'Ratio (data)'!AN150/'Ratio (data)'!AN120</f>
        <v>16.7922728263803</v>
      </c>
      <c r="AO120" s="31" t="n">
        <f aca="false">'Ratio (data)'!AO150/'Ratio (data)'!AO120</f>
        <v>13.8309408084033</v>
      </c>
      <c r="AP120" s="31" t="n">
        <f aca="false">'Ratio (data)'!AP150/'Ratio (data)'!AP120</f>
        <v>18.3913921160879</v>
      </c>
      <c r="AQ120" s="96" t="n">
        <f aca="false">'Ratio (data)'!AQ150/'Ratio (data)'!AQ120</f>
        <v>17.9175789932116</v>
      </c>
    </row>
    <row r="121" customFormat="false" ht="12.8" hidden="false" customHeight="false" outlineLevel="0" collapsed="false">
      <c r="C121" s="72"/>
      <c r="D121" s="31"/>
      <c r="E121" s="96"/>
      <c r="F121" s="31"/>
      <c r="G121" s="96"/>
      <c r="H121" s="31"/>
      <c r="I121" s="74"/>
      <c r="J121" s="75"/>
      <c r="K121" s="72"/>
      <c r="L121" s="31"/>
      <c r="M121" s="96"/>
      <c r="N121" s="96"/>
      <c r="O121" s="31"/>
      <c r="P121" s="76"/>
      <c r="Q121" s="75"/>
      <c r="R121" s="31"/>
      <c r="S121" s="96"/>
      <c r="T121" s="31"/>
      <c r="U121" s="31"/>
      <c r="V121" s="96"/>
      <c r="W121" s="96"/>
      <c r="X121" s="74"/>
      <c r="Y121" s="75"/>
      <c r="Z121" s="31"/>
      <c r="AA121" s="96"/>
      <c r="AB121" s="31"/>
      <c r="AC121" s="76"/>
      <c r="AD121" s="75"/>
      <c r="AE121" s="31"/>
      <c r="AF121" s="96"/>
      <c r="AG121" s="31"/>
      <c r="AH121" s="31"/>
      <c r="AI121" s="74"/>
      <c r="AJ121" s="75"/>
      <c r="AK121" s="31"/>
      <c r="AL121" s="96"/>
      <c r="AM121" s="31"/>
      <c r="AN121" s="76"/>
      <c r="AO121" s="31"/>
      <c r="AP121" s="31"/>
    </row>
    <row r="122" customFormat="false" ht="12.8" hidden="false" customHeight="false" outlineLevel="0" collapsed="false">
      <c r="C122" s="72"/>
      <c r="D122" s="31"/>
      <c r="E122" s="96"/>
      <c r="F122" s="31"/>
      <c r="G122" s="96"/>
      <c r="H122" s="31"/>
      <c r="I122" s="74"/>
      <c r="J122" s="75"/>
      <c r="K122" s="72"/>
      <c r="L122" s="31"/>
      <c r="M122" s="96"/>
      <c r="N122" s="96"/>
      <c r="O122" s="31"/>
      <c r="P122" s="76"/>
      <c r="Q122" s="75"/>
      <c r="R122" s="31"/>
      <c r="S122" s="96"/>
      <c r="T122" s="31"/>
      <c r="U122" s="31"/>
      <c r="V122" s="96"/>
      <c r="W122" s="96"/>
      <c r="X122" s="74"/>
      <c r="Y122" s="75"/>
      <c r="Z122" s="31"/>
      <c r="AA122" s="96"/>
      <c r="AB122" s="31"/>
      <c r="AC122" s="76"/>
      <c r="AD122" s="75"/>
      <c r="AE122" s="31"/>
      <c r="AF122" s="96"/>
      <c r="AG122" s="31"/>
      <c r="AH122" s="31"/>
      <c r="AI122" s="74"/>
      <c r="AJ122" s="75"/>
      <c r="AK122" s="31"/>
      <c r="AL122" s="96"/>
      <c r="AM122" s="31"/>
      <c r="AN122" s="76"/>
      <c r="AO122" s="31"/>
      <c r="AP122" s="31"/>
    </row>
    <row r="123" customFormat="false" ht="12.8" hidden="false" customHeight="false" outlineLevel="0" collapsed="false">
      <c r="C123" s="72"/>
      <c r="D123" s="31"/>
      <c r="E123" s="96"/>
      <c r="F123" s="31"/>
      <c r="G123" s="96"/>
      <c r="H123" s="31"/>
      <c r="I123" s="74"/>
      <c r="J123" s="75"/>
      <c r="K123" s="72"/>
      <c r="L123" s="31"/>
      <c r="M123" s="96"/>
      <c r="N123" s="96"/>
      <c r="O123" s="31"/>
      <c r="P123" s="76"/>
      <c r="Q123" s="75"/>
      <c r="R123" s="31"/>
      <c r="S123" s="96"/>
      <c r="T123" s="31"/>
      <c r="U123" s="31"/>
      <c r="V123" s="96"/>
      <c r="W123" s="96"/>
      <c r="X123" s="74"/>
      <c r="Y123" s="75"/>
      <c r="Z123" s="31"/>
      <c r="AA123" s="96"/>
      <c r="AB123" s="31"/>
      <c r="AC123" s="76"/>
      <c r="AD123" s="75"/>
      <c r="AE123" s="31"/>
      <c r="AF123" s="96"/>
      <c r="AG123" s="31"/>
      <c r="AH123" s="31"/>
      <c r="AI123" s="74"/>
      <c r="AJ123" s="75"/>
      <c r="AK123" s="31"/>
      <c r="AL123" s="96"/>
      <c r="AM123" s="31"/>
      <c r="AN123" s="76"/>
      <c r="AO123" s="31"/>
      <c r="AP123" s="31"/>
    </row>
    <row r="124" customFormat="false" ht="12.8" hidden="false" customHeight="false" outlineLevel="0" collapsed="false">
      <c r="C124" s="72"/>
      <c r="D124" s="31"/>
      <c r="E124" s="96"/>
      <c r="F124" s="31"/>
      <c r="G124" s="96"/>
      <c r="H124" s="31"/>
      <c r="I124" s="74"/>
      <c r="J124" s="75"/>
      <c r="K124" s="72"/>
      <c r="L124" s="31"/>
      <c r="M124" s="96"/>
      <c r="N124" s="96"/>
      <c r="O124" s="31"/>
      <c r="P124" s="76"/>
      <c r="Q124" s="75"/>
      <c r="R124" s="31"/>
      <c r="S124" s="96"/>
      <c r="T124" s="31"/>
      <c r="U124" s="31"/>
      <c r="V124" s="96"/>
      <c r="W124" s="96"/>
      <c r="X124" s="74"/>
      <c r="Y124" s="75"/>
      <c r="Z124" s="31"/>
      <c r="AA124" s="96"/>
      <c r="AB124" s="31"/>
      <c r="AC124" s="76"/>
      <c r="AD124" s="75"/>
      <c r="AE124" s="31"/>
      <c r="AF124" s="96"/>
      <c r="AG124" s="31"/>
      <c r="AH124" s="31"/>
      <c r="AI124" s="74"/>
      <c r="AJ124" s="75"/>
      <c r="AK124" s="31"/>
      <c r="AL124" s="96"/>
      <c r="AM124" s="31"/>
      <c r="AN124" s="76"/>
      <c r="AO124" s="31"/>
      <c r="AP124" s="31"/>
    </row>
    <row r="125" customFormat="false" ht="12.8" hidden="false" customHeight="false" outlineLevel="0" collapsed="false">
      <c r="C125" s="72"/>
      <c r="D125" s="31"/>
      <c r="E125" s="96"/>
      <c r="F125" s="31"/>
      <c r="G125" s="96"/>
      <c r="H125" s="31"/>
      <c r="I125" s="74"/>
      <c r="J125" s="75"/>
      <c r="K125" s="72"/>
      <c r="L125" s="31"/>
      <c r="M125" s="96"/>
      <c r="N125" s="96"/>
      <c r="O125" s="31"/>
      <c r="P125" s="76"/>
      <c r="Q125" s="75"/>
      <c r="R125" s="31"/>
      <c r="S125" s="96"/>
      <c r="T125" s="31"/>
      <c r="U125" s="31"/>
      <c r="V125" s="96"/>
      <c r="W125" s="96"/>
      <c r="X125" s="74"/>
      <c r="Y125" s="75"/>
      <c r="Z125" s="31"/>
      <c r="AA125" s="96"/>
      <c r="AB125" s="31"/>
      <c r="AC125" s="76"/>
      <c r="AD125" s="75"/>
      <c r="AE125" s="31"/>
      <c r="AF125" s="96"/>
      <c r="AG125" s="31"/>
      <c r="AH125" s="31"/>
      <c r="AI125" s="74"/>
      <c r="AJ125" s="75"/>
      <c r="AK125" s="31"/>
      <c r="AL125" s="96"/>
      <c r="AM125" s="31"/>
      <c r="AN125" s="76"/>
      <c r="AO125" s="31"/>
      <c r="AP125" s="31"/>
    </row>
    <row r="126" customFormat="false" ht="12.8" hidden="false" customHeight="false" outlineLevel="0" collapsed="false">
      <c r="C126" s="72"/>
      <c r="D126" s="31"/>
      <c r="E126" s="96"/>
      <c r="F126" s="31"/>
      <c r="G126" s="96"/>
      <c r="H126" s="31"/>
      <c r="I126" s="74"/>
      <c r="J126" s="75"/>
      <c r="K126" s="72"/>
      <c r="L126" s="31"/>
      <c r="M126" s="96"/>
      <c r="N126" s="96"/>
      <c r="O126" s="31"/>
      <c r="P126" s="76"/>
      <c r="Q126" s="75"/>
      <c r="R126" s="31"/>
      <c r="S126" s="96"/>
      <c r="T126" s="31"/>
      <c r="U126" s="31"/>
      <c r="V126" s="96"/>
      <c r="W126" s="96"/>
      <c r="X126" s="74"/>
      <c r="Y126" s="75"/>
      <c r="Z126" s="31"/>
      <c r="AA126" s="96"/>
      <c r="AB126" s="31"/>
      <c r="AC126" s="76"/>
      <c r="AD126" s="75"/>
      <c r="AE126" s="31"/>
      <c r="AF126" s="96"/>
      <c r="AG126" s="31"/>
      <c r="AH126" s="31"/>
      <c r="AI126" s="74"/>
      <c r="AJ126" s="75"/>
      <c r="AK126" s="31"/>
      <c r="AL126" s="96"/>
      <c r="AM126" s="31"/>
      <c r="AN126" s="76"/>
      <c r="AO126" s="31"/>
      <c r="AP126" s="31"/>
    </row>
    <row r="127" customFormat="false" ht="12.8" hidden="false" customHeight="false" outlineLevel="0" collapsed="false">
      <c r="C127" s="72"/>
      <c r="D127" s="31"/>
      <c r="E127" s="96"/>
      <c r="F127" s="31"/>
      <c r="G127" s="96"/>
      <c r="H127" s="31"/>
      <c r="I127" s="74"/>
      <c r="J127" s="75"/>
      <c r="K127" s="72"/>
      <c r="L127" s="31"/>
      <c r="M127" s="96"/>
      <c r="N127" s="96"/>
      <c r="O127" s="31"/>
      <c r="P127" s="76"/>
      <c r="Q127" s="75"/>
      <c r="R127" s="31"/>
      <c r="S127" s="96"/>
      <c r="T127" s="31"/>
      <c r="U127" s="31"/>
      <c r="V127" s="96"/>
      <c r="W127" s="96"/>
      <c r="X127" s="74"/>
      <c r="Y127" s="75"/>
      <c r="Z127" s="31"/>
      <c r="AA127" s="96"/>
      <c r="AB127" s="31"/>
      <c r="AC127" s="76"/>
      <c r="AD127" s="75"/>
      <c r="AE127" s="31"/>
      <c r="AF127" s="96"/>
      <c r="AG127" s="31"/>
      <c r="AH127" s="31"/>
      <c r="AI127" s="74"/>
      <c r="AJ127" s="75"/>
      <c r="AK127" s="31"/>
      <c r="AL127" s="96"/>
      <c r="AM127" s="31"/>
      <c r="AN127" s="76"/>
      <c r="AO127" s="31"/>
      <c r="AP127" s="31"/>
    </row>
    <row r="128" customFormat="false" ht="12.8" hidden="false" customHeight="false" outlineLevel="0" collapsed="false">
      <c r="C128" s="72"/>
      <c r="D128" s="31"/>
      <c r="E128" s="96"/>
      <c r="F128" s="31"/>
      <c r="G128" s="96"/>
      <c r="H128" s="31"/>
      <c r="I128" s="74"/>
      <c r="J128" s="75"/>
      <c r="K128" s="72"/>
      <c r="L128" s="31"/>
      <c r="M128" s="96"/>
      <c r="N128" s="96"/>
      <c r="O128" s="31"/>
      <c r="P128" s="76"/>
      <c r="Q128" s="75"/>
      <c r="R128" s="31"/>
      <c r="S128" s="96"/>
      <c r="T128" s="31"/>
      <c r="U128" s="31"/>
      <c r="V128" s="96"/>
      <c r="W128" s="96"/>
      <c r="X128" s="74"/>
      <c r="Y128" s="75"/>
      <c r="Z128" s="31"/>
      <c r="AA128" s="96"/>
      <c r="AB128" s="31"/>
      <c r="AC128" s="76"/>
      <c r="AD128" s="75"/>
      <c r="AE128" s="31"/>
      <c r="AF128" s="96"/>
      <c r="AG128" s="31"/>
      <c r="AH128" s="31"/>
      <c r="AI128" s="74"/>
      <c r="AJ128" s="75"/>
      <c r="AK128" s="31"/>
      <c r="AL128" s="96"/>
      <c r="AM128" s="31"/>
      <c r="AN128" s="76"/>
      <c r="AO128" s="31"/>
      <c r="AP128" s="31"/>
    </row>
    <row r="129" customFormat="false" ht="12.8" hidden="false" customHeight="false" outlineLevel="0" collapsed="false">
      <c r="C129" s="72"/>
      <c r="D129" s="31"/>
      <c r="E129" s="96"/>
      <c r="F129" s="31"/>
      <c r="G129" s="96"/>
      <c r="H129" s="31"/>
      <c r="I129" s="74"/>
      <c r="J129" s="75"/>
      <c r="K129" s="72"/>
      <c r="L129" s="31"/>
      <c r="M129" s="96"/>
      <c r="N129" s="96"/>
      <c r="O129" s="31"/>
      <c r="P129" s="76"/>
      <c r="Q129" s="75"/>
      <c r="R129" s="31"/>
      <c r="S129" s="96"/>
      <c r="T129" s="31"/>
      <c r="U129" s="31"/>
      <c r="V129" s="96"/>
      <c r="W129" s="96"/>
      <c r="X129" s="74"/>
      <c r="Y129" s="75"/>
      <c r="Z129" s="31"/>
      <c r="AA129" s="96"/>
      <c r="AB129" s="31"/>
      <c r="AC129" s="76"/>
      <c r="AD129" s="75"/>
      <c r="AE129" s="31"/>
      <c r="AF129" s="96"/>
      <c r="AG129" s="31"/>
      <c r="AH129" s="31"/>
      <c r="AI129" s="74"/>
      <c r="AJ129" s="75"/>
      <c r="AK129" s="31"/>
      <c r="AL129" s="96"/>
      <c r="AM129" s="31"/>
      <c r="AN129" s="76"/>
      <c r="AO129" s="31"/>
      <c r="AP129" s="31"/>
    </row>
    <row r="130" customFormat="false" ht="12.8" hidden="false" customHeight="false" outlineLevel="0" collapsed="false">
      <c r="C130" s="72"/>
      <c r="D130" s="31"/>
      <c r="E130" s="96"/>
      <c r="F130" s="31"/>
      <c r="G130" s="96"/>
      <c r="H130" s="31"/>
      <c r="I130" s="74"/>
      <c r="J130" s="75"/>
      <c r="K130" s="72"/>
      <c r="L130" s="31"/>
      <c r="M130" s="96"/>
      <c r="N130" s="96"/>
      <c r="O130" s="31"/>
      <c r="P130" s="76"/>
      <c r="Q130" s="75"/>
      <c r="R130" s="31"/>
      <c r="S130" s="96"/>
      <c r="T130" s="31"/>
      <c r="U130" s="31"/>
      <c r="V130" s="96"/>
      <c r="W130" s="96"/>
      <c r="X130" s="74"/>
      <c r="Y130" s="75"/>
      <c r="Z130" s="31"/>
      <c r="AA130" s="96"/>
      <c r="AB130" s="31"/>
      <c r="AC130" s="76"/>
      <c r="AD130" s="75"/>
      <c r="AE130" s="31"/>
      <c r="AF130" s="96"/>
      <c r="AG130" s="31"/>
      <c r="AH130" s="31"/>
      <c r="AI130" s="74"/>
      <c r="AJ130" s="75"/>
      <c r="AK130" s="31"/>
      <c r="AL130" s="96"/>
      <c r="AM130" s="31"/>
      <c r="AN130" s="76"/>
      <c r="AO130" s="31"/>
      <c r="AP130" s="31"/>
    </row>
    <row r="131" customFormat="false" ht="12.8" hidden="false" customHeight="false" outlineLevel="0" collapsed="false">
      <c r="C131" s="72"/>
      <c r="D131" s="31"/>
      <c r="E131" s="96"/>
      <c r="F131" s="31"/>
      <c r="G131" s="96"/>
      <c r="H131" s="31"/>
      <c r="I131" s="74"/>
      <c r="J131" s="75"/>
      <c r="K131" s="72"/>
      <c r="L131" s="31"/>
      <c r="M131" s="96"/>
      <c r="N131" s="96"/>
      <c r="O131" s="31"/>
      <c r="P131" s="76"/>
      <c r="Q131" s="75"/>
      <c r="R131" s="31"/>
      <c r="S131" s="96"/>
      <c r="T131" s="31"/>
      <c r="U131" s="31"/>
      <c r="V131" s="96"/>
      <c r="W131" s="96"/>
      <c r="X131" s="74"/>
      <c r="Y131" s="75"/>
      <c r="Z131" s="31"/>
      <c r="AA131" s="96"/>
      <c r="AB131" s="31"/>
      <c r="AC131" s="76"/>
      <c r="AD131" s="75"/>
      <c r="AE131" s="31"/>
      <c r="AF131" s="96"/>
      <c r="AG131" s="31"/>
      <c r="AH131" s="31"/>
      <c r="AI131" s="74"/>
      <c r="AJ131" s="75"/>
      <c r="AK131" s="31"/>
      <c r="AL131" s="96"/>
      <c r="AM131" s="31"/>
      <c r="AN131" s="76"/>
      <c r="AO131" s="31"/>
      <c r="AP131" s="31"/>
    </row>
    <row r="132" customFormat="false" ht="12.8" hidden="false" customHeight="false" outlineLevel="0" collapsed="false">
      <c r="C132" s="72"/>
      <c r="D132" s="31"/>
      <c r="E132" s="96"/>
      <c r="F132" s="31"/>
      <c r="G132" s="96"/>
      <c r="H132" s="31"/>
      <c r="I132" s="74"/>
      <c r="J132" s="75"/>
      <c r="K132" s="72"/>
      <c r="L132" s="31"/>
      <c r="M132" s="96"/>
      <c r="N132" s="96"/>
      <c r="O132" s="31"/>
      <c r="P132" s="76"/>
      <c r="Q132" s="75"/>
      <c r="R132" s="31"/>
      <c r="S132" s="96"/>
      <c r="T132" s="31"/>
      <c r="U132" s="31"/>
      <c r="V132" s="96"/>
      <c r="W132" s="96"/>
      <c r="X132" s="74"/>
      <c r="Y132" s="75"/>
      <c r="Z132" s="31"/>
      <c r="AA132" s="96"/>
      <c r="AB132" s="31"/>
      <c r="AC132" s="76"/>
      <c r="AD132" s="75"/>
      <c r="AE132" s="31"/>
      <c r="AF132" s="96"/>
      <c r="AG132" s="31"/>
      <c r="AH132" s="31"/>
      <c r="AI132" s="74"/>
      <c r="AJ132" s="75"/>
      <c r="AK132" s="31"/>
      <c r="AL132" s="96"/>
      <c r="AM132" s="31"/>
      <c r="AN132" s="76"/>
      <c r="AO132" s="31"/>
      <c r="AP132" s="31"/>
    </row>
    <row r="133" customFormat="false" ht="12.8" hidden="false" customHeight="false" outlineLevel="0" collapsed="false">
      <c r="C133" s="72"/>
      <c r="D133" s="31"/>
      <c r="E133" s="96"/>
      <c r="F133" s="31"/>
      <c r="G133" s="96"/>
      <c r="H133" s="31"/>
      <c r="I133" s="74"/>
      <c r="J133" s="75"/>
      <c r="K133" s="72"/>
      <c r="L133" s="31"/>
      <c r="M133" s="96"/>
      <c r="N133" s="96"/>
      <c r="O133" s="31"/>
      <c r="P133" s="76"/>
      <c r="Q133" s="75"/>
      <c r="R133" s="31"/>
      <c r="S133" s="96"/>
      <c r="T133" s="31"/>
      <c r="U133" s="31"/>
      <c r="V133" s="96"/>
      <c r="W133" s="96"/>
      <c r="X133" s="74"/>
      <c r="Y133" s="75"/>
      <c r="Z133" s="31"/>
      <c r="AA133" s="96"/>
      <c r="AB133" s="31"/>
      <c r="AC133" s="76"/>
      <c r="AD133" s="75"/>
      <c r="AE133" s="31"/>
      <c r="AF133" s="96"/>
      <c r="AG133" s="31"/>
      <c r="AH133" s="31"/>
      <c r="AI133" s="74"/>
      <c r="AJ133" s="75"/>
      <c r="AK133" s="31"/>
      <c r="AL133" s="96"/>
      <c r="AM133" s="31"/>
      <c r="AN133" s="76"/>
      <c r="AO133" s="31"/>
      <c r="AP133" s="31"/>
    </row>
    <row r="134" customFormat="false" ht="12.8" hidden="false" customHeight="false" outlineLevel="0" collapsed="false">
      <c r="C134" s="72"/>
      <c r="D134" s="31"/>
      <c r="E134" s="96"/>
      <c r="F134" s="31"/>
      <c r="G134" s="96"/>
      <c r="H134" s="31"/>
      <c r="I134" s="74"/>
      <c r="J134" s="75"/>
      <c r="K134" s="72"/>
      <c r="L134" s="31"/>
      <c r="M134" s="96"/>
      <c r="N134" s="96"/>
      <c r="O134" s="31"/>
      <c r="P134" s="76"/>
      <c r="Q134" s="75"/>
      <c r="R134" s="31"/>
      <c r="S134" s="96"/>
      <c r="T134" s="31"/>
      <c r="U134" s="31"/>
      <c r="V134" s="96"/>
      <c r="W134" s="96"/>
      <c r="X134" s="74"/>
      <c r="Y134" s="75"/>
      <c r="Z134" s="31"/>
      <c r="AA134" s="96"/>
      <c r="AB134" s="31"/>
      <c r="AC134" s="76"/>
      <c r="AD134" s="75"/>
      <c r="AE134" s="31"/>
      <c r="AF134" s="96"/>
      <c r="AG134" s="31"/>
      <c r="AH134" s="31"/>
      <c r="AI134" s="74"/>
      <c r="AJ134" s="75"/>
      <c r="AK134" s="31"/>
      <c r="AL134" s="96"/>
      <c r="AM134" s="31"/>
      <c r="AN134" s="76"/>
      <c r="AO134" s="31"/>
      <c r="AP134" s="31"/>
    </row>
    <row r="135" customFormat="false" ht="12.8" hidden="false" customHeight="false" outlineLevel="0" collapsed="false">
      <c r="C135" s="72"/>
      <c r="D135" s="31"/>
      <c r="E135" s="96"/>
      <c r="F135" s="31"/>
      <c r="G135" s="96"/>
      <c r="H135" s="31"/>
      <c r="I135" s="74"/>
      <c r="J135" s="75"/>
      <c r="K135" s="72"/>
      <c r="L135" s="31"/>
      <c r="M135" s="96"/>
      <c r="N135" s="96"/>
      <c r="O135" s="31"/>
      <c r="P135" s="76"/>
      <c r="Q135" s="75"/>
      <c r="R135" s="31"/>
      <c r="S135" s="96"/>
      <c r="T135" s="31"/>
      <c r="U135" s="31"/>
      <c r="V135" s="96"/>
      <c r="W135" s="96"/>
      <c r="X135" s="74"/>
      <c r="Y135" s="75"/>
      <c r="Z135" s="31"/>
      <c r="AA135" s="96"/>
      <c r="AB135" s="31"/>
      <c r="AC135" s="76"/>
      <c r="AD135" s="75"/>
      <c r="AE135" s="31"/>
      <c r="AF135" s="96"/>
      <c r="AG135" s="31"/>
      <c r="AH135" s="31"/>
      <c r="AI135" s="74"/>
      <c r="AJ135" s="75"/>
      <c r="AK135" s="31"/>
      <c r="AL135" s="96"/>
      <c r="AM135" s="31"/>
      <c r="AN135" s="76"/>
      <c r="AO135" s="31"/>
      <c r="AP135" s="31"/>
    </row>
    <row r="136" customFormat="false" ht="12.8" hidden="false" customHeight="false" outlineLevel="0" collapsed="false">
      <c r="C136" s="72"/>
      <c r="D136" s="31"/>
      <c r="E136" s="96"/>
      <c r="F136" s="31"/>
      <c r="G136" s="96"/>
      <c r="H136" s="31"/>
      <c r="I136" s="74"/>
      <c r="J136" s="75"/>
      <c r="K136" s="72"/>
      <c r="L136" s="31"/>
      <c r="M136" s="96"/>
      <c r="N136" s="96"/>
      <c r="O136" s="31"/>
      <c r="P136" s="76"/>
      <c r="Q136" s="75"/>
      <c r="R136" s="31"/>
      <c r="S136" s="96"/>
      <c r="T136" s="31"/>
      <c r="U136" s="31"/>
      <c r="V136" s="96"/>
      <c r="W136" s="96"/>
      <c r="X136" s="74"/>
      <c r="Y136" s="75"/>
      <c r="Z136" s="31"/>
      <c r="AA136" s="96"/>
      <c r="AB136" s="31"/>
      <c r="AC136" s="76"/>
      <c r="AD136" s="75"/>
      <c r="AE136" s="31"/>
      <c r="AF136" s="96"/>
      <c r="AG136" s="31"/>
      <c r="AH136" s="31"/>
      <c r="AI136" s="74"/>
      <c r="AJ136" s="75"/>
      <c r="AK136" s="31"/>
      <c r="AL136" s="96"/>
      <c r="AM136" s="31"/>
      <c r="AN136" s="76"/>
      <c r="AO136" s="31"/>
      <c r="AP136" s="31"/>
    </row>
    <row r="137" customFormat="false" ht="12.8" hidden="false" customHeight="false" outlineLevel="0" collapsed="false">
      <c r="C137" s="72"/>
      <c r="D137" s="31"/>
      <c r="E137" s="96"/>
      <c r="F137" s="31"/>
      <c r="G137" s="96"/>
      <c r="H137" s="31"/>
      <c r="I137" s="74"/>
      <c r="J137" s="75"/>
      <c r="K137" s="72"/>
      <c r="L137" s="31"/>
      <c r="M137" s="96"/>
      <c r="N137" s="96"/>
      <c r="O137" s="31"/>
      <c r="P137" s="76"/>
      <c r="Q137" s="75"/>
      <c r="R137" s="31"/>
      <c r="S137" s="96"/>
      <c r="T137" s="31"/>
      <c r="U137" s="31"/>
      <c r="V137" s="96"/>
      <c r="W137" s="96"/>
      <c r="X137" s="74"/>
      <c r="Y137" s="75"/>
      <c r="Z137" s="31"/>
      <c r="AA137" s="96"/>
      <c r="AB137" s="31"/>
      <c r="AC137" s="76"/>
      <c r="AD137" s="75"/>
      <c r="AE137" s="31"/>
      <c r="AF137" s="96"/>
      <c r="AG137" s="31"/>
      <c r="AH137" s="31"/>
      <c r="AI137" s="74"/>
      <c r="AJ137" s="75"/>
      <c r="AK137" s="31"/>
      <c r="AL137" s="96"/>
      <c r="AM137" s="31"/>
      <c r="AN137" s="76"/>
      <c r="AO137" s="31"/>
      <c r="AP137" s="31"/>
    </row>
    <row r="138" customFormat="false" ht="12.8" hidden="false" customHeight="false" outlineLevel="0" collapsed="false">
      <c r="C138" s="72"/>
      <c r="D138" s="31"/>
      <c r="E138" s="96"/>
      <c r="F138" s="31"/>
      <c r="G138" s="96"/>
      <c r="H138" s="31"/>
      <c r="I138" s="74"/>
      <c r="J138" s="75"/>
      <c r="K138" s="72"/>
      <c r="L138" s="31"/>
      <c r="M138" s="96"/>
      <c r="N138" s="96"/>
      <c r="O138" s="31"/>
      <c r="P138" s="76"/>
      <c r="Q138" s="75"/>
      <c r="R138" s="31"/>
      <c r="S138" s="96"/>
      <c r="T138" s="31"/>
      <c r="U138" s="31"/>
      <c r="V138" s="96"/>
      <c r="W138" s="96"/>
      <c r="X138" s="74"/>
      <c r="Y138" s="75"/>
      <c r="Z138" s="31"/>
      <c r="AA138" s="96"/>
      <c r="AB138" s="31"/>
      <c r="AC138" s="76"/>
      <c r="AD138" s="75"/>
      <c r="AE138" s="31"/>
      <c r="AF138" s="96"/>
      <c r="AG138" s="31"/>
      <c r="AH138" s="31"/>
      <c r="AI138" s="74"/>
      <c r="AJ138" s="75"/>
      <c r="AK138" s="31"/>
      <c r="AL138" s="96"/>
      <c r="AM138" s="31"/>
      <c r="AN138" s="76"/>
      <c r="AO138" s="31"/>
      <c r="AP138" s="31"/>
    </row>
    <row r="139" customFormat="false" ht="12.8" hidden="false" customHeight="false" outlineLevel="0" collapsed="false">
      <c r="C139" s="72"/>
      <c r="D139" s="31"/>
      <c r="E139" s="96"/>
      <c r="F139" s="31"/>
      <c r="G139" s="96"/>
      <c r="H139" s="31"/>
      <c r="I139" s="74"/>
      <c r="J139" s="75"/>
      <c r="K139" s="72"/>
      <c r="L139" s="31"/>
      <c r="M139" s="96"/>
      <c r="N139" s="96"/>
      <c r="O139" s="31"/>
      <c r="P139" s="76"/>
      <c r="Q139" s="75"/>
      <c r="R139" s="31"/>
      <c r="S139" s="96"/>
      <c r="T139" s="31"/>
      <c r="U139" s="31"/>
      <c r="V139" s="96"/>
      <c r="W139" s="96"/>
      <c r="X139" s="74"/>
      <c r="Y139" s="75"/>
      <c r="Z139" s="31"/>
      <c r="AA139" s="96"/>
      <c r="AB139" s="31"/>
      <c r="AC139" s="76"/>
      <c r="AD139" s="75"/>
      <c r="AE139" s="31"/>
      <c r="AF139" s="96"/>
      <c r="AG139" s="31"/>
      <c r="AH139" s="31"/>
      <c r="AI139" s="74"/>
      <c r="AJ139" s="75"/>
      <c r="AK139" s="31"/>
      <c r="AL139" s="96"/>
      <c r="AM139" s="31"/>
      <c r="AN139" s="76"/>
      <c r="AO139" s="31"/>
      <c r="AP139" s="31"/>
    </row>
    <row r="140" customFormat="false" ht="12.8" hidden="false" customHeight="false" outlineLevel="0" collapsed="false">
      <c r="C140" s="72"/>
      <c r="D140" s="31"/>
      <c r="E140" s="96"/>
      <c r="F140" s="31"/>
      <c r="G140" s="96"/>
      <c r="H140" s="31"/>
      <c r="I140" s="74"/>
      <c r="J140" s="75"/>
      <c r="K140" s="72"/>
      <c r="L140" s="31"/>
      <c r="M140" s="96"/>
      <c r="N140" s="96"/>
      <c r="O140" s="31"/>
      <c r="P140" s="76"/>
      <c r="Q140" s="75"/>
      <c r="R140" s="31"/>
      <c r="S140" s="96"/>
      <c r="T140" s="31"/>
      <c r="U140" s="31"/>
      <c r="V140" s="96"/>
      <c r="W140" s="96"/>
      <c r="X140" s="74"/>
      <c r="Y140" s="75"/>
      <c r="Z140" s="31"/>
      <c r="AA140" s="96"/>
      <c r="AB140" s="31"/>
      <c r="AC140" s="76"/>
      <c r="AD140" s="75"/>
      <c r="AE140" s="31"/>
      <c r="AF140" s="96"/>
      <c r="AG140" s="31"/>
      <c r="AH140" s="31"/>
      <c r="AI140" s="74"/>
      <c r="AJ140" s="75"/>
      <c r="AK140" s="31"/>
      <c r="AL140" s="96"/>
      <c r="AM140" s="31"/>
      <c r="AN140" s="76"/>
      <c r="AO140" s="31"/>
      <c r="AP140" s="31"/>
    </row>
    <row r="141" customFormat="false" ht="12.8" hidden="false" customHeight="false" outlineLevel="0" collapsed="false">
      <c r="C141" s="72"/>
      <c r="D141" s="31"/>
      <c r="E141" s="96"/>
      <c r="F141" s="31"/>
      <c r="G141" s="96"/>
      <c r="H141" s="31"/>
      <c r="I141" s="74"/>
      <c r="J141" s="75"/>
      <c r="K141" s="72"/>
      <c r="L141" s="31"/>
      <c r="M141" s="96"/>
      <c r="N141" s="96"/>
      <c r="O141" s="31"/>
      <c r="P141" s="76"/>
      <c r="Q141" s="75"/>
      <c r="R141" s="31"/>
      <c r="S141" s="96"/>
      <c r="T141" s="31"/>
      <c r="U141" s="31"/>
      <c r="V141" s="96"/>
      <c r="W141" s="96"/>
      <c r="X141" s="74"/>
      <c r="Y141" s="75"/>
      <c r="Z141" s="31"/>
      <c r="AA141" s="96"/>
      <c r="AB141" s="31"/>
      <c r="AC141" s="76"/>
      <c r="AD141" s="75"/>
      <c r="AE141" s="31"/>
      <c r="AF141" s="96"/>
      <c r="AG141" s="31"/>
      <c r="AH141" s="31"/>
      <c r="AI141" s="74"/>
      <c r="AJ141" s="75"/>
      <c r="AK141" s="31"/>
      <c r="AL141" s="96"/>
      <c r="AM141" s="31"/>
      <c r="AN141" s="76"/>
      <c r="AO141" s="31"/>
      <c r="AP141" s="31"/>
    </row>
    <row r="142" customFormat="false" ht="12.8" hidden="false" customHeight="false" outlineLevel="0" collapsed="false">
      <c r="C142" s="72"/>
      <c r="D142" s="31"/>
      <c r="E142" s="96"/>
      <c r="F142" s="31"/>
      <c r="G142" s="96"/>
      <c r="H142" s="31"/>
      <c r="I142" s="74"/>
      <c r="J142" s="75"/>
      <c r="K142" s="72"/>
      <c r="L142" s="31"/>
      <c r="M142" s="96"/>
      <c r="N142" s="96"/>
      <c r="O142" s="31"/>
      <c r="P142" s="76"/>
      <c r="Q142" s="75"/>
      <c r="R142" s="31"/>
      <c r="S142" s="96"/>
      <c r="T142" s="31"/>
      <c r="U142" s="31"/>
      <c r="V142" s="96"/>
      <c r="W142" s="96"/>
      <c r="X142" s="74"/>
      <c r="Y142" s="75"/>
      <c r="Z142" s="31"/>
      <c r="AA142" s="96"/>
      <c r="AB142" s="31"/>
      <c r="AC142" s="76"/>
      <c r="AD142" s="75"/>
      <c r="AE142" s="31"/>
      <c r="AF142" s="96"/>
      <c r="AG142" s="31"/>
      <c r="AH142" s="31"/>
      <c r="AI142" s="74"/>
      <c r="AJ142" s="75"/>
      <c r="AK142" s="31"/>
      <c r="AL142" s="96"/>
      <c r="AM142" s="31"/>
      <c r="AN142" s="76"/>
      <c r="AO142" s="31"/>
      <c r="AP142" s="31"/>
    </row>
  </sheetData>
  <mergeCells count="4">
    <mergeCell ref="A2:AQ2"/>
    <mergeCell ref="A32:AQ32"/>
    <mergeCell ref="A62:AQ62"/>
    <mergeCell ref="A92:AQ9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CL150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B99" activePane="bottomRight" state="frozen"/>
      <selection pane="topLeft" activeCell="A1" activeCellId="0" sqref="A1"/>
      <selection pane="topRight" activeCell="B1" activeCellId="0" sqref="B1"/>
      <selection pane="bottomLeft" activeCell="A99" activeCellId="0" sqref="A99"/>
      <selection pane="bottomRight" activeCell="AQ1" activeCellId="0" sqref="AQ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21" width="14.67"/>
    <col collapsed="false" customWidth="true" hidden="false" outlineLevel="0" max="3" min="3" style="39" width="14.67"/>
    <col collapsed="false" customWidth="true" hidden="false" outlineLevel="0" max="4" min="4" style="1" width="14.67"/>
    <col collapsed="false" customWidth="true" hidden="false" outlineLevel="0" max="5" min="5" style="40" width="14.67"/>
    <col collapsed="false" customWidth="true" hidden="false" outlineLevel="0" max="6" min="6" style="1" width="14.67"/>
    <col collapsed="false" customWidth="true" hidden="false" outlineLevel="0" max="7" min="7" style="40" width="14.67"/>
    <col collapsed="false" customWidth="true" hidden="false" outlineLevel="0" max="8" min="8" style="1" width="14.67"/>
    <col collapsed="false" customWidth="true" hidden="false" outlineLevel="0" max="9" min="9" style="41" width="14.67"/>
    <col collapsed="false" customWidth="true" hidden="false" outlineLevel="0" max="10" min="10" style="21" width="14.67"/>
    <col collapsed="false" customWidth="true" hidden="false" outlineLevel="0" max="11" min="11" style="39" width="14.67"/>
    <col collapsed="false" customWidth="true" hidden="false" outlineLevel="0" max="12" min="12" style="1" width="14.67"/>
    <col collapsed="false" customWidth="true" hidden="false" outlineLevel="0" max="14" min="13" style="40" width="14.67"/>
    <col collapsed="false" customWidth="true" hidden="false" outlineLevel="0" max="15" min="15" style="1" width="14.67"/>
    <col collapsed="false" customWidth="true" hidden="false" outlineLevel="0" max="16" min="16" style="42" width="14.67"/>
    <col collapsed="false" customWidth="true" hidden="false" outlineLevel="0" max="17" min="17" style="21" width="14.67"/>
    <col collapsed="false" customWidth="true" hidden="false" outlineLevel="0" max="18" min="18" style="1" width="14.67"/>
    <col collapsed="false" customWidth="true" hidden="false" outlineLevel="0" max="19" min="19" style="40" width="14.67"/>
    <col collapsed="false" customWidth="true" hidden="false" outlineLevel="0" max="21" min="20" style="1" width="14.67"/>
    <col collapsed="false" customWidth="true" hidden="false" outlineLevel="0" max="23" min="22" style="40" width="14.67"/>
    <col collapsed="false" customWidth="true" hidden="false" outlineLevel="0" max="24" min="24" style="41" width="14.67"/>
    <col collapsed="false" customWidth="true" hidden="false" outlineLevel="0" max="25" min="25" style="21" width="14.67"/>
    <col collapsed="false" customWidth="true" hidden="false" outlineLevel="0" max="26" min="26" style="1" width="14.67"/>
    <col collapsed="false" customWidth="true" hidden="false" outlineLevel="0" max="27" min="27" style="40" width="14.67"/>
    <col collapsed="false" customWidth="true" hidden="false" outlineLevel="0" max="29" min="28" style="1" width="14.67"/>
    <col collapsed="false" customWidth="true" hidden="false" outlineLevel="0" max="30" min="30" style="21" width="14.67"/>
    <col collapsed="false" customWidth="true" hidden="false" outlineLevel="0" max="31" min="31" style="1" width="14.67"/>
    <col collapsed="false" customWidth="true" hidden="false" outlineLevel="0" max="32" min="32" style="40" width="14.67"/>
    <col collapsed="false" customWidth="true" hidden="false" outlineLevel="0" max="34" min="33" style="1" width="14.67"/>
    <col collapsed="false" customWidth="true" hidden="false" outlineLevel="0" max="35" min="35" style="41" width="14.67"/>
    <col collapsed="false" customWidth="true" hidden="false" outlineLevel="0" max="36" min="36" style="21" width="14.67"/>
    <col collapsed="false" customWidth="true" hidden="false" outlineLevel="0" max="37" min="37" style="1" width="14.67"/>
    <col collapsed="false" customWidth="true" hidden="false" outlineLevel="0" max="38" min="38" style="40" width="14.67"/>
    <col collapsed="false" customWidth="true" hidden="false" outlineLevel="0" max="39" min="39" style="1" width="14.67"/>
    <col collapsed="false" customWidth="true" hidden="false" outlineLevel="0" max="40" min="40" style="42" width="14.67"/>
    <col collapsed="false" customWidth="true" hidden="false" outlineLevel="0" max="41" min="41" style="21" width="14.67"/>
    <col collapsed="false" customWidth="true" hidden="false" outlineLevel="0" max="42" min="42" style="1" width="14.67"/>
    <col collapsed="false" customWidth="true" hidden="false" outlineLevel="0" max="43" min="43" style="40" width="14.52"/>
  </cols>
  <sheetData>
    <row r="1" customFormat="false" ht="12.8" hidden="false" customHeight="false" outlineLevel="0" collapsed="false">
      <c r="A1" s="146" t="s">
        <v>261</v>
      </c>
      <c r="B1" s="203" t="s">
        <v>44</v>
      </c>
      <c r="C1" s="44" t="s">
        <v>49</v>
      </c>
      <c r="D1" s="23" t="s">
        <v>42</v>
      </c>
      <c r="E1" s="28" t="s">
        <v>41</v>
      </c>
      <c r="F1" s="23" t="s">
        <v>40</v>
      </c>
      <c r="G1" s="28" t="s">
        <v>38</v>
      </c>
      <c r="H1" s="23" t="s">
        <v>37</v>
      </c>
      <c r="I1" s="45" t="s">
        <v>36</v>
      </c>
      <c r="J1" s="46" t="s">
        <v>35</v>
      </c>
      <c r="K1" s="24" t="s">
        <v>34</v>
      </c>
      <c r="L1" s="23" t="s">
        <v>33</v>
      </c>
      <c r="M1" s="19" t="s">
        <v>32</v>
      </c>
      <c r="N1" s="19" t="s">
        <v>50</v>
      </c>
      <c r="O1" s="23" t="s">
        <v>51</v>
      </c>
      <c r="P1" s="47" t="s">
        <v>52</v>
      </c>
      <c r="Q1" s="46" t="s">
        <v>53</v>
      </c>
      <c r="R1" s="23" t="s">
        <v>54</v>
      </c>
      <c r="S1" s="19" t="s">
        <v>55</v>
      </c>
      <c r="T1" s="23" t="s">
        <v>56</v>
      </c>
      <c r="U1" s="23" t="s">
        <v>57</v>
      </c>
      <c r="V1" s="28" t="s">
        <v>58</v>
      </c>
      <c r="W1" s="28" t="s">
        <v>59</v>
      </c>
      <c r="X1" s="45" t="s">
        <v>60</v>
      </c>
      <c r="Y1" s="46" t="s">
        <v>61</v>
      </c>
      <c r="Z1" s="23" t="s">
        <v>62</v>
      </c>
      <c r="AA1" s="19" t="s">
        <v>63</v>
      </c>
      <c r="AB1" s="23" t="s">
        <v>64</v>
      </c>
      <c r="AC1" s="23" t="s">
        <v>65</v>
      </c>
      <c r="AD1" s="46" t="s">
        <v>66</v>
      </c>
      <c r="AE1" s="23" t="s">
        <v>67</v>
      </c>
      <c r="AF1" s="19" t="s">
        <v>68</v>
      </c>
      <c r="AG1" s="23" t="s">
        <v>69</v>
      </c>
      <c r="AH1" s="23" t="s">
        <v>70</v>
      </c>
      <c r="AI1" s="45" t="s">
        <v>71</v>
      </c>
      <c r="AJ1" s="46" t="s">
        <v>72</v>
      </c>
      <c r="AK1" s="23" t="s">
        <v>73</v>
      </c>
      <c r="AL1" s="24" t="s">
        <v>74</v>
      </c>
      <c r="AM1" s="23" t="s">
        <v>75</v>
      </c>
      <c r="AN1" s="47" t="s">
        <v>76</v>
      </c>
      <c r="AO1" s="46" t="s">
        <v>77</v>
      </c>
      <c r="AP1" s="23" t="s">
        <v>78</v>
      </c>
      <c r="AQ1" s="24" t="s">
        <v>79</v>
      </c>
    </row>
    <row r="2" customFormat="false" ht="12.8" hidden="false" customHeight="false" outlineLevel="0" collapsed="false">
      <c r="A2" s="16" t="s">
        <v>262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</row>
    <row r="3" customFormat="false" ht="12.8" hidden="false" customHeight="false" outlineLevel="0" collapsed="false">
      <c r="A3" s="139" t="s">
        <v>24</v>
      </c>
      <c r="B3" s="181" t="n">
        <v>140452569</v>
      </c>
      <c r="C3" s="181" t="n">
        <v>140452569</v>
      </c>
      <c r="D3" s="187" t="n">
        <v>140452569</v>
      </c>
      <c r="E3" s="181" t="n">
        <v>140452569</v>
      </c>
      <c r="F3" s="187" t="n">
        <v>140452569</v>
      </c>
      <c r="G3" s="181" t="n">
        <v>140452569</v>
      </c>
      <c r="H3" s="186" t="n">
        <v>140452569</v>
      </c>
      <c r="I3" s="184" t="n">
        <v>108260000</v>
      </c>
      <c r="J3" s="185" t="n">
        <v>108260000</v>
      </c>
      <c r="K3" s="183" t="n">
        <v>108260000</v>
      </c>
      <c r="L3" s="182" t="n">
        <v>108260000</v>
      </c>
      <c r="M3" s="183" t="n">
        <v>108260000</v>
      </c>
      <c r="N3" s="183" t="n">
        <v>108260000</v>
      </c>
      <c r="O3" s="182" t="n">
        <v>108260000</v>
      </c>
      <c r="P3" s="186" t="n">
        <v>108260000</v>
      </c>
      <c r="Q3" s="185" t="n">
        <v>104958682</v>
      </c>
      <c r="R3" s="182" t="n">
        <v>104958682</v>
      </c>
      <c r="S3" s="183" t="n">
        <v>104958682</v>
      </c>
      <c r="T3" s="182" t="n">
        <v>104958682</v>
      </c>
      <c r="U3" s="186" t="n">
        <v>104958682</v>
      </c>
      <c r="V3" s="183" t="n">
        <v>102025544</v>
      </c>
      <c r="W3" s="183" t="n">
        <v>102025544</v>
      </c>
      <c r="X3" s="184" t="n">
        <v>102025544</v>
      </c>
      <c r="Y3" s="185" t="n">
        <v>102025544</v>
      </c>
      <c r="Z3" s="182" t="n">
        <v>102025544</v>
      </c>
      <c r="AA3" s="183" t="n">
        <v>102025544</v>
      </c>
      <c r="AB3" s="182" t="n">
        <v>102025544</v>
      </c>
      <c r="AC3" s="237" t="n">
        <v>102025544</v>
      </c>
      <c r="AD3" s="185" t="n">
        <v>87143626</v>
      </c>
      <c r="AE3" s="237" t="n">
        <v>87143626</v>
      </c>
      <c r="AF3" s="183" t="n">
        <v>87143626</v>
      </c>
      <c r="AG3" s="238" t="n">
        <v>87143626</v>
      </c>
      <c r="AH3" s="237" t="n">
        <v>96097300</v>
      </c>
      <c r="AI3" s="184" t="n">
        <v>96097300</v>
      </c>
      <c r="AJ3" s="239" t="n">
        <v>96097300</v>
      </c>
      <c r="AK3" s="237" t="n">
        <v>96097300</v>
      </c>
      <c r="AL3" s="183" t="n">
        <v>96097300</v>
      </c>
      <c r="AM3" s="238" t="n">
        <v>96097300</v>
      </c>
      <c r="AN3" s="186" t="n">
        <v>97478796</v>
      </c>
      <c r="AO3" s="185" t="n">
        <v>97478796</v>
      </c>
      <c r="AP3" s="182" t="n">
        <v>97478796</v>
      </c>
      <c r="AQ3" s="183" t="n">
        <v>97478796</v>
      </c>
    </row>
    <row r="4" customFormat="false" ht="12.8" hidden="false" customHeight="false" outlineLevel="0" collapsed="false">
      <c r="A4" s="139" t="s">
        <v>180</v>
      </c>
      <c r="B4" s="181" t="n">
        <v>193391658</v>
      </c>
      <c r="C4" s="181" t="n">
        <v>193391658</v>
      </c>
      <c r="D4" s="182" t="n">
        <v>193391658</v>
      </c>
      <c r="E4" s="183" t="n">
        <v>193391658</v>
      </c>
      <c r="F4" s="186" t="n">
        <v>193391658</v>
      </c>
      <c r="G4" s="183" t="n">
        <v>191342260</v>
      </c>
      <c r="H4" s="182" t="n">
        <v>191342260</v>
      </c>
      <c r="I4" s="184" t="n">
        <v>191342260</v>
      </c>
      <c r="J4" s="185" t="n">
        <v>191342260</v>
      </c>
      <c r="K4" s="183" t="n">
        <v>191342260</v>
      </c>
      <c r="L4" s="182" t="n">
        <v>191342260</v>
      </c>
      <c r="M4" s="183" t="n">
        <v>191342260</v>
      </c>
      <c r="N4" s="183" t="n">
        <v>191342260</v>
      </c>
      <c r="O4" s="186" t="n">
        <v>191342260</v>
      </c>
      <c r="P4" s="186" t="n">
        <v>182033121</v>
      </c>
      <c r="Q4" s="185" t="n">
        <v>182033121</v>
      </c>
      <c r="R4" s="182" t="n">
        <v>182033121</v>
      </c>
      <c r="S4" s="183" t="n">
        <v>182033121</v>
      </c>
      <c r="T4" s="186" t="n">
        <v>182033121</v>
      </c>
      <c r="U4" s="182" t="n">
        <v>180231414</v>
      </c>
      <c r="V4" s="183" t="n">
        <v>180231414</v>
      </c>
      <c r="W4" s="183" t="n">
        <v>180231414</v>
      </c>
      <c r="X4" s="184" t="n">
        <v>180231414</v>
      </c>
      <c r="Y4" s="185" t="n">
        <v>180231414</v>
      </c>
      <c r="Z4" s="182" t="n">
        <v>180231414</v>
      </c>
      <c r="AA4" s="184" t="n">
        <v>180231414</v>
      </c>
      <c r="AB4" s="182" t="n">
        <v>176132747</v>
      </c>
      <c r="AC4" s="182" t="n">
        <v>176132747</v>
      </c>
      <c r="AD4" s="239" t="n">
        <v>176132747</v>
      </c>
      <c r="AE4" s="182" t="n">
        <v>176132747</v>
      </c>
      <c r="AF4" s="184" t="n">
        <v>176132747</v>
      </c>
      <c r="AG4" s="182" t="n">
        <v>170706292</v>
      </c>
      <c r="AH4" s="182" t="n">
        <v>170706292</v>
      </c>
      <c r="AI4" s="184" t="n">
        <v>170706292</v>
      </c>
      <c r="AJ4" s="182" t="n">
        <v>170706292</v>
      </c>
      <c r="AK4" s="182" t="n">
        <v>170706292</v>
      </c>
      <c r="AL4" s="183" t="n">
        <v>170706292</v>
      </c>
      <c r="AM4" s="186" t="n">
        <v>170706292</v>
      </c>
      <c r="AN4" s="186" t="n">
        <v>167778471</v>
      </c>
      <c r="AO4" s="185" t="n">
        <v>167778471</v>
      </c>
      <c r="AP4" s="182" t="n">
        <v>167778471</v>
      </c>
      <c r="AQ4" s="183" t="n">
        <v>167778471</v>
      </c>
    </row>
    <row r="5" customFormat="false" ht="12.8" hidden="false" customHeight="false" outlineLevel="0" collapsed="false">
      <c r="A5" s="139" t="s">
        <v>181</v>
      </c>
      <c r="B5" s="181" t="n">
        <v>123525626</v>
      </c>
      <c r="C5" s="181" t="n">
        <v>123525626</v>
      </c>
      <c r="D5" s="182" t="n">
        <v>123525626</v>
      </c>
      <c r="E5" s="183" t="n">
        <v>123525626</v>
      </c>
      <c r="F5" s="186" t="n">
        <v>123525626</v>
      </c>
      <c r="G5" s="183" t="n">
        <v>106680926</v>
      </c>
      <c r="H5" s="182" t="n">
        <v>106680926</v>
      </c>
      <c r="I5" s="184" t="n">
        <v>106680926</v>
      </c>
      <c r="J5" s="185" t="n">
        <v>106680926</v>
      </c>
      <c r="K5" s="183" t="n">
        <v>106680926</v>
      </c>
      <c r="L5" s="182" t="n">
        <v>106680926</v>
      </c>
      <c r="M5" s="183" t="n">
        <v>106680926</v>
      </c>
      <c r="N5" s="183" t="n">
        <v>106680926</v>
      </c>
      <c r="O5" s="186" t="n">
        <v>106680926</v>
      </c>
      <c r="P5" s="186" t="n">
        <v>103329626</v>
      </c>
      <c r="Q5" s="185" t="n">
        <v>103329626</v>
      </c>
      <c r="R5" s="182" t="n">
        <v>103329626</v>
      </c>
      <c r="S5" s="183" t="n">
        <v>103329626</v>
      </c>
      <c r="T5" s="186" t="n">
        <v>103329626</v>
      </c>
      <c r="U5" s="182" t="n">
        <v>90021073</v>
      </c>
      <c r="V5" s="183" t="n">
        <v>90021073</v>
      </c>
      <c r="W5" s="183" t="n">
        <v>90021073</v>
      </c>
      <c r="X5" s="184" t="n">
        <v>90021073</v>
      </c>
      <c r="Y5" s="185" t="n">
        <v>90021073</v>
      </c>
      <c r="Z5" s="182" t="n">
        <v>90021073</v>
      </c>
      <c r="AA5" s="183" t="n">
        <v>90021073</v>
      </c>
      <c r="AB5" s="186" t="n">
        <v>90021073</v>
      </c>
      <c r="AC5" s="182" t="n">
        <v>90383333</v>
      </c>
      <c r="AD5" s="185" t="n">
        <v>90383333</v>
      </c>
      <c r="AE5" s="182" t="n">
        <v>90383333</v>
      </c>
      <c r="AF5" s="183" t="n">
        <v>90383333</v>
      </c>
      <c r="AG5" s="186" t="n">
        <v>90383333</v>
      </c>
      <c r="AH5" s="182" t="n">
        <v>96316617</v>
      </c>
      <c r="AI5" s="184" t="n">
        <v>96316617</v>
      </c>
      <c r="AJ5" s="185" t="n">
        <v>96316617</v>
      </c>
      <c r="AK5" s="182" t="n">
        <v>96316617</v>
      </c>
      <c r="AL5" s="183" t="n">
        <v>96316617</v>
      </c>
      <c r="AM5" s="186" t="n">
        <v>96316617</v>
      </c>
      <c r="AN5" s="186" t="n">
        <v>89938032</v>
      </c>
      <c r="AO5" s="185" t="n">
        <v>89938032</v>
      </c>
      <c r="AP5" s="182" t="n">
        <v>89938032</v>
      </c>
      <c r="AQ5" s="183" t="n">
        <v>89938032</v>
      </c>
    </row>
    <row r="6" customFormat="false" ht="12.8" hidden="false" customHeight="false" outlineLevel="0" collapsed="false">
      <c r="A6" s="139" t="s">
        <v>30</v>
      </c>
      <c r="B6" s="181" t="n">
        <v>268503707</v>
      </c>
      <c r="C6" s="181" t="n">
        <v>268503707</v>
      </c>
      <c r="D6" s="182" t="n">
        <v>268503707</v>
      </c>
      <c r="E6" s="183" t="n">
        <v>268503707</v>
      </c>
      <c r="F6" s="182" t="n">
        <v>268503707</v>
      </c>
      <c r="G6" s="184" t="n">
        <v>268503707</v>
      </c>
      <c r="H6" s="237" t="n">
        <v>232342292</v>
      </c>
      <c r="I6" s="184" t="n">
        <v>232342292</v>
      </c>
      <c r="J6" s="239" t="n">
        <v>232342292</v>
      </c>
      <c r="K6" s="183" t="n">
        <v>232342292</v>
      </c>
      <c r="L6" s="237" t="n">
        <v>232342292</v>
      </c>
      <c r="M6" s="183" t="n">
        <v>232342292</v>
      </c>
      <c r="N6" s="183" t="n">
        <v>232342292</v>
      </c>
      <c r="O6" s="186" t="n">
        <v>232342292</v>
      </c>
      <c r="P6" s="238" t="n">
        <v>208035447</v>
      </c>
      <c r="Q6" s="239" t="n">
        <v>208035447</v>
      </c>
      <c r="R6" s="237" t="n">
        <v>208035447</v>
      </c>
      <c r="S6" s="183" t="n">
        <v>208035447</v>
      </c>
      <c r="T6" s="186" t="n">
        <v>208035447</v>
      </c>
      <c r="U6" s="237" t="n">
        <v>197273626</v>
      </c>
      <c r="V6" s="183" t="n">
        <v>197273626</v>
      </c>
      <c r="W6" s="183" t="n">
        <v>197273626</v>
      </c>
      <c r="X6" s="184" t="n">
        <v>197273626</v>
      </c>
      <c r="Y6" s="239" t="n">
        <v>197273626</v>
      </c>
      <c r="Z6" s="237" t="n">
        <v>197273626</v>
      </c>
      <c r="AA6" s="183" t="n">
        <v>197273626</v>
      </c>
      <c r="AB6" s="186" t="n">
        <v>197273626</v>
      </c>
      <c r="AC6" s="182" t="n">
        <v>180533463</v>
      </c>
      <c r="AD6" s="185" t="n">
        <v>180533463</v>
      </c>
      <c r="AE6" s="182" t="n">
        <v>180533463</v>
      </c>
      <c r="AF6" s="183" t="n">
        <v>180533463</v>
      </c>
      <c r="AG6" s="186" t="n">
        <v>180533463</v>
      </c>
      <c r="AH6" s="237" t="n">
        <v>159077821</v>
      </c>
      <c r="AI6" s="184" t="n">
        <v>159077821</v>
      </c>
      <c r="AJ6" s="239" t="n">
        <v>159077821</v>
      </c>
      <c r="AK6" s="237" t="n">
        <v>159077821</v>
      </c>
      <c r="AL6" s="183" t="n">
        <v>159077821</v>
      </c>
      <c r="AM6" s="186" t="n">
        <v>159077821</v>
      </c>
      <c r="AN6" s="186" t="n">
        <v>147881560</v>
      </c>
      <c r="AO6" s="185" t="n">
        <v>147881560</v>
      </c>
      <c r="AP6" s="182" t="n">
        <v>147881560</v>
      </c>
      <c r="AQ6" s="183" t="n">
        <v>147881560</v>
      </c>
    </row>
    <row r="7" customFormat="false" ht="12.8" hidden="false" customHeight="false" outlineLevel="0" collapsed="false">
      <c r="A7" s="139" t="s">
        <v>182</v>
      </c>
      <c r="B7" s="181" t="n">
        <v>138904048</v>
      </c>
      <c r="C7" s="181" t="n">
        <v>138904048</v>
      </c>
      <c r="D7" s="182" t="n">
        <v>138904048</v>
      </c>
      <c r="E7" s="183" t="n">
        <v>138904048</v>
      </c>
      <c r="F7" s="186" t="n">
        <v>138904048</v>
      </c>
      <c r="G7" s="183" t="n">
        <v>108930048</v>
      </c>
      <c r="H7" s="182" t="n">
        <v>108930048</v>
      </c>
      <c r="I7" s="184" t="n">
        <v>108930048</v>
      </c>
      <c r="J7" s="185" t="n">
        <v>108930048</v>
      </c>
      <c r="K7" s="183" t="n">
        <v>108930048</v>
      </c>
      <c r="L7" s="182" t="n">
        <v>108930048</v>
      </c>
      <c r="M7" s="183" t="n">
        <v>108930048</v>
      </c>
      <c r="N7" s="183" t="n">
        <v>108930048</v>
      </c>
      <c r="O7" s="186" t="n">
        <v>108930048</v>
      </c>
      <c r="P7" s="186" t="n">
        <v>99605121</v>
      </c>
      <c r="Q7" s="185" t="n">
        <v>99605121</v>
      </c>
      <c r="R7" s="182" t="n">
        <v>99605121</v>
      </c>
      <c r="S7" s="183" t="n">
        <v>99605121</v>
      </c>
      <c r="T7" s="186" t="n">
        <v>99605121</v>
      </c>
      <c r="U7" s="182" t="n">
        <v>94490227</v>
      </c>
      <c r="V7" s="183" t="n">
        <v>94490227</v>
      </c>
      <c r="W7" s="183" t="n">
        <v>94490227</v>
      </c>
      <c r="X7" s="184" t="n">
        <v>94490227</v>
      </c>
      <c r="Y7" s="185" t="n">
        <v>94490227</v>
      </c>
      <c r="Z7" s="182" t="n">
        <v>94490227</v>
      </c>
      <c r="AA7" s="183" t="n">
        <v>94490227</v>
      </c>
      <c r="AB7" s="186" t="n">
        <v>94490227</v>
      </c>
      <c r="AC7" s="182" t="n">
        <v>98963495</v>
      </c>
      <c r="AD7" s="185" t="n">
        <v>98963495</v>
      </c>
      <c r="AE7" s="182" t="n">
        <v>98963495</v>
      </c>
      <c r="AF7" s="184" t="n">
        <v>98963495</v>
      </c>
      <c r="AG7" s="182" t="n">
        <v>102234146</v>
      </c>
      <c r="AH7" s="182" t="n">
        <v>102234146</v>
      </c>
      <c r="AI7" s="184" t="n">
        <v>102234146</v>
      </c>
      <c r="AJ7" s="185" t="n">
        <v>102234146</v>
      </c>
      <c r="AK7" s="182" t="n">
        <v>102234146</v>
      </c>
      <c r="AL7" s="183" t="n">
        <v>102234146</v>
      </c>
      <c r="AM7" s="186" t="n">
        <v>102234146</v>
      </c>
      <c r="AN7" s="186" t="n">
        <v>97561869</v>
      </c>
      <c r="AO7" s="185" t="n">
        <v>97561869</v>
      </c>
      <c r="AP7" s="182" t="n">
        <v>97561869</v>
      </c>
      <c r="AQ7" s="183" t="n">
        <v>97561869</v>
      </c>
    </row>
    <row r="8" customFormat="false" ht="12.8" hidden="false" customHeight="false" outlineLevel="0" collapsed="false">
      <c r="A8" s="139" t="s">
        <v>183</v>
      </c>
      <c r="B8" s="181" t="n">
        <v>98122373</v>
      </c>
      <c r="C8" s="181" t="n">
        <v>98122373</v>
      </c>
      <c r="D8" s="182" t="n">
        <v>98122373</v>
      </c>
      <c r="E8" s="183" t="n">
        <v>98122373</v>
      </c>
      <c r="F8" s="186" t="n">
        <v>98122373</v>
      </c>
      <c r="G8" s="183" t="n">
        <v>99942520</v>
      </c>
      <c r="H8" s="182" t="n">
        <v>99942520</v>
      </c>
      <c r="I8" s="184" t="n">
        <v>99942520</v>
      </c>
      <c r="J8" s="185" t="n">
        <v>99942520</v>
      </c>
      <c r="K8" s="183" t="n">
        <v>99942520</v>
      </c>
      <c r="L8" s="182" t="n">
        <v>99942520</v>
      </c>
      <c r="M8" s="183" t="n">
        <v>99942520</v>
      </c>
      <c r="N8" s="183" t="n">
        <v>99942520</v>
      </c>
      <c r="O8" s="186" t="n">
        <v>99942520</v>
      </c>
      <c r="P8" s="186" t="n">
        <v>79467495</v>
      </c>
      <c r="Q8" s="185" t="n">
        <v>79467495</v>
      </c>
      <c r="R8" s="182" t="n">
        <v>79467495</v>
      </c>
      <c r="S8" s="183" t="n">
        <v>79467495</v>
      </c>
      <c r="T8" s="186" t="n">
        <v>79467495</v>
      </c>
      <c r="U8" s="182" t="n">
        <v>74378536</v>
      </c>
      <c r="V8" s="183" t="n">
        <v>74378536</v>
      </c>
      <c r="W8" s="183" t="n">
        <v>74378536</v>
      </c>
      <c r="X8" s="184" t="n">
        <v>74378536</v>
      </c>
      <c r="Y8" s="185" t="n">
        <v>74378536</v>
      </c>
      <c r="Z8" s="182" t="n">
        <v>74378536</v>
      </c>
      <c r="AA8" s="183" t="n">
        <v>74378536</v>
      </c>
      <c r="AB8" s="186" t="n">
        <v>74378536</v>
      </c>
      <c r="AC8" s="238" t="n">
        <v>73563512</v>
      </c>
      <c r="AD8" s="182" t="n">
        <v>73563512</v>
      </c>
      <c r="AE8" s="182" t="n">
        <v>73563512</v>
      </c>
      <c r="AF8" s="183" t="n">
        <v>73563512</v>
      </c>
      <c r="AG8" s="186" t="n">
        <v>73563512</v>
      </c>
      <c r="AH8" s="182" t="n">
        <v>67847707</v>
      </c>
      <c r="AI8" s="184" t="n">
        <v>67847707</v>
      </c>
      <c r="AJ8" s="185" t="n">
        <v>67847707</v>
      </c>
      <c r="AK8" s="182" t="n">
        <v>67847707</v>
      </c>
      <c r="AL8" s="183" t="n">
        <v>67847707</v>
      </c>
      <c r="AM8" s="186" t="n">
        <v>67847707</v>
      </c>
      <c r="AN8" s="186" t="n">
        <v>67472227</v>
      </c>
      <c r="AO8" s="185" t="n">
        <v>67472227</v>
      </c>
      <c r="AP8" s="182" t="n">
        <v>67472227</v>
      </c>
      <c r="AQ8" s="183" t="n">
        <v>67472227</v>
      </c>
    </row>
    <row r="9" customFormat="false" ht="12.8" hidden="false" customHeight="false" outlineLevel="0" collapsed="false">
      <c r="A9" s="139" t="s">
        <v>27</v>
      </c>
      <c r="B9" s="181" t="n">
        <v>491386991</v>
      </c>
      <c r="C9" s="181" t="n">
        <v>491386991</v>
      </c>
      <c r="D9" s="237" t="n">
        <v>491386991</v>
      </c>
      <c r="E9" s="183" t="n">
        <v>491386991</v>
      </c>
      <c r="F9" s="186" t="n">
        <v>491386991</v>
      </c>
      <c r="G9" s="183" t="n">
        <v>607530536</v>
      </c>
      <c r="H9" s="237" t="n">
        <v>607530536</v>
      </c>
      <c r="I9" s="184" t="n">
        <v>607530536</v>
      </c>
      <c r="J9" s="237" t="n">
        <v>607530536</v>
      </c>
      <c r="K9" s="183" t="n">
        <v>607530536</v>
      </c>
      <c r="L9" s="237" t="n">
        <v>607530536</v>
      </c>
      <c r="M9" s="183" t="n">
        <v>607530536</v>
      </c>
      <c r="N9" s="183" t="n">
        <v>607530536</v>
      </c>
      <c r="O9" s="186" t="n">
        <v>607530536</v>
      </c>
      <c r="P9" s="238" t="n">
        <v>349540162</v>
      </c>
      <c r="Q9" s="239" t="n">
        <v>349540162</v>
      </c>
      <c r="R9" s="237" t="n">
        <v>349540162</v>
      </c>
      <c r="S9" s="183" t="n">
        <v>349540162</v>
      </c>
      <c r="T9" s="186" t="n">
        <v>349540162</v>
      </c>
      <c r="U9" s="187" t="n">
        <v>271872569</v>
      </c>
      <c r="V9" s="181" t="n">
        <v>271872569</v>
      </c>
      <c r="W9" s="181" t="n">
        <v>271872569</v>
      </c>
      <c r="X9" s="184" t="n">
        <v>271872569</v>
      </c>
      <c r="Y9" s="185" t="n">
        <v>271872569</v>
      </c>
      <c r="Z9" s="182" t="n">
        <v>271872569</v>
      </c>
      <c r="AA9" s="183" t="n">
        <v>271872569</v>
      </c>
      <c r="AB9" s="186" t="n">
        <v>271872569</v>
      </c>
      <c r="AC9" s="182" t="n">
        <v>367802699</v>
      </c>
      <c r="AD9" s="185" t="n">
        <v>367802699</v>
      </c>
      <c r="AE9" s="182" t="n">
        <v>367802699</v>
      </c>
      <c r="AF9" s="183" t="n">
        <v>367802699</v>
      </c>
      <c r="AG9" s="186" t="n">
        <v>367802699</v>
      </c>
      <c r="AH9" s="182" t="n">
        <v>355553040</v>
      </c>
      <c r="AI9" s="184" t="n">
        <v>355553040</v>
      </c>
      <c r="AJ9" s="185" t="n">
        <v>355553040</v>
      </c>
      <c r="AK9" s="182" t="n">
        <v>355553040</v>
      </c>
      <c r="AL9" s="183" t="n">
        <v>355553040</v>
      </c>
      <c r="AM9" s="186" t="n">
        <v>355553040</v>
      </c>
      <c r="AN9" s="186" t="n">
        <v>305317495</v>
      </c>
      <c r="AO9" s="185" t="n">
        <v>305317495</v>
      </c>
      <c r="AP9" s="182" t="n">
        <v>305317495</v>
      </c>
      <c r="AQ9" s="183" t="n">
        <v>305317495</v>
      </c>
    </row>
    <row r="10" customFormat="false" ht="12.8" hidden="false" customHeight="false" outlineLevel="0" collapsed="false">
      <c r="A10" s="139" t="s">
        <v>31</v>
      </c>
      <c r="B10" s="181" t="n">
        <v>800587691</v>
      </c>
      <c r="C10" s="181" t="n">
        <v>800587691</v>
      </c>
      <c r="D10" s="182" t="n">
        <v>800587691</v>
      </c>
      <c r="E10" s="183" t="n">
        <v>800587691</v>
      </c>
      <c r="F10" s="186" t="n">
        <v>800587691</v>
      </c>
      <c r="G10" s="183" t="n">
        <v>975031707</v>
      </c>
      <c r="H10" s="182" t="n">
        <v>975031707</v>
      </c>
      <c r="I10" s="184" t="n">
        <v>975031707</v>
      </c>
      <c r="J10" s="185" t="n">
        <v>975031707</v>
      </c>
      <c r="K10" s="183" t="n">
        <v>975031707</v>
      </c>
      <c r="L10" s="182" t="n">
        <v>975031707</v>
      </c>
      <c r="M10" s="183" t="n">
        <v>975031707</v>
      </c>
      <c r="N10" s="183" t="n">
        <v>975031707</v>
      </c>
      <c r="O10" s="186" t="n">
        <v>975031707</v>
      </c>
      <c r="P10" s="238" t="n">
        <v>424975430</v>
      </c>
      <c r="Q10" s="239" t="n">
        <v>424975430</v>
      </c>
      <c r="R10" s="237" t="n">
        <v>424975430</v>
      </c>
      <c r="S10" s="183" t="n">
        <v>424975430</v>
      </c>
      <c r="T10" s="186" t="n">
        <v>424975430</v>
      </c>
      <c r="U10" s="182" t="n">
        <v>249814113</v>
      </c>
      <c r="V10" s="183" t="n">
        <v>249814113</v>
      </c>
      <c r="W10" s="183" t="n">
        <v>249814113</v>
      </c>
      <c r="X10" s="184" t="n">
        <v>249814113</v>
      </c>
      <c r="Y10" s="185" t="n">
        <v>249814113</v>
      </c>
      <c r="Z10" s="182" t="n">
        <v>249814113</v>
      </c>
      <c r="AA10" s="183" t="n">
        <v>249814113</v>
      </c>
      <c r="AB10" s="186" t="n">
        <v>249814113</v>
      </c>
      <c r="AC10" s="182" t="n">
        <v>449980910</v>
      </c>
      <c r="AD10" s="185" t="n">
        <v>449980910</v>
      </c>
      <c r="AE10" s="182" t="n">
        <v>449980910</v>
      </c>
      <c r="AF10" s="183" t="n">
        <v>449980910</v>
      </c>
      <c r="AG10" s="186" t="n">
        <v>449980910</v>
      </c>
      <c r="AH10" s="182" t="n">
        <v>447368601</v>
      </c>
      <c r="AI10" s="184" t="n">
        <v>447368601</v>
      </c>
      <c r="AJ10" s="185" t="n">
        <v>447368601</v>
      </c>
      <c r="AK10" s="182" t="n">
        <v>447368601</v>
      </c>
      <c r="AL10" s="183" t="n">
        <v>447368601</v>
      </c>
      <c r="AM10" s="186" t="n">
        <v>447368601</v>
      </c>
      <c r="AN10" s="186" t="n">
        <v>375608162</v>
      </c>
      <c r="AO10" s="185" t="n">
        <v>375608162</v>
      </c>
      <c r="AP10" s="182" t="n">
        <v>375608162</v>
      </c>
      <c r="AQ10" s="183" t="n">
        <v>375608162</v>
      </c>
    </row>
    <row r="11" customFormat="false" ht="12.8" hidden="false" customHeight="false" outlineLevel="0" collapsed="false">
      <c r="A11" s="139" t="s">
        <v>184</v>
      </c>
      <c r="B11" s="181" t="n">
        <v>82226048</v>
      </c>
      <c r="C11" s="181" t="n">
        <v>82226048</v>
      </c>
      <c r="D11" s="182" t="n">
        <v>82226048</v>
      </c>
      <c r="E11" s="183" t="n">
        <v>82226048</v>
      </c>
      <c r="F11" s="186" t="n">
        <v>82226048</v>
      </c>
      <c r="G11" s="183" t="n">
        <v>75366406</v>
      </c>
      <c r="H11" s="182" t="n">
        <v>75366406</v>
      </c>
      <c r="I11" s="184" t="n">
        <v>75366406</v>
      </c>
      <c r="J11" s="185" t="n">
        <v>75366406</v>
      </c>
      <c r="K11" s="183" t="n">
        <v>75366406</v>
      </c>
      <c r="L11" s="182" t="n">
        <v>75366406</v>
      </c>
      <c r="M11" s="183" t="n">
        <v>75366406</v>
      </c>
      <c r="N11" s="183" t="n">
        <v>75366406</v>
      </c>
      <c r="O11" s="186" t="n">
        <v>75366406</v>
      </c>
      <c r="P11" s="186" t="n">
        <v>74894065</v>
      </c>
      <c r="Q11" s="185" t="n">
        <v>74894065</v>
      </c>
      <c r="R11" s="182" t="n">
        <v>74894065</v>
      </c>
      <c r="S11" s="183" t="n">
        <v>74894065</v>
      </c>
      <c r="T11" s="186" t="n">
        <v>74894065</v>
      </c>
      <c r="U11" s="182" t="n">
        <v>65131951</v>
      </c>
      <c r="V11" s="183" t="n">
        <v>65131951</v>
      </c>
      <c r="W11" s="183" t="n">
        <v>65131951</v>
      </c>
      <c r="X11" s="184" t="n">
        <v>65131951</v>
      </c>
      <c r="Y11" s="185" t="n">
        <v>65131951</v>
      </c>
      <c r="Z11" s="182" t="n">
        <v>65131951</v>
      </c>
      <c r="AA11" s="183" t="n">
        <v>65131951</v>
      </c>
      <c r="AB11" s="186" t="n">
        <v>65131951</v>
      </c>
      <c r="AC11" s="182" t="n">
        <v>78436878</v>
      </c>
      <c r="AD11" s="185" t="n">
        <v>78436878</v>
      </c>
      <c r="AE11" s="182" t="n">
        <v>78436878</v>
      </c>
      <c r="AF11" s="183" t="n">
        <v>78436878</v>
      </c>
      <c r="AG11" s="186" t="n">
        <v>78436878</v>
      </c>
      <c r="AH11" s="182" t="n">
        <v>68139674</v>
      </c>
      <c r="AI11" s="184" t="n">
        <v>68139674</v>
      </c>
      <c r="AJ11" s="185" t="n">
        <v>68139674</v>
      </c>
      <c r="AK11" s="182" t="n">
        <v>68139674</v>
      </c>
      <c r="AL11" s="183" t="n">
        <v>68139674</v>
      </c>
      <c r="AM11" s="186" t="n">
        <v>68139674</v>
      </c>
      <c r="AN11" s="186" t="n">
        <v>87959853</v>
      </c>
      <c r="AO11" s="185" t="n">
        <v>87959853</v>
      </c>
      <c r="AP11" s="182" t="n">
        <v>87959853</v>
      </c>
      <c r="AQ11" s="183" t="n">
        <v>87959853</v>
      </c>
    </row>
    <row r="12" customFormat="false" ht="12.8" hidden="false" customHeight="false" outlineLevel="0" collapsed="false">
      <c r="A12" s="139" t="s">
        <v>185</v>
      </c>
      <c r="B12" s="181" t="n">
        <v>35097382</v>
      </c>
      <c r="C12" s="181" t="n">
        <v>35097382</v>
      </c>
      <c r="D12" s="182" t="n">
        <v>35097382</v>
      </c>
      <c r="E12" s="183" t="n">
        <v>35097382</v>
      </c>
      <c r="F12" s="186" t="n">
        <v>35097382</v>
      </c>
      <c r="G12" s="183" t="n">
        <v>31050975</v>
      </c>
      <c r="H12" s="182" t="n">
        <v>31050975</v>
      </c>
      <c r="I12" s="184" t="n">
        <v>31050975</v>
      </c>
      <c r="J12" s="185" t="n">
        <v>31050975</v>
      </c>
      <c r="K12" s="183" t="n">
        <v>31050975</v>
      </c>
      <c r="L12" s="182" t="n">
        <v>31050975</v>
      </c>
      <c r="M12" s="183" t="n">
        <v>31050975</v>
      </c>
      <c r="N12" s="183" t="n">
        <v>31050975</v>
      </c>
      <c r="O12" s="186" t="n">
        <v>31050975</v>
      </c>
      <c r="P12" s="186" t="n">
        <v>27885739</v>
      </c>
      <c r="Q12" s="185" t="n">
        <v>27885739</v>
      </c>
      <c r="R12" s="182" t="n">
        <v>27885739</v>
      </c>
      <c r="S12" s="183" t="n">
        <v>27885739</v>
      </c>
      <c r="T12" s="186" t="n">
        <v>27885739</v>
      </c>
      <c r="U12" s="182" t="n">
        <v>26335268</v>
      </c>
      <c r="V12" s="183" t="n">
        <v>26335268</v>
      </c>
      <c r="W12" s="183" t="n">
        <v>26335268</v>
      </c>
      <c r="X12" s="184" t="n">
        <v>26335268</v>
      </c>
      <c r="Y12" s="185" t="n">
        <v>26335268</v>
      </c>
      <c r="Z12" s="182" t="n">
        <v>26335268</v>
      </c>
      <c r="AA12" s="183" t="n">
        <v>26335268</v>
      </c>
      <c r="AB12" s="186" t="n">
        <v>26335268</v>
      </c>
      <c r="AC12" s="182" t="n">
        <v>24557056</v>
      </c>
      <c r="AD12" s="185" t="n">
        <v>24557056</v>
      </c>
      <c r="AE12" s="182" t="n">
        <v>24557056</v>
      </c>
      <c r="AF12" s="183" t="n">
        <v>24557056</v>
      </c>
      <c r="AG12" s="186" t="n">
        <v>24557056</v>
      </c>
      <c r="AH12" s="182" t="n">
        <v>21585154</v>
      </c>
      <c r="AI12" s="184" t="n">
        <v>21585154</v>
      </c>
      <c r="AJ12" s="185" t="n">
        <v>21585154</v>
      </c>
      <c r="AK12" s="182" t="n">
        <v>21585154</v>
      </c>
      <c r="AL12" s="183" t="n">
        <v>21585154</v>
      </c>
      <c r="AM12" s="186" t="n">
        <v>21585154</v>
      </c>
      <c r="AN12" s="186" t="n">
        <v>18670520</v>
      </c>
      <c r="AO12" s="185" t="n">
        <v>18670520</v>
      </c>
      <c r="AP12" s="182" t="n">
        <v>18670520</v>
      </c>
      <c r="AQ12" s="183" t="n">
        <v>18670520</v>
      </c>
    </row>
    <row r="13" customFormat="false" ht="12.8" hidden="false" customHeight="false" outlineLevel="0" collapsed="false">
      <c r="A13" s="139" t="s">
        <v>29</v>
      </c>
      <c r="B13" s="181" t="n">
        <v>25810910</v>
      </c>
      <c r="C13" s="181" t="n">
        <v>25810910</v>
      </c>
      <c r="D13" s="182" t="n">
        <v>25810910</v>
      </c>
      <c r="E13" s="183" t="n">
        <v>25810910</v>
      </c>
      <c r="F13" s="186" t="n">
        <v>25810910</v>
      </c>
      <c r="G13" s="183" t="n">
        <v>20258016</v>
      </c>
      <c r="H13" s="182" t="n">
        <v>20258016</v>
      </c>
      <c r="I13" s="184" t="n">
        <v>20258016</v>
      </c>
      <c r="J13" s="185" t="n">
        <v>20258016</v>
      </c>
      <c r="K13" s="183" t="n">
        <v>20258016</v>
      </c>
      <c r="L13" s="182" t="n">
        <v>20258016</v>
      </c>
      <c r="M13" s="183" t="n">
        <v>20258016</v>
      </c>
      <c r="N13" s="183" t="n">
        <v>20258016</v>
      </c>
      <c r="O13" s="186" t="n">
        <v>20258016</v>
      </c>
      <c r="P13" s="186" t="n">
        <v>19764569</v>
      </c>
      <c r="Q13" s="185" t="n">
        <v>19764569</v>
      </c>
      <c r="R13" s="182" t="n">
        <v>19764569</v>
      </c>
      <c r="S13" s="183" t="n">
        <v>19764569</v>
      </c>
      <c r="T13" s="186" t="n">
        <v>19764569</v>
      </c>
      <c r="U13" s="182" t="n">
        <v>20345772</v>
      </c>
      <c r="V13" s="183" t="n">
        <v>20345772</v>
      </c>
      <c r="W13" s="183" t="n">
        <v>20345772</v>
      </c>
      <c r="X13" s="184" t="n">
        <v>20345772</v>
      </c>
      <c r="Y13" s="185" t="n">
        <v>20345772</v>
      </c>
      <c r="Z13" s="182" t="n">
        <v>20345772</v>
      </c>
      <c r="AA13" s="183" t="n">
        <v>20345772</v>
      </c>
      <c r="AB13" s="186" t="n">
        <v>20345772</v>
      </c>
      <c r="AC13" s="182" t="n">
        <v>17057430</v>
      </c>
      <c r="AD13" s="185" t="n">
        <v>17057430</v>
      </c>
      <c r="AE13" s="182" t="n">
        <v>17057430</v>
      </c>
      <c r="AF13" s="183" t="n">
        <v>17057430</v>
      </c>
      <c r="AG13" s="186" t="n">
        <v>17057430</v>
      </c>
      <c r="AH13" s="237" t="n">
        <v>15849414</v>
      </c>
      <c r="AI13" s="184" t="n">
        <v>15849414</v>
      </c>
      <c r="AJ13" s="239" t="n">
        <v>15849414</v>
      </c>
      <c r="AK13" s="237" t="n">
        <v>15849414</v>
      </c>
      <c r="AL13" s="183" t="n">
        <v>15849414</v>
      </c>
      <c r="AM13" s="186" t="n">
        <v>15849414</v>
      </c>
      <c r="AN13" s="186" t="n">
        <v>15532113</v>
      </c>
      <c r="AO13" s="185" t="n">
        <v>15532113</v>
      </c>
      <c r="AP13" s="182" t="n">
        <v>15532113</v>
      </c>
      <c r="AQ13" s="183" t="n">
        <v>15532113</v>
      </c>
    </row>
    <row r="14" customFormat="false" ht="12.8" hidden="false" customHeight="false" outlineLevel="0" collapsed="false">
      <c r="A14" s="139" t="s">
        <v>186</v>
      </c>
      <c r="B14" s="181" t="n">
        <v>5567154</v>
      </c>
      <c r="C14" s="181" t="n">
        <v>5567154</v>
      </c>
      <c r="D14" s="182" t="n">
        <v>5567154</v>
      </c>
      <c r="E14" s="183" t="n">
        <v>5567154</v>
      </c>
      <c r="F14" s="182" t="n">
        <v>5567154</v>
      </c>
      <c r="G14" s="184" t="n">
        <v>5567154</v>
      </c>
      <c r="H14" s="182" t="n">
        <v>4201918</v>
      </c>
      <c r="I14" s="184" t="n">
        <v>4201918</v>
      </c>
      <c r="J14" s="185" t="n">
        <v>4201918</v>
      </c>
      <c r="K14" s="183" t="n">
        <v>4201918</v>
      </c>
      <c r="L14" s="182" t="n">
        <v>4201918</v>
      </c>
      <c r="M14" s="183" t="n">
        <v>4201918</v>
      </c>
      <c r="N14" s="183" t="n">
        <v>4201918</v>
      </c>
      <c r="O14" s="186" t="n">
        <v>4201918</v>
      </c>
      <c r="P14" s="186" t="n">
        <v>2008422</v>
      </c>
      <c r="Q14" s="185" t="n">
        <v>2008422</v>
      </c>
      <c r="R14" s="182" t="n">
        <v>2008422</v>
      </c>
      <c r="S14" s="183" t="n">
        <v>2008422</v>
      </c>
      <c r="T14" s="186" t="n">
        <v>2008422</v>
      </c>
      <c r="U14" s="182" t="n">
        <v>1071626</v>
      </c>
      <c r="V14" s="183" t="n">
        <v>1071626</v>
      </c>
      <c r="W14" s="183" t="n">
        <v>1071626</v>
      </c>
      <c r="X14" s="184" t="n">
        <v>1071626</v>
      </c>
      <c r="Y14" s="185" t="n">
        <v>1071626</v>
      </c>
      <c r="Z14" s="182" t="n">
        <v>1071626</v>
      </c>
      <c r="AA14" s="183" t="n">
        <v>1071626</v>
      </c>
      <c r="AB14" s="186" t="n">
        <v>1071626</v>
      </c>
      <c r="AC14" s="182" t="n">
        <v>5116227</v>
      </c>
      <c r="AD14" s="185" t="n">
        <v>5116227</v>
      </c>
      <c r="AE14" s="182" t="n">
        <v>5116227</v>
      </c>
      <c r="AF14" s="183" t="n">
        <v>5116227</v>
      </c>
      <c r="AG14" s="186" t="n">
        <v>5116227</v>
      </c>
      <c r="AH14" s="182" t="n">
        <v>5305593</v>
      </c>
      <c r="AI14" s="184" t="n">
        <v>5305593</v>
      </c>
      <c r="AJ14" s="185" t="n">
        <v>5305593</v>
      </c>
      <c r="AK14" s="182" t="n">
        <v>5305593</v>
      </c>
      <c r="AL14" s="183" t="n">
        <v>5305593</v>
      </c>
      <c r="AM14" s="186" t="n">
        <v>5305593</v>
      </c>
      <c r="AN14" s="186" t="n">
        <v>5047739</v>
      </c>
      <c r="AO14" s="185" t="n">
        <v>5047739</v>
      </c>
      <c r="AP14" s="182" t="n">
        <v>5047739</v>
      </c>
      <c r="AQ14" s="183" t="n">
        <v>5047739</v>
      </c>
    </row>
    <row r="15" customFormat="false" ht="12.8" hidden="false" customHeight="false" outlineLevel="0" collapsed="false">
      <c r="A15" s="139" t="s">
        <v>187</v>
      </c>
      <c r="B15" s="181" t="n">
        <v>134546195</v>
      </c>
      <c r="C15" s="181" t="n">
        <v>134546195</v>
      </c>
      <c r="D15" s="182" t="n">
        <v>134546195</v>
      </c>
      <c r="E15" s="183" t="n">
        <v>134546195</v>
      </c>
      <c r="F15" s="186" t="n">
        <v>134546195</v>
      </c>
      <c r="G15" s="183" t="n">
        <v>180587089</v>
      </c>
      <c r="H15" s="182" t="n">
        <v>180587089</v>
      </c>
      <c r="I15" s="184" t="n">
        <v>180587089</v>
      </c>
      <c r="J15" s="185" t="n">
        <v>180587089</v>
      </c>
      <c r="K15" s="183" t="n">
        <v>180587089</v>
      </c>
      <c r="L15" s="182" t="n">
        <v>180587089</v>
      </c>
      <c r="M15" s="183" t="n">
        <v>180587089</v>
      </c>
      <c r="N15" s="183" t="n">
        <v>180587089</v>
      </c>
      <c r="O15" s="186" t="n">
        <v>180587089</v>
      </c>
      <c r="P15" s="186" t="n">
        <v>114949138</v>
      </c>
      <c r="Q15" s="185" t="n">
        <v>114949138</v>
      </c>
      <c r="R15" s="182" t="n">
        <v>114949138</v>
      </c>
      <c r="S15" s="183" t="n">
        <v>114949138</v>
      </c>
      <c r="T15" s="186" t="n">
        <v>114949138</v>
      </c>
      <c r="U15" s="182" t="n">
        <v>64258910</v>
      </c>
      <c r="V15" s="183" t="n">
        <v>64258910</v>
      </c>
      <c r="W15" s="183" t="n">
        <v>64258910</v>
      </c>
      <c r="X15" s="184" t="n">
        <v>64258910</v>
      </c>
      <c r="Y15" s="185" t="n">
        <v>64258910</v>
      </c>
      <c r="Z15" s="182" t="n">
        <v>64258910</v>
      </c>
      <c r="AA15" s="183" t="n">
        <v>64258910</v>
      </c>
      <c r="AB15" s="186" t="n">
        <v>64258910</v>
      </c>
      <c r="AC15" s="182" t="n">
        <v>85296162</v>
      </c>
      <c r="AD15" s="185" t="n">
        <v>85296162</v>
      </c>
      <c r="AE15" s="182" t="n">
        <v>85296162</v>
      </c>
      <c r="AF15" s="184" t="n">
        <v>85296162</v>
      </c>
      <c r="AG15" s="182" t="n">
        <v>107072536</v>
      </c>
      <c r="AH15" s="182" t="n">
        <v>107072536</v>
      </c>
      <c r="AI15" s="184" t="n">
        <v>107072536</v>
      </c>
      <c r="AJ15" s="185" t="n">
        <v>107072536</v>
      </c>
      <c r="AK15" s="187" t="n">
        <v>107072536</v>
      </c>
      <c r="AL15" s="184" t="n">
        <v>107072536</v>
      </c>
      <c r="AM15" s="182" t="n">
        <v>92915300</v>
      </c>
      <c r="AN15" s="186" t="n">
        <v>92915300</v>
      </c>
      <c r="AO15" s="185" t="n">
        <v>92915300</v>
      </c>
      <c r="AP15" s="182" t="n">
        <v>92915300</v>
      </c>
      <c r="AQ15" s="183" t="n">
        <v>92915300</v>
      </c>
    </row>
    <row r="16" customFormat="false" ht="12.8" hidden="false" customHeight="false" outlineLevel="0" collapsed="false">
      <c r="A16" s="139" t="s">
        <v>188</v>
      </c>
      <c r="B16" s="181" t="n">
        <v>40013349</v>
      </c>
      <c r="C16" s="181" t="n">
        <v>40013349</v>
      </c>
      <c r="D16" s="182" t="n">
        <v>40013349</v>
      </c>
      <c r="E16" s="183" t="n">
        <v>40013349</v>
      </c>
      <c r="F16" s="186" t="n">
        <v>40013349</v>
      </c>
      <c r="G16" s="183" t="n">
        <v>36242471</v>
      </c>
      <c r="H16" s="182" t="n">
        <v>36242471</v>
      </c>
      <c r="I16" s="184" t="n">
        <v>36242471</v>
      </c>
      <c r="J16" s="185" t="n">
        <v>36242471</v>
      </c>
      <c r="K16" s="183" t="n">
        <v>36242471</v>
      </c>
      <c r="L16" s="182" t="n">
        <v>36242471</v>
      </c>
      <c r="M16" s="183" t="n">
        <v>36242471</v>
      </c>
      <c r="N16" s="183" t="n">
        <v>36242471</v>
      </c>
      <c r="O16" s="186" t="n">
        <v>36242471</v>
      </c>
      <c r="P16" s="186" t="n">
        <v>31190243</v>
      </c>
      <c r="Q16" s="185" t="n">
        <v>31190243</v>
      </c>
      <c r="R16" s="182" t="n">
        <v>31190243</v>
      </c>
      <c r="S16" s="183" t="n">
        <v>31190243</v>
      </c>
      <c r="T16" s="186" t="n">
        <v>31190243</v>
      </c>
      <c r="U16" s="182" t="n">
        <v>23888113</v>
      </c>
      <c r="V16" s="183" t="n">
        <v>23888113</v>
      </c>
      <c r="W16" s="183" t="n">
        <v>23888113</v>
      </c>
      <c r="X16" s="184" t="n">
        <v>23888113</v>
      </c>
      <c r="Y16" s="185" t="n">
        <v>23888113</v>
      </c>
      <c r="Z16" s="182" t="n">
        <v>23888113</v>
      </c>
      <c r="AA16" s="183" t="n">
        <v>23888113</v>
      </c>
      <c r="AB16" s="186" t="n">
        <v>23888113</v>
      </c>
      <c r="AC16" s="182" t="n">
        <v>26606585</v>
      </c>
      <c r="AD16" s="185" t="n">
        <v>26606585</v>
      </c>
      <c r="AE16" s="182" t="n">
        <v>26606585</v>
      </c>
      <c r="AF16" s="184" t="n">
        <v>26606585</v>
      </c>
      <c r="AG16" s="182" t="n">
        <v>24870926</v>
      </c>
      <c r="AH16" s="182" t="n">
        <v>24870926</v>
      </c>
      <c r="AI16" s="184" t="n">
        <v>24870926</v>
      </c>
      <c r="AJ16" s="185" t="n">
        <v>24870926</v>
      </c>
      <c r="AK16" s="187" t="n">
        <v>24870926</v>
      </c>
      <c r="AL16" s="184" t="n">
        <v>24870926</v>
      </c>
      <c r="AM16" s="182" t="n">
        <v>23709983</v>
      </c>
      <c r="AN16" s="186" t="n">
        <v>23709983</v>
      </c>
      <c r="AO16" s="185" t="n">
        <v>23709983</v>
      </c>
      <c r="AP16" s="182" t="n">
        <v>23709983</v>
      </c>
      <c r="AQ16" s="183" t="n">
        <v>23709983</v>
      </c>
    </row>
    <row r="17" customFormat="false" ht="12.8" hidden="false" customHeight="false" outlineLevel="0" collapsed="false">
      <c r="A17" s="139" t="s">
        <v>189</v>
      </c>
      <c r="B17" s="181" t="n">
        <v>11889008</v>
      </c>
      <c r="C17" s="181" t="n">
        <v>11889008</v>
      </c>
      <c r="D17" s="182" t="n">
        <v>11889008</v>
      </c>
      <c r="E17" s="183" t="n">
        <v>11889008</v>
      </c>
      <c r="F17" s="182" t="n">
        <v>11889008</v>
      </c>
      <c r="G17" s="183" t="n">
        <v>11889008</v>
      </c>
      <c r="H17" s="186" t="n">
        <v>11889008</v>
      </c>
      <c r="I17" s="184" t="n">
        <v>10000552</v>
      </c>
      <c r="J17" s="185" t="n">
        <v>10000552</v>
      </c>
      <c r="K17" s="183" t="n">
        <v>10000552</v>
      </c>
      <c r="L17" s="182" t="n">
        <v>10000552</v>
      </c>
      <c r="M17" s="183" t="n">
        <v>10000552</v>
      </c>
      <c r="N17" s="183" t="n">
        <v>10000552</v>
      </c>
      <c r="O17" s="182" t="n">
        <v>10000552</v>
      </c>
      <c r="P17" s="186" t="n">
        <v>10000552</v>
      </c>
      <c r="Q17" s="185" t="n">
        <v>9447495</v>
      </c>
      <c r="R17" s="182" t="n">
        <v>9447495</v>
      </c>
      <c r="S17" s="183" t="n">
        <v>9447495</v>
      </c>
      <c r="T17" s="182" t="n">
        <v>9447495</v>
      </c>
      <c r="U17" s="186" t="n">
        <v>9447495</v>
      </c>
      <c r="V17" s="183" t="n">
        <v>8858504</v>
      </c>
      <c r="W17" s="183" t="n">
        <v>8858504</v>
      </c>
      <c r="X17" s="184" t="n">
        <v>8858504</v>
      </c>
      <c r="Y17" s="185" t="n">
        <v>8858504</v>
      </c>
      <c r="Z17" s="182" t="n">
        <v>8858504</v>
      </c>
      <c r="AA17" s="183" t="n">
        <v>8858504</v>
      </c>
      <c r="AB17" s="182" t="n">
        <v>8858504</v>
      </c>
      <c r="AC17" s="182" t="n">
        <v>8858504</v>
      </c>
      <c r="AD17" s="185" t="n">
        <v>9784959</v>
      </c>
      <c r="AE17" s="182" t="n">
        <v>9784959</v>
      </c>
      <c r="AF17" s="183" t="n">
        <v>9784959</v>
      </c>
      <c r="AG17" s="182" t="n">
        <v>9784959</v>
      </c>
      <c r="AH17" s="182" t="n">
        <v>9784959</v>
      </c>
      <c r="AI17" s="184" t="n">
        <v>9784959</v>
      </c>
      <c r="AJ17" s="185" t="n">
        <v>10179170</v>
      </c>
      <c r="AK17" s="182" t="n">
        <v>10179170</v>
      </c>
      <c r="AL17" s="183" t="n">
        <v>10179170</v>
      </c>
      <c r="AM17" s="182" t="n">
        <v>10179170</v>
      </c>
      <c r="AN17" s="186" t="n">
        <v>10179170</v>
      </c>
      <c r="AO17" s="185" t="n">
        <v>9693772</v>
      </c>
      <c r="AP17" s="182" t="n">
        <v>9693772</v>
      </c>
      <c r="AQ17" s="183" t="n">
        <v>9693772</v>
      </c>
    </row>
    <row r="18" customFormat="false" ht="12.8" hidden="false" customHeight="false" outlineLevel="0" collapsed="false">
      <c r="A18" s="139" t="s">
        <v>190</v>
      </c>
      <c r="B18" s="181" t="n">
        <v>34606731</v>
      </c>
      <c r="C18" s="181" t="n">
        <v>34606731</v>
      </c>
      <c r="D18" s="182" t="n">
        <v>34606731</v>
      </c>
      <c r="E18" s="183" t="n">
        <v>34606731</v>
      </c>
      <c r="F18" s="186" t="n">
        <v>34606731</v>
      </c>
      <c r="G18" s="183" t="n">
        <v>30440975</v>
      </c>
      <c r="H18" s="182" t="n">
        <v>30440975</v>
      </c>
      <c r="I18" s="184" t="n">
        <v>30440975</v>
      </c>
      <c r="J18" s="185" t="n">
        <v>30440975</v>
      </c>
      <c r="K18" s="183" t="n">
        <v>30440975</v>
      </c>
      <c r="L18" s="182" t="n">
        <v>30440975</v>
      </c>
      <c r="M18" s="183" t="n">
        <v>30440975</v>
      </c>
      <c r="N18" s="183" t="n">
        <v>30440975</v>
      </c>
      <c r="O18" s="186" t="n">
        <v>30440975</v>
      </c>
      <c r="P18" s="186" t="n">
        <v>27730130</v>
      </c>
      <c r="Q18" s="185" t="n">
        <v>27730130</v>
      </c>
      <c r="R18" s="182" t="n">
        <v>27730130</v>
      </c>
      <c r="S18" s="183" t="n">
        <v>27730130</v>
      </c>
      <c r="T18" s="186" t="n">
        <v>27730130</v>
      </c>
      <c r="U18" s="182" t="n">
        <v>26181203</v>
      </c>
      <c r="V18" s="183" t="n">
        <v>26181203</v>
      </c>
      <c r="W18" s="183" t="n">
        <v>26181203</v>
      </c>
      <c r="X18" s="184" t="n">
        <v>26181203</v>
      </c>
      <c r="Y18" s="185" t="n">
        <v>26181203</v>
      </c>
      <c r="Z18" s="182" t="n">
        <v>26181203</v>
      </c>
      <c r="AA18" s="183" t="n">
        <v>26181203</v>
      </c>
      <c r="AB18" s="186" t="n">
        <v>26181203</v>
      </c>
      <c r="AC18" s="182" t="n">
        <v>30694471</v>
      </c>
      <c r="AD18" s="185" t="n">
        <v>30694471</v>
      </c>
      <c r="AE18" s="182" t="n">
        <v>30694471</v>
      </c>
      <c r="AF18" s="40" t="n">
        <v>30694471</v>
      </c>
      <c r="AG18" s="186" t="n">
        <v>30694471</v>
      </c>
      <c r="AH18" s="182" t="n">
        <v>29959430</v>
      </c>
      <c r="AI18" s="184" t="n">
        <v>29959430</v>
      </c>
      <c r="AJ18" s="185" t="n">
        <v>29959430</v>
      </c>
      <c r="AK18" s="187" t="n">
        <v>29959430</v>
      </c>
      <c r="AL18" s="181" t="n">
        <v>29959430</v>
      </c>
      <c r="AM18" s="186" t="n">
        <v>29959430</v>
      </c>
      <c r="AN18" s="186" t="n">
        <v>28830991</v>
      </c>
      <c r="AO18" s="185" t="n">
        <v>28830991</v>
      </c>
      <c r="AP18" s="182" t="n">
        <v>28830991</v>
      </c>
      <c r="AQ18" s="183" t="n">
        <v>28830991</v>
      </c>
    </row>
    <row r="19" customFormat="false" ht="12.8" hidden="false" customHeight="false" outlineLevel="0" collapsed="false">
      <c r="A19" s="139" t="s">
        <v>26</v>
      </c>
      <c r="B19" s="181" t="n">
        <v>13632780</v>
      </c>
      <c r="C19" s="181" t="n">
        <v>13632780</v>
      </c>
      <c r="D19" s="182" t="n">
        <v>13632780</v>
      </c>
      <c r="E19" s="183" t="n">
        <v>13632780</v>
      </c>
      <c r="F19" s="186" t="n">
        <v>13632780</v>
      </c>
      <c r="G19" s="183" t="n">
        <v>11702390</v>
      </c>
      <c r="H19" s="182" t="n">
        <v>11702390</v>
      </c>
      <c r="I19" s="184" t="n">
        <v>11702390</v>
      </c>
      <c r="J19" s="185" t="n">
        <v>11702390</v>
      </c>
      <c r="K19" s="183" t="n">
        <v>11702390</v>
      </c>
      <c r="L19" s="182" t="n">
        <v>11702390</v>
      </c>
      <c r="M19" s="183" t="n">
        <v>11702390</v>
      </c>
      <c r="N19" s="183" t="n">
        <v>11702390</v>
      </c>
      <c r="O19" s="186" t="n">
        <v>11702390</v>
      </c>
      <c r="P19" s="186" t="n">
        <v>10927902</v>
      </c>
      <c r="Q19" s="185" t="n">
        <v>10927902</v>
      </c>
      <c r="R19" s="182" t="n">
        <v>10927902</v>
      </c>
      <c r="S19" s="183" t="n">
        <v>10927902</v>
      </c>
      <c r="T19" s="186" t="n">
        <v>10927902</v>
      </c>
      <c r="U19" s="182" t="n">
        <v>10550016</v>
      </c>
      <c r="V19" s="183" t="n">
        <v>10550016</v>
      </c>
      <c r="W19" s="183" t="n">
        <v>10550016</v>
      </c>
      <c r="X19" s="184" t="n">
        <v>10550016</v>
      </c>
      <c r="Y19" s="185" t="n">
        <v>10550016</v>
      </c>
      <c r="Z19" s="182" t="n">
        <v>10550016</v>
      </c>
      <c r="AA19" s="183" t="n">
        <v>10550016</v>
      </c>
      <c r="AB19" s="186" t="n">
        <v>10550016</v>
      </c>
      <c r="AC19" s="182" t="n">
        <v>10916682</v>
      </c>
      <c r="AD19" s="185" t="n">
        <v>10916682</v>
      </c>
      <c r="AE19" s="182" t="n">
        <v>10916682</v>
      </c>
      <c r="AF19" s="183" t="n">
        <v>10916682</v>
      </c>
      <c r="AG19" s="186" t="n">
        <v>10916682</v>
      </c>
      <c r="AH19" s="182" t="n">
        <v>11725967</v>
      </c>
      <c r="AI19" s="184" t="n">
        <v>11725967</v>
      </c>
      <c r="AJ19" s="185" t="n">
        <v>11725967</v>
      </c>
      <c r="AK19" s="182" t="n">
        <v>11725967</v>
      </c>
      <c r="AL19" s="183" t="n">
        <v>11725967</v>
      </c>
      <c r="AM19" s="186" t="n">
        <v>11725967</v>
      </c>
      <c r="AN19" s="186" t="n">
        <v>10955739</v>
      </c>
      <c r="AO19" s="185" t="n">
        <v>10955739</v>
      </c>
      <c r="AP19" s="182" t="n">
        <v>10955739</v>
      </c>
      <c r="AQ19" s="183" t="n">
        <v>10955739</v>
      </c>
    </row>
    <row r="20" customFormat="false" ht="12.8" hidden="false" customHeight="false" outlineLevel="0" collapsed="false">
      <c r="A20" s="139" t="s">
        <v>191</v>
      </c>
      <c r="B20" s="181" t="n">
        <v>1273414</v>
      </c>
      <c r="C20" s="181" t="n">
        <v>1273414</v>
      </c>
      <c r="D20" s="182" t="n">
        <v>1273414</v>
      </c>
      <c r="E20" s="183" t="n">
        <v>1273414</v>
      </c>
      <c r="F20" s="182" t="n">
        <v>1273414</v>
      </c>
      <c r="G20" s="183" t="n">
        <v>1273414</v>
      </c>
      <c r="H20" s="182" t="n">
        <v>1273414</v>
      </c>
      <c r="I20" s="184" t="n">
        <v>1273414</v>
      </c>
      <c r="J20" s="185" t="n">
        <v>525495</v>
      </c>
      <c r="K20" s="183" t="n">
        <v>525495</v>
      </c>
      <c r="L20" s="182" t="n">
        <v>525495</v>
      </c>
      <c r="M20" s="183" t="n">
        <v>525495</v>
      </c>
      <c r="N20" s="183" t="n">
        <v>525495</v>
      </c>
      <c r="O20" s="182" t="n">
        <v>525495</v>
      </c>
      <c r="P20" s="186" t="n">
        <v>525495</v>
      </c>
      <c r="Q20" s="185" t="n">
        <v>430113</v>
      </c>
      <c r="R20" s="182" t="n">
        <v>430113</v>
      </c>
      <c r="S20" s="183" t="n">
        <v>430113</v>
      </c>
      <c r="T20" s="182" t="n">
        <v>430113</v>
      </c>
      <c r="U20" s="182" t="n">
        <v>430113</v>
      </c>
      <c r="V20" s="184" t="n">
        <v>430113</v>
      </c>
      <c r="W20" s="183" t="n">
        <v>781788</v>
      </c>
      <c r="X20" s="184" t="n">
        <v>781788</v>
      </c>
      <c r="Y20" s="185" t="n">
        <v>781788</v>
      </c>
      <c r="Z20" s="182" t="n">
        <v>781788</v>
      </c>
      <c r="AA20" s="183" t="n">
        <v>781788</v>
      </c>
      <c r="AB20" s="182" t="n">
        <v>781788</v>
      </c>
      <c r="AC20" s="186" t="n">
        <v>781788</v>
      </c>
      <c r="AD20" s="185" t="n">
        <v>2234926</v>
      </c>
      <c r="AE20" s="182" t="n">
        <v>2234926</v>
      </c>
      <c r="AF20" s="183" t="n">
        <v>2234926</v>
      </c>
      <c r="AG20" s="186" t="n">
        <v>2234926</v>
      </c>
      <c r="AH20" s="182" t="n">
        <v>2602325</v>
      </c>
      <c r="AI20" s="184" t="n">
        <v>2602325</v>
      </c>
      <c r="AJ20" s="185" t="n">
        <v>2602325</v>
      </c>
      <c r="AK20" s="182" t="n">
        <v>2602325</v>
      </c>
      <c r="AL20" s="183" t="n">
        <v>2602325</v>
      </c>
      <c r="AM20" s="186" t="n">
        <v>2602325</v>
      </c>
      <c r="AN20" s="186" t="n">
        <v>2980146</v>
      </c>
      <c r="AO20" s="185" t="n">
        <v>2980146</v>
      </c>
      <c r="AP20" s="182" t="n">
        <v>2980146</v>
      </c>
      <c r="AQ20" s="183" t="n">
        <v>2980146</v>
      </c>
    </row>
    <row r="21" customFormat="false" ht="12.8" hidden="false" customHeight="false" outlineLevel="0" collapsed="false">
      <c r="A21" s="139" t="s">
        <v>192</v>
      </c>
      <c r="B21" s="181" t="n">
        <v>75643463</v>
      </c>
      <c r="C21" s="181" t="n">
        <v>75643463</v>
      </c>
      <c r="D21" s="182" t="n">
        <v>75643463</v>
      </c>
      <c r="E21" s="183" t="n">
        <v>75643463</v>
      </c>
      <c r="F21" s="186" t="n">
        <v>75643463</v>
      </c>
      <c r="G21" s="183" t="n">
        <v>77898130</v>
      </c>
      <c r="H21" s="182" t="n">
        <v>77898130</v>
      </c>
      <c r="I21" s="184" t="n">
        <v>77898130</v>
      </c>
      <c r="J21" s="185" t="n">
        <v>77898130</v>
      </c>
      <c r="K21" s="183" t="n">
        <v>77898130</v>
      </c>
      <c r="L21" s="182" t="n">
        <v>77898130</v>
      </c>
      <c r="M21" s="183" t="n">
        <v>77898130</v>
      </c>
      <c r="N21" s="183" t="n">
        <v>77898130</v>
      </c>
      <c r="O21" s="186" t="n">
        <v>77898130</v>
      </c>
      <c r="P21" s="186" t="n">
        <v>76317024</v>
      </c>
      <c r="Q21" s="185" t="n">
        <v>76317024</v>
      </c>
      <c r="R21" s="182" t="n">
        <v>76317024</v>
      </c>
      <c r="S21" s="183" t="n">
        <v>76317024</v>
      </c>
      <c r="T21" s="186" t="n">
        <v>76317024</v>
      </c>
      <c r="U21" s="182" t="n">
        <v>54944747</v>
      </c>
      <c r="V21" s="183" t="n">
        <v>54944747</v>
      </c>
      <c r="W21" s="183" t="n">
        <v>54944747</v>
      </c>
      <c r="X21" s="184" t="n">
        <v>54944747</v>
      </c>
      <c r="Y21" s="185" t="n">
        <v>54944747</v>
      </c>
      <c r="Z21" s="182" t="n">
        <v>54944747</v>
      </c>
      <c r="AA21" s="183" t="n">
        <v>54944747</v>
      </c>
      <c r="AB21" s="186" t="n">
        <v>54944747</v>
      </c>
      <c r="AC21" s="182" t="n">
        <v>65911902</v>
      </c>
      <c r="AD21" s="185" t="n">
        <v>65911902</v>
      </c>
      <c r="AE21" s="182" t="n">
        <v>65911902</v>
      </c>
      <c r="AF21" s="183" t="n">
        <v>65911902</v>
      </c>
      <c r="AG21" s="186" t="n">
        <v>65911902</v>
      </c>
      <c r="AH21" s="182" t="n">
        <v>61931024</v>
      </c>
      <c r="AI21" s="184" t="n">
        <v>61931024</v>
      </c>
      <c r="AJ21" s="185" t="n">
        <v>61931024</v>
      </c>
      <c r="AK21" s="182" t="n">
        <v>61931024</v>
      </c>
      <c r="AL21" s="183" t="n">
        <v>61931024</v>
      </c>
      <c r="AM21" s="186" t="n">
        <v>61931024</v>
      </c>
      <c r="AN21" s="186" t="n">
        <v>57622292</v>
      </c>
      <c r="AO21" s="185" t="n">
        <v>57622292</v>
      </c>
      <c r="AP21" s="182" t="n">
        <v>57622292</v>
      </c>
      <c r="AQ21" s="183" t="n">
        <v>57622292</v>
      </c>
    </row>
    <row r="22" customFormat="false" ht="12.8" hidden="false" customHeight="false" outlineLevel="0" collapsed="false">
      <c r="A22" s="139" t="s">
        <v>193</v>
      </c>
      <c r="B22" s="181" t="n">
        <v>16505479</v>
      </c>
      <c r="C22" s="181" t="n">
        <v>16505479</v>
      </c>
      <c r="D22" s="182" t="n">
        <v>16505479</v>
      </c>
      <c r="E22" s="183" t="n">
        <v>16505479</v>
      </c>
      <c r="F22" s="186" t="n">
        <v>16505479</v>
      </c>
      <c r="G22" s="183" t="n">
        <v>14422276</v>
      </c>
      <c r="H22" s="182" t="n">
        <v>14422276</v>
      </c>
      <c r="I22" s="184" t="n">
        <v>14422276</v>
      </c>
      <c r="J22" s="185" t="n">
        <v>14422276</v>
      </c>
      <c r="K22" s="183" t="n">
        <v>14422276</v>
      </c>
      <c r="L22" s="182" t="n">
        <v>14422276</v>
      </c>
      <c r="M22" s="183" t="n">
        <v>14422276</v>
      </c>
      <c r="N22" s="183" t="n">
        <v>14422276</v>
      </c>
      <c r="O22" s="186" t="n">
        <v>14422276</v>
      </c>
      <c r="P22" s="186" t="n">
        <v>13348878</v>
      </c>
      <c r="Q22" s="185" t="n">
        <v>13348878</v>
      </c>
      <c r="R22" s="182" t="n">
        <v>13348878</v>
      </c>
      <c r="S22" s="183" t="n">
        <v>13348878</v>
      </c>
      <c r="T22" s="186" t="n">
        <v>13348878</v>
      </c>
      <c r="U22" s="182" t="n">
        <v>12636162</v>
      </c>
      <c r="V22" s="183" t="n">
        <v>12636162</v>
      </c>
      <c r="W22" s="183" t="n">
        <v>12636162</v>
      </c>
      <c r="X22" s="184" t="n">
        <v>12636162</v>
      </c>
      <c r="Y22" s="185" t="n">
        <v>12636162</v>
      </c>
      <c r="Z22" s="182" t="n">
        <v>12636162</v>
      </c>
      <c r="AA22" s="183" t="n">
        <v>12636162</v>
      </c>
      <c r="AB22" s="186" t="n">
        <v>12636162</v>
      </c>
      <c r="AC22" s="182" t="n">
        <v>13452227</v>
      </c>
      <c r="AD22" s="185" t="n">
        <v>13452227</v>
      </c>
      <c r="AE22" s="182" t="n">
        <v>13452227</v>
      </c>
      <c r="AF22" s="183" t="n">
        <v>13452227</v>
      </c>
      <c r="AG22" s="186" t="n">
        <v>13452227</v>
      </c>
      <c r="AH22" s="182" t="n">
        <v>13951252</v>
      </c>
      <c r="AI22" s="184" t="n">
        <v>13951252</v>
      </c>
      <c r="AJ22" s="185" t="n">
        <v>13951252</v>
      </c>
      <c r="AK22" s="182" t="n">
        <v>13951252</v>
      </c>
      <c r="AL22" s="183" t="n">
        <v>13951252</v>
      </c>
      <c r="AM22" s="186" t="n">
        <v>13951252</v>
      </c>
      <c r="AN22" s="186" t="n">
        <v>13337544</v>
      </c>
      <c r="AO22" s="185" t="n">
        <v>13337544</v>
      </c>
      <c r="AP22" s="182" t="n">
        <v>13337544</v>
      </c>
      <c r="AQ22" s="183" t="n">
        <v>13337544</v>
      </c>
    </row>
    <row r="23" customFormat="false" ht="12.8" hidden="false" customHeight="false" outlineLevel="0" collapsed="false">
      <c r="A23" s="139" t="s">
        <v>194</v>
      </c>
      <c r="B23" s="181" t="n">
        <v>14599219</v>
      </c>
      <c r="C23" s="181" t="n">
        <v>14599219</v>
      </c>
      <c r="D23" s="182" t="n">
        <v>14599219</v>
      </c>
      <c r="E23" s="184" t="n">
        <v>14599219</v>
      </c>
      <c r="F23" s="186" t="n">
        <v>13683317</v>
      </c>
      <c r="G23" s="183" t="n">
        <v>13683317</v>
      </c>
      <c r="H23" s="182" t="n">
        <v>13683317</v>
      </c>
      <c r="I23" s="184" t="n">
        <v>13683317</v>
      </c>
      <c r="J23" s="185" t="n">
        <v>13683317</v>
      </c>
      <c r="K23" s="183" t="n">
        <v>13683317</v>
      </c>
      <c r="L23" s="182" t="n">
        <v>13683317</v>
      </c>
      <c r="M23" s="183" t="n">
        <v>13683317</v>
      </c>
      <c r="N23" s="183" t="n">
        <v>13683317</v>
      </c>
      <c r="O23" s="186" t="n">
        <v>13683317</v>
      </c>
      <c r="P23" s="186" t="n">
        <v>13669691</v>
      </c>
      <c r="Q23" s="185" t="n">
        <v>13669691</v>
      </c>
      <c r="R23" s="182" t="n">
        <v>13669691</v>
      </c>
      <c r="S23" s="183" t="n">
        <v>13669691</v>
      </c>
      <c r="T23" s="186" t="n">
        <v>13669691</v>
      </c>
      <c r="U23" s="182" t="n">
        <v>13029869</v>
      </c>
      <c r="V23" s="183" t="n">
        <v>13029869</v>
      </c>
      <c r="W23" s="183" t="n">
        <v>13029869</v>
      </c>
      <c r="X23" s="184" t="n">
        <v>13029869</v>
      </c>
      <c r="Y23" s="185" t="n">
        <v>13029869</v>
      </c>
      <c r="Z23" s="182" t="n">
        <v>13029869</v>
      </c>
      <c r="AA23" s="183" t="n">
        <v>13029869</v>
      </c>
      <c r="AB23" s="240" t="n">
        <v>13029869</v>
      </c>
      <c r="AC23" s="182" t="n">
        <v>12506195</v>
      </c>
      <c r="AD23" s="185" t="n">
        <v>12506195</v>
      </c>
      <c r="AE23" s="182" t="n">
        <v>12506195</v>
      </c>
      <c r="AF23" s="183" t="n">
        <v>12506195</v>
      </c>
      <c r="AG23" s="186" t="n">
        <v>12506195</v>
      </c>
      <c r="AH23" s="182" t="n">
        <v>12660650</v>
      </c>
      <c r="AI23" s="184" t="n">
        <v>12660650</v>
      </c>
      <c r="AJ23" s="185" t="n">
        <v>12660650</v>
      </c>
      <c r="AK23" s="182" t="n">
        <v>12660650</v>
      </c>
      <c r="AL23" s="183" t="n">
        <v>12660650</v>
      </c>
      <c r="AM23" s="186" t="n">
        <v>12660650</v>
      </c>
      <c r="AN23" s="186" t="n">
        <v>11549365</v>
      </c>
      <c r="AO23" s="185" t="n">
        <v>11549365</v>
      </c>
      <c r="AP23" s="182" t="n">
        <v>11549365</v>
      </c>
      <c r="AQ23" s="183" t="n">
        <v>11549365</v>
      </c>
    </row>
    <row r="24" customFormat="false" ht="12.8" hidden="false" customHeight="false" outlineLevel="0" collapsed="false">
      <c r="A24" s="139" t="s">
        <v>195</v>
      </c>
      <c r="B24" s="181" t="n">
        <v>52802455</v>
      </c>
      <c r="C24" s="181" t="n">
        <v>52802455</v>
      </c>
      <c r="D24" s="182" t="n">
        <v>52802455</v>
      </c>
      <c r="E24" s="183" t="n">
        <v>52802455</v>
      </c>
      <c r="F24" s="186" t="n">
        <v>52802455</v>
      </c>
      <c r="G24" s="183" t="n">
        <v>59373512</v>
      </c>
      <c r="H24" s="182" t="n">
        <v>59373512</v>
      </c>
      <c r="I24" s="184" t="n">
        <v>59373512</v>
      </c>
      <c r="J24" s="185" t="n">
        <v>59373512</v>
      </c>
      <c r="K24" s="183" t="n">
        <v>59373512</v>
      </c>
      <c r="L24" s="182" t="n">
        <v>59373512</v>
      </c>
      <c r="M24" s="183" t="n">
        <v>59373512</v>
      </c>
      <c r="N24" s="183" t="n">
        <v>59373512</v>
      </c>
      <c r="O24" s="186" t="n">
        <v>59373512</v>
      </c>
      <c r="P24" s="186" t="n">
        <v>45921186</v>
      </c>
      <c r="Q24" s="185" t="n">
        <v>45921186</v>
      </c>
      <c r="R24" s="182" t="n">
        <v>45921186</v>
      </c>
      <c r="S24" s="183" t="n">
        <v>45921186</v>
      </c>
      <c r="T24" s="186" t="n">
        <v>45921186</v>
      </c>
      <c r="U24" s="182" t="n">
        <v>38231512</v>
      </c>
      <c r="V24" s="183" t="n">
        <v>38231512</v>
      </c>
      <c r="W24" s="183" t="n">
        <v>38231512</v>
      </c>
      <c r="X24" s="184" t="n">
        <v>38231512</v>
      </c>
      <c r="Y24" s="185" t="n">
        <v>38231512</v>
      </c>
      <c r="Z24" s="182" t="n">
        <v>38231512</v>
      </c>
      <c r="AA24" s="183" t="n">
        <v>38231512</v>
      </c>
      <c r="AB24" s="240" t="n">
        <v>38231512</v>
      </c>
      <c r="AC24" s="182" t="n">
        <v>37127186</v>
      </c>
      <c r="AD24" s="185" t="n">
        <v>37127186</v>
      </c>
      <c r="AE24" s="182" t="n">
        <v>37127186</v>
      </c>
      <c r="AF24" s="183" t="n">
        <v>37127186</v>
      </c>
      <c r="AG24" s="186" t="n">
        <v>37127186</v>
      </c>
      <c r="AH24" s="182" t="n">
        <v>34855398</v>
      </c>
      <c r="AI24" s="184" t="n">
        <v>34855398</v>
      </c>
      <c r="AJ24" s="185" t="n">
        <v>34855398</v>
      </c>
      <c r="AK24" s="182" t="n">
        <v>34855398</v>
      </c>
      <c r="AL24" s="183" t="n">
        <v>34855398</v>
      </c>
      <c r="AM24" s="186" t="n">
        <v>34855398</v>
      </c>
      <c r="AN24" s="186" t="n">
        <v>25911544</v>
      </c>
      <c r="AO24" s="185" t="n">
        <v>25911544</v>
      </c>
      <c r="AP24" s="182" t="n">
        <v>25911544</v>
      </c>
      <c r="AQ24" s="183" t="n">
        <v>25911544</v>
      </c>
    </row>
    <row r="25" customFormat="false" ht="12.8" hidden="false" customHeight="false" outlineLevel="0" collapsed="false">
      <c r="A25" s="139" t="s">
        <v>196</v>
      </c>
      <c r="B25" s="181" t="n">
        <v>23346292</v>
      </c>
      <c r="C25" s="181" t="n">
        <v>23346292</v>
      </c>
      <c r="D25" s="186" t="n">
        <v>23346292</v>
      </c>
      <c r="E25" s="183" t="n">
        <v>28962601</v>
      </c>
      <c r="F25" s="182" t="n">
        <v>28962601</v>
      </c>
      <c r="G25" s="183" t="n">
        <v>28962601</v>
      </c>
      <c r="H25" s="182" t="n">
        <v>28962601</v>
      </c>
      <c r="I25" s="184" t="n">
        <v>28962601</v>
      </c>
      <c r="J25" s="185" t="n">
        <v>28962601</v>
      </c>
      <c r="K25" s="183" t="n">
        <v>28962601</v>
      </c>
      <c r="L25" s="182" t="n">
        <v>28962601</v>
      </c>
      <c r="M25" s="183" t="n">
        <v>28962601</v>
      </c>
      <c r="N25" s="183" t="n">
        <v>28962601</v>
      </c>
      <c r="O25" s="186" t="n">
        <v>28962601</v>
      </c>
      <c r="P25" s="186" t="n">
        <v>22741073</v>
      </c>
      <c r="Q25" s="185" t="n">
        <v>22741073</v>
      </c>
      <c r="R25" s="182" t="n">
        <v>22741073</v>
      </c>
      <c r="S25" s="183" t="n">
        <v>22741073</v>
      </c>
      <c r="T25" s="186" t="n">
        <v>22741073</v>
      </c>
      <c r="U25" s="182" t="n">
        <v>25260715</v>
      </c>
      <c r="V25" s="183" t="n">
        <v>25260715</v>
      </c>
      <c r="W25" s="183" t="n">
        <v>25260715</v>
      </c>
      <c r="X25" s="184" t="n">
        <v>25260715</v>
      </c>
      <c r="Y25" s="185" t="n">
        <v>25260715</v>
      </c>
      <c r="Z25" s="182" t="n">
        <v>25260715</v>
      </c>
      <c r="AA25" s="183" t="n">
        <v>25260715</v>
      </c>
      <c r="AB25" s="240" t="n">
        <v>25260715</v>
      </c>
      <c r="AC25" s="182" t="n">
        <v>27320000</v>
      </c>
      <c r="AD25" s="185" t="n">
        <v>27320000</v>
      </c>
      <c r="AE25" s="182" t="n">
        <v>27320000</v>
      </c>
      <c r="AF25" s="183" t="n">
        <v>27320000</v>
      </c>
      <c r="AG25" s="186" t="n">
        <v>27320000</v>
      </c>
      <c r="AH25" s="182" t="n">
        <v>36408260</v>
      </c>
      <c r="AI25" s="184" t="n">
        <v>36408260</v>
      </c>
      <c r="AJ25" s="185" t="n">
        <v>36408260</v>
      </c>
      <c r="AK25" s="182" t="n">
        <v>36408260</v>
      </c>
      <c r="AL25" s="183" t="n">
        <v>36408260</v>
      </c>
      <c r="AM25" s="186" t="n">
        <v>36408260</v>
      </c>
      <c r="AN25" s="186" t="n">
        <v>45844829</v>
      </c>
      <c r="AO25" s="185" t="n">
        <v>45844829</v>
      </c>
      <c r="AP25" s="182" t="n">
        <v>45844829</v>
      </c>
      <c r="AQ25" s="183" t="n">
        <v>45844829</v>
      </c>
    </row>
    <row r="26" customFormat="false" ht="12.8" hidden="false" customHeight="false" outlineLevel="0" collapsed="false">
      <c r="A26" s="139" t="s">
        <v>197</v>
      </c>
      <c r="B26" s="181" t="n">
        <v>10973528</v>
      </c>
      <c r="C26" s="181" t="n">
        <v>10973528</v>
      </c>
      <c r="D26" s="182" t="n">
        <v>10973528</v>
      </c>
      <c r="E26" s="183" t="n">
        <v>10973528</v>
      </c>
      <c r="F26" s="186" t="n">
        <v>10973528</v>
      </c>
      <c r="G26" s="183" t="n">
        <v>9018796</v>
      </c>
      <c r="H26" s="182" t="n">
        <v>9018796</v>
      </c>
      <c r="I26" s="184" t="n">
        <v>9018796</v>
      </c>
      <c r="J26" s="185" t="n">
        <v>9018796</v>
      </c>
      <c r="K26" s="183" t="n">
        <v>9018796</v>
      </c>
      <c r="L26" s="182" t="n">
        <v>9018796</v>
      </c>
      <c r="M26" s="183" t="n">
        <v>9018796</v>
      </c>
      <c r="N26" s="183" t="n">
        <v>9018796</v>
      </c>
      <c r="O26" s="186" t="n">
        <v>9018796</v>
      </c>
      <c r="P26" s="186" t="n">
        <v>9061495</v>
      </c>
      <c r="Q26" s="185" t="n">
        <v>9061495</v>
      </c>
      <c r="R26" s="182" t="n">
        <v>9061495</v>
      </c>
      <c r="S26" s="183" t="n">
        <v>9061495</v>
      </c>
      <c r="T26" s="186" t="n">
        <v>9061495</v>
      </c>
      <c r="U26" s="182" t="n">
        <v>8167739</v>
      </c>
      <c r="V26" s="183" t="n">
        <v>8167739</v>
      </c>
      <c r="W26" s="183" t="n">
        <v>8167739</v>
      </c>
      <c r="X26" s="184" t="n">
        <v>8167739</v>
      </c>
      <c r="Y26" s="185" t="n">
        <v>8167739</v>
      </c>
      <c r="Z26" s="182" t="n">
        <v>8167739</v>
      </c>
      <c r="AA26" s="183" t="n">
        <v>8167739</v>
      </c>
      <c r="AB26" s="167" t="n">
        <v>8167739</v>
      </c>
      <c r="AC26" s="182" t="n">
        <v>6806504</v>
      </c>
      <c r="AD26" s="185" t="n">
        <v>6806504</v>
      </c>
      <c r="AE26" s="182" t="n">
        <v>6806504</v>
      </c>
      <c r="AF26" s="183" t="n">
        <v>6806504</v>
      </c>
      <c r="AG26" s="167" t="n">
        <v>6806504</v>
      </c>
      <c r="AH26" s="182" t="n">
        <v>6996910</v>
      </c>
      <c r="AI26" s="184" t="n">
        <v>6996910</v>
      </c>
      <c r="AJ26" s="185" t="n">
        <v>6996910</v>
      </c>
      <c r="AK26" s="182" t="n">
        <v>6996910</v>
      </c>
      <c r="AL26" s="183" t="n">
        <v>6996910</v>
      </c>
      <c r="AM26" s="186" t="n">
        <v>6996910</v>
      </c>
      <c r="AN26" s="186" t="n">
        <v>6921512</v>
      </c>
      <c r="AO26" s="185" t="n">
        <v>6921512</v>
      </c>
      <c r="AP26" s="182" t="n">
        <v>6921512</v>
      </c>
      <c r="AQ26" s="183" t="n">
        <v>6921512</v>
      </c>
    </row>
    <row r="27" customFormat="false" ht="12.8" hidden="false" customHeight="false" outlineLevel="0" collapsed="false">
      <c r="A27" s="139" t="s">
        <v>198</v>
      </c>
      <c r="B27" s="181" t="n">
        <v>615317</v>
      </c>
      <c r="C27" s="181" t="n">
        <v>615317</v>
      </c>
      <c r="D27" s="182" t="n">
        <v>615317</v>
      </c>
      <c r="E27" s="183" t="n">
        <v>615317</v>
      </c>
      <c r="F27" s="186" t="n">
        <v>615317</v>
      </c>
      <c r="G27" s="183" t="n">
        <v>588845</v>
      </c>
      <c r="H27" s="182" t="n">
        <v>588845</v>
      </c>
      <c r="I27" s="184" t="n">
        <v>588845</v>
      </c>
      <c r="J27" s="185" t="n">
        <v>588845</v>
      </c>
      <c r="K27" s="183" t="n">
        <v>588845</v>
      </c>
      <c r="L27" s="182" t="n">
        <v>588845</v>
      </c>
      <c r="M27" s="183" t="n">
        <v>588845</v>
      </c>
      <c r="N27" s="183" t="n">
        <v>588845</v>
      </c>
      <c r="O27" s="186" t="n">
        <v>588845</v>
      </c>
      <c r="P27" s="186" t="n">
        <v>765008</v>
      </c>
      <c r="Q27" s="185" t="n">
        <v>765008</v>
      </c>
      <c r="R27" s="182" t="n">
        <v>765008</v>
      </c>
      <c r="S27" s="183" t="n">
        <v>765008</v>
      </c>
      <c r="T27" s="186" t="n">
        <v>765008</v>
      </c>
      <c r="U27" s="182" t="n">
        <v>529512</v>
      </c>
      <c r="V27" s="183" t="n">
        <v>529512</v>
      </c>
      <c r="W27" s="183" t="n">
        <v>529512</v>
      </c>
      <c r="X27" s="184" t="n">
        <v>529512</v>
      </c>
      <c r="Y27" s="185" t="n">
        <v>529512</v>
      </c>
      <c r="Z27" s="182" t="n">
        <v>529512</v>
      </c>
      <c r="AA27" s="183" t="n">
        <v>529512</v>
      </c>
      <c r="AB27" s="167" t="n">
        <v>529512</v>
      </c>
      <c r="AC27" s="182" t="n">
        <v>477414</v>
      </c>
      <c r="AD27" s="185" t="n">
        <v>477414</v>
      </c>
      <c r="AE27" s="182" t="n">
        <v>477414</v>
      </c>
      <c r="AF27" s="183" t="n">
        <v>477414</v>
      </c>
      <c r="AG27" s="240" t="n">
        <v>477414</v>
      </c>
      <c r="AH27" s="182" t="n">
        <v>410699</v>
      </c>
      <c r="AI27" s="184" t="n">
        <v>410699</v>
      </c>
      <c r="AJ27" s="185" t="n">
        <v>410699</v>
      </c>
      <c r="AK27" s="182" t="n">
        <v>410699</v>
      </c>
      <c r="AL27" s="183" t="n">
        <v>410699</v>
      </c>
      <c r="AM27" s="186" t="n">
        <v>410699</v>
      </c>
      <c r="AN27" s="186" t="n">
        <v>3313739</v>
      </c>
      <c r="AO27" s="185" t="n">
        <v>3313739</v>
      </c>
      <c r="AP27" s="182" t="n">
        <v>3313739</v>
      </c>
      <c r="AQ27" s="183" t="n">
        <v>3313739</v>
      </c>
    </row>
    <row r="28" customFormat="false" ht="12.8" hidden="false" customHeight="false" outlineLevel="0" collapsed="false">
      <c r="A28" s="139" t="s">
        <v>28</v>
      </c>
      <c r="B28" s="181" t="n">
        <v>3226845</v>
      </c>
      <c r="C28" s="181" t="n">
        <v>3226845</v>
      </c>
      <c r="D28" s="182" t="n">
        <v>3226845</v>
      </c>
      <c r="E28" s="183" t="n">
        <v>3226845</v>
      </c>
      <c r="F28" s="186" t="n">
        <v>3226845</v>
      </c>
      <c r="G28" s="183" t="n">
        <v>2810065</v>
      </c>
      <c r="H28" s="182" t="n">
        <v>2810065</v>
      </c>
      <c r="I28" s="184" t="n">
        <v>2810065</v>
      </c>
      <c r="J28" s="185" t="n">
        <v>2810065</v>
      </c>
      <c r="K28" s="183" t="n">
        <v>2810065</v>
      </c>
      <c r="L28" s="182" t="n">
        <v>2810065</v>
      </c>
      <c r="M28" s="183" t="n">
        <v>2810065</v>
      </c>
      <c r="N28" s="183" t="n">
        <v>2810065</v>
      </c>
      <c r="O28" s="186" t="n">
        <v>2810065</v>
      </c>
      <c r="P28" s="186" t="n">
        <v>1681300</v>
      </c>
      <c r="Q28" s="185" t="n">
        <v>1681300</v>
      </c>
      <c r="R28" s="182" t="n">
        <v>1681300</v>
      </c>
      <c r="S28" s="183" t="n">
        <v>1681300</v>
      </c>
      <c r="T28" s="186" t="n">
        <v>1681300</v>
      </c>
      <c r="U28" s="182" t="n">
        <v>965154</v>
      </c>
      <c r="V28" s="183" t="n">
        <v>965154</v>
      </c>
      <c r="W28" s="183" t="n">
        <v>965154</v>
      </c>
      <c r="X28" s="184" t="n">
        <v>965154</v>
      </c>
      <c r="Y28" s="185" t="n">
        <v>965154</v>
      </c>
      <c r="Z28" s="182" t="n">
        <v>965154</v>
      </c>
      <c r="AA28" s="183" t="n">
        <v>965154</v>
      </c>
      <c r="AB28" s="186" t="n">
        <v>965154</v>
      </c>
      <c r="AC28" s="182" t="n">
        <v>3412520</v>
      </c>
      <c r="AD28" s="185" t="n">
        <v>3412520</v>
      </c>
      <c r="AE28" s="182" t="n">
        <v>3412520</v>
      </c>
      <c r="AF28" s="183" t="n">
        <v>3412520</v>
      </c>
      <c r="AG28" s="240" t="n">
        <v>3412520</v>
      </c>
      <c r="AH28" s="182" t="n">
        <v>3184113</v>
      </c>
      <c r="AI28" s="184" t="n">
        <v>3184113</v>
      </c>
      <c r="AJ28" s="185" t="n">
        <v>3184113</v>
      </c>
      <c r="AK28" s="182" t="n">
        <v>3184113</v>
      </c>
      <c r="AL28" s="183" t="n">
        <v>3184113</v>
      </c>
      <c r="AM28" s="186" t="n">
        <v>3184113</v>
      </c>
      <c r="AN28" s="186" t="n">
        <v>2635918</v>
      </c>
      <c r="AO28" s="185" t="n">
        <v>2635918</v>
      </c>
      <c r="AP28" s="182" t="n">
        <v>2635918</v>
      </c>
      <c r="AQ28" s="183" t="n">
        <v>2635918</v>
      </c>
    </row>
    <row r="29" customFormat="false" ht="12.8" hidden="false" customHeight="false" outlineLevel="0" collapsed="false">
      <c r="A29" s="139" t="s">
        <v>199</v>
      </c>
      <c r="B29" s="181" t="n">
        <v>12159707</v>
      </c>
      <c r="C29" s="181" t="n">
        <v>12159707</v>
      </c>
      <c r="D29" s="182" t="n">
        <v>12159707</v>
      </c>
      <c r="E29" s="183" t="n">
        <v>12159707</v>
      </c>
      <c r="F29" s="186" t="n">
        <v>12159707</v>
      </c>
      <c r="G29" s="183" t="n">
        <v>10961008</v>
      </c>
      <c r="H29" s="182" t="n">
        <v>10961008</v>
      </c>
      <c r="I29" s="184" t="n">
        <v>10961008</v>
      </c>
      <c r="J29" s="185" t="n">
        <v>10961008</v>
      </c>
      <c r="K29" s="183" t="n">
        <v>10961008</v>
      </c>
      <c r="L29" s="182" t="n">
        <v>10961008</v>
      </c>
      <c r="M29" s="183" t="n">
        <v>10961008</v>
      </c>
      <c r="N29" s="183" t="n">
        <v>10961008</v>
      </c>
      <c r="O29" s="186" t="n">
        <v>10961008</v>
      </c>
      <c r="P29" s="186" t="n">
        <v>8678894</v>
      </c>
      <c r="Q29" s="185" t="n">
        <v>8678894</v>
      </c>
      <c r="R29" s="182" t="n">
        <v>8678894</v>
      </c>
      <c r="S29" s="183" t="n">
        <v>8678894</v>
      </c>
      <c r="T29" s="186" t="n">
        <v>8678894</v>
      </c>
      <c r="U29" s="182" t="n">
        <v>7276113</v>
      </c>
      <c r="V29" s="183" t="n">
        <v>7276113</v>
      </c>
      <c r="W29" s="183" t="n">
        <v>7276113</v>
      </c>
      <c r="X29" s="184" t="n">
        <v>7276113</v>
      </c>
      <c r="Y29" s="185" t="n">
        <v>7276113</v>
      </c>
      <c r="Z29" s="182" t="n">
        <v>7276113</v>
      </c>
      <c r="AA29" s="183" t="n">
        <v>7276113</v>
      </c>
      <c r="AB29" s="186" t="n">
        <v>7276113</v>
      </c>
      <c r="AC29" s="182" t="n">
        <v>6932065</v>
      </c>
      <c r="AD29" s="185" t="n">
        <v>6932065</v>
      </c>
      <c r="AE29" s="182" t="n">
        <v>6932065</v>
      </c>
      <c r="AF29" s="241" t="n">
        <v>6932065</v>
      </c>
      <c r="AG29" s="182" t="n">
        <v>8731512</v>
      </c>
      <c r="AH29" s="182" t="n">
        <v>8731512</v>
      </c>
      <c r="AI29" s="184" t="n">
        <v>8731512</v>
      </c>
      <c r="AJ29" s="185" t="n">
        <v>8731512</v>
      </c>
      <c r="AK29" s="182" t="n">
        <v>8731512</v>
      </c>
      <c r="AL29" s="183" t="n">
        <v>8731512</v>
      </c>
      <c r="AM29" s="186" t="n">
        <v>8731512</v>
      </c>
      <c r="AN29" s="186" t="n">
        <v>5983089</v>
      </c>
      <c r="AO29" s="185" t="n">
        <v>5983089</v>
      </c>
      <c r="AP29" s="182" t="n">
        <v>5983089</v>
      </c>
      <c r="AQ29" s="183" t="n">
        <v>5983089</v>
      </c>
    </row>
    <row r="30" customFormat="false" ht="12.8" hidden="false" customHeight="false" outlineLevel="0" collapsed="false">
      <c r="A30" s="139" t="s">
        <v>200</v>
      </c>
      <c r="B30" s="181" t="n">
        <v>791154</v>
      </c>
      <c r="C30" s="181" t="n">
        <v>791154</v>
      </c>
      <c r="D30" s="182" t="n">
        <v>791154</v>
      </c>
      <c r="E30" s="183" t="n">
        <v>791154</v>
      </c>
      <c r="F30" s="186" t="n">
        <v>791154</v>
      </c>
      <c r="G30" s="183" t="n">
        <v>1074178</v>
      </c>
      <c r="H30" s="182" t="n">
        <v>1074178</v>
      </c>
      <c r="I30" s="184" t="n">
        <v>1074178</v>
      </c>
      <c r="J30" s="185" t="n">
        <v>1074178</v>
      </c>
      <c r="K30" s="183" t="n">
        <v>1074178</v>
      </c>
      <c r="L30" s="182" t="n">
        <v>1074178</v>
      </c>
      <c r="M30" s="183" t="n">
        <v>1074178</v>
      </c>
      <c r="N30" s="183" t="n">
        <v>1074178</v>
      </c>
      <c r="O30" s="240" t="n">
        <v>1074178</v>
      </c>
      <c r="P30" s="186" t="n">
        <v>1372341</v>
      </c>
      <c r="Q30" s="185" t="n">
        <v>1372341</v>
      </c>
      <c r="R30" s="182" t="n">
        <v>1372341</v>
      </c>
      <c r="S30" s="183" t="n">
        <v>1372341</v>
      </c>
      <c r="T30" s="240" t="n">
        <v>1372341</v>
      </c>
      <c r="U30" s="182" t="n">
        <v>1770406</v>
      </c>
      <c r="V30" s="183" t="n">
        <v>1770406</v>
      </c>
      <c r="W30" s="183" t="n">
        <v>1770406</v>
      </c>
      <c r="X30" s="184" t="n">
        <v>1770406</v>
      </c>
      <c r="Y30" s="185" t="n">
        <v>1770406</v>
      </c>
      <c r="Z30" s="182" t="n">
        <v>1770406</v>
      </c>
      <c r="AA30" s="183" t="n">
        <v>1770406</v>
      </c>
      <c r="AB30" s="186" t="n">
        <v>1770406</v>
      </c>
      <c r="AC30" s="182" t="n">
        <v>1237560</v>
      </c>
      <c r="AD30" s="185" t="n">
        <v>1237560</v>
      </c>
      <c r="AE30" s="182" t="n">
        <v>1237560</v>
      </c>
      <c r="AF30" s="183" t="n">
        <v>1237560</v>
      </c>
      <c r="AG30" s="240" t="n">
        <v>1237560</v>
      </c>
      <c r="AH30" s="237" t="n">
        <v>1319544</v>
      </c>
      <c r="AI30" s="184" t="n">
        <v>1319544</v>
      </c>
      <c r="AJ30" s="239" t="n">
        <v>1319544</v>
      </c>
      <c r="AK30" s="237" t="n">
        <v>1319544</v>
      </c>
      <c r="AL30" s="183" t="n">
        <v>1319544</v>
      </c>
      <c r="AM30" s="186" t="n">
        <v>1319544</v>
      </c>
      <c r="AN30" s="238" t="n">
        <v>1474341</v>
      </c>
      <c r="AO30" s="239" t="n">
        <v>1474341</v>
      </c>
      <c r="AP30" s="182" t="n">
        <v>1474341</v>
      </c>
      <c r="AQ30" s="183" t="n">
        <v>1474341</v>
      </c>
    </row>
    <row r="31" customFormat="false" ht="12.8" hidden="false" customHeight="false" outlineLevel="0" collapsed="false">
      <c r="A31" s="1" t="s">
        <v>263</v>
      </c>
      <c r="B31" s="203" t="s">
        <v>44</v>
      </c>
      <c r="C31" s="44" t="s">
        <v>49</v>
      </c>
      <c r="D31" s="23" t="s">
        <v>42</v>
      </c>
      <c r="E31" s="28" t="s">
        <v>41</v>
      </c>
      <c r="F31" s="23" t="s">
        <v>40</v>
      </c>
      <c r="G31" s="28" t="s">
        <v>38</v>
      </c>
      <c r="H31" s="23" t="s">
        <v>37</v>
      </c>
      <c r="I31" s="45" t="s">
        <v>36</v>
      </c>
      <c r="J31" s="46" t="s">
        <v>35</v>
      </c>
      <c r="K31" s="24" t="s">
        <v>34</v>
      </c>
      <c r="L31" s="23" t="s">
        <v>33</v>
      </c>
      <c r="M31" s="19" t="s">
        <v>32</v>
      </c>
      <c r="N31" s="19" t="s">
        <v>50</v>
      </c>
      <c r="O31" s="23" t="s">
        <v>51</v>
      </c>
      <c r="P31" s="47" t="s">
        <v>52</v>
      </c>
      <c r="Q31" s="46" t="s">
        <v>53</v>
      </c>
      <c r="R31" s="23" t="s">
        <v>54</v>
      </c>
      <c r="S31" s="19" t="s">
        <v>55</v>
      </c>
      <c r="T31" s="23" t="s">
        <v>56</v>
      </c>
      <c r="U31" s="23" t="s">
        <v>57</v>
      </c>
      <c r="V31" s="28" t="s">
        <v>58</v>
      </c>
      <c r="W31" s="28" t="s">
        <v>59</v>
      </c>
      <c r="X31" s="45" t="s">
        <v>60</v>
      </c>
      <c r="Y31" s="46" t="s">
        <v>61</v>
      </c>
      <c r="Z31" s="23" t="s">
        <v>62</v>
      </c>
      <c r="AA31" s="19" t="s">
        <v>63</v>
      </c>
      <c r="AB31" s="23" t="s">
        <v>64</v>
      </c>
      <c r="AC31" s="23" t="s">
        <v>65</v>
      </c>
      <c r="AD31" s="46" t="s">
        <v>66</v>
      </c>
      <c r="AE31" s="23" t="s">
        <v>67</v>
      </c>
      <c r="AF31" s="19" t="s">
        <v>68</v>
      </c>
      <c r="AG31" s="23" t="s">
        <v>69</v>
      </c>
      <c r="AH31" s="23" t="s">
        <v>70</v>
      </c>
      <c r="AI31" s="45" t="s">
        <v>71</v>
      </c>
      <c r="AJ31" s="46" t="s">
        <v>72</v>
      </c>
      <c r="AK31" s="23" t="s">
        <v>73</v>
      </c>
      <c r="AL31" s="24" t="s">
        <v>74</v>
      </c>
      <c r="AM31" s="23" t="s">
        <v>75</v>
      </c>
      <c r="AN31" s="47" t="s">
        <v>76</v>
      </c>
      <c r="AO31" s="46" t="s">
        <v>77</v>
      </c>
      <c r="AP31" s="23" t="s">
        <v>78</v>
      </c>
      <c r="AQ31" s="24" t="s">
        <v>79</v>
      </c>
    </row>
    <row r="32" customFormat="false" ht="12.8" hidden="false" customHeight="false" outlineLevel="0" collapsed="false">
      <c r="A32" s="16" t="s">
        <v>263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</row>
    <row r="33" customFormat="false" ht="12.8" hidden="false" customHeight="false" outlineLevel="0" collapsed="false">
      <c r="A33" s="139" t="s">
        <v>24</v>
      </c>
      <c r="B33" s="181" t="n">
        <v>58330211</v>
      </c>
      <c r="C33" s="181" t="n">
        <v>58330211</v>
      </c>
      <c r="D33" s="187" t="n">
        <v>58330211</v>
      </c>
      <c r="E33" s="181" t="n">
        <v>58330211</v>
      </c>
      <c r="F33" s="187" t="n">
        <v>58330211</v>
      </c>
      <c r="G33" s="181" t="n">
        <v>58330211</v>
      </c>
      <c r="H33" s="186" t="n">
        <v>58330211</v>
      </c>
      <c r="I33" s="184" t="n">
        <v>35058146</v>
      </c>
      <c r="J33" s="185" t="n">
        <v>35058146</v>
      </c>
      <c r="K33" s="183" t="n">
        <v>35058146</v>
      </c>
      <c r="L33" s="182" t="n">
        <v>35058146</v>
      </c>
      <c r="M33" s="183" t="n">
        <v>35058146</v>
      </c>
      <c r="N33" s="183" t="n">
        <v>35058146</v>
      </c>
      <c r="O33" s="182" t="n">
        <v>35058146</v>
      </c>
      <c r="P33" s="186" t="n">
        <v>35058146</v>
      </c>
      <c r="Q33" s="185" t="n">
        <v>37596292</v>
      </c>
      <c r="R33" s="182" t="n">
        <v>37596292</v>
      </c>
      <c r="S33" s="183" t="n">
        <v>37596292</v>
      </c>
      <c r="T33" s="182" t="n">
        <v>37596292</v>
      </c>
      <c r="U33" s="186" t="n">
        <v>37596292</v>
      </c>
      <c r="V33" s="183" t="n">
        <v>31274308</v>
      </c>
      <c r="W33" s="183" t="n">
        <v>31274308</v>
      </c>
      <c r="X33" s="184" t="n">
        <v>31274308</v>
      </c>
      <c r="Y33" s="185" t="n">
        <v>31274308</v>
      </c>
      <c r="Z33" s="182" t="n">
        <v>31274308</v>
      </c>
      <c r="AA33" s="183" t="n">
        <v>31274308</v>
      </c>
      <c r="AB33" s="182" t="n">
        <v>31274308</v>
      </c>
      <c r="AC33" s="237" t="n">
        <v>31274308</v>
      </c>
      <c r="AD33" s="185" t="n">
        <v>29499642</v>
      </c>
      <c r="AE33" s="237" t="n">
        <v>29499642</v>
      </c>
      <c r="AF33" s="183" t="n">
        <v>29499642</v>
      </c>
      <c r="AG33" s="238" t="n">
        <v>29499642</v>
      </c>
      <c r="AH33" s="237" t="n">
        <v>29369349</v>
      </c>
      <c r="AI33" s="184" t="n">
        <v>29369349</v>
      </c>
      <c r="AJ33" s="239" t="n">
        <v>29369349</v>
      </c>
      <c r="AK33" s="237" t="n">
        <v>29369349</v>
      </c>
      <c r="AL33" s="183" t="n">
        <v>29369349</v>
      </c>
      <c r="AM33" s="238" t="n">
        <v>29369349</v>
      </c>
      <c r="AN33" s="186" t="n">
        <v>13744845</v>
      </c>
      <c r="AO33" s="185" t="n">
        <v>13744845</v>
      </c>
      <c r="AP33" s="182" t="n">
        <v>13744845</v>
      </c>
      <c r="AQ33" s="183" t="n">
        <v>13744845</v>
      </c>
    </row>
    <row r="34" customFormat="false" ht="12.8" hidden="false" customHeight="false" outlineLevel="0" collapsed="false">
      <c r="A34" s="139" t="s">
        <v>180</v>
      </c>
      <c r="B34" s="181" t="n">
        <v>35968585</v>
      </c>
      <c r="C34" s="181" t="n">
        <v>35968585</v>
      </c>
      <c r="D34" s="182" t="n">
        <v>35968585</v>
      </c>
      <c r="E34" s="183" t="n">
        <v>35968585</v>
      </c>
      <c r="F34" s="186" t="n">
        <v>35968585</v>
      </c>
      <c r="G34" s="183" t="n">
        <v>27118601</v>
      </c>
      <c r="H34" s="182" t="n">
        <v>27118601</v>
      </c>
      <c r="I34" s="184" t="n">
        <v>27118601</v>
      </c>
      <c r="J34" s="185" t="n">
        <v>27118601</v>
      </c>
      <c r="K34" s="183" t="n">
        <v>27118601</v>
      </c>
      <c r="L34" s="182" t="n">
        <v>27118601</v>
      </c>
      <c r="M34" s="183" t="n">
        <v>27118601</v>
      </c>
      <c r="N34" s="183" t="n">
        <v>27118601</v>
      </c>
      <c r="O34" s="186" t="n">
        <v>27118601</v>
      </c>
      <c r="P34" s="186" t="n">
        <v>27999674</v>
      </c>
      <c r="Q34" s="185" t="n">
        <v>27999674</v>
      </c>
      <c r="R34" s="182" t="n">
        <v>27999674</v>
      </c>
      <c r="S34" s="183" t="n">
        <v>27999674</v>
      </c>
      <c r="T34" s="186" t="n">
        <v>27999674</v>
      </c>
      <c r="U34" s="182" t="n">
        <v>28087365</v>
      </c>
      <c r="V34" s="183" t="n">
        <v>28087365</v>
      </c>
      <c r="W34" s="183" t="n">
        <v>28087365</v>
      </c>
      <c r="X34" s="184" t="n">
        <v>28087365</v>
      </c>
      <c r="Y34" s="185" t="n">
        <v>28087365</v>
      </c>
      <c r="Z34" s="182" t="n">
        <v>28087365</v>
      </c>
      <c r="AA34" s="184" t="n">
        <v>28087365</v>
      </c>
      <c r="AB34" s="182" t="n">
        <v>26999739</v>
      </c>
      <c r="AC34" s="182" t="n">
        <v>26999739</v>
      </c>
      <c r="AD34" s="239" t="n">
        <v>26999739</v>
      </c>
      <c r="AE34" s="182" t="n">
        <v>26999739</v>
      </c>
      <c r="AF34" s="184" t="n">
        <v>26999739</v>
      </c>
      <c r="AG34" s="182" t="n">
        <v>25952227</v>
      </c>
      <c r="AH34" s="182" t="n">
        <v>25952227</v>
      </c>
      <c r="AI34" s="184" t="n">
        <v>25952227</v>
      </c>
      <c r="AJ34" s="182" t="n">
        <v>25952227</v>
      </c>
      <c r="AK34" s="182" t="n">
        <v>25952227</v>
      </c>
      <c r="AL34" s="183" t="n">
        <v>25952227</v>
      </c>
      <c r="AM34" s="186" t="n">
        <v>25952227</v>
      </c>
      <c r="AN34" s="186" t="n">
        <v>25769934</v>
      </c>
      <c r="AO34" s="185" t="n">
        <v>25769934</v>
      </c>
      <c r="AP34" s="182" t="n">
        <v>25769934</v>
      </c>
      <c r="AQ34" s="183" t="n">
        <v>25769934</v>
      </c>
    </row>
    <row r="35" customFormat="false" ht="12.8" hidden="false" customHeight="false" outlineLevel="0" collapsed="false">
      <c r="A35" s="139" t="s">
        <v>181</v>
      </c>
      <c r="B35" s="181" t="n">
        <v>52306666</v>
      </c>
      <c r="C35" s="181" t="n">
        <v>52306666</v>
      </c>
      <c r="D35" s="182" t="n">
        <v>52306666</v>
      </c>
      <c r="E35" s="183" t="n">
        <v>52306666</v>
      </c>
      <c r="F35" s="186" t="n">
        <v>52306666</v>
      </c>
      <c r="G35" s="183" t="n">
        <v>39575772</v>
      </c>
      <c r="H35" s="182" t="n">
        <v>39575772</v>
      </c>
      <c r="I35" s="184" t="n">
        <v>39575772</v>
      </c>
      <c r="J35" s="185" t="n">
        <v>39575772</v>
      </c>
      <c r="K35" s="183" t="n">
        <v>39575772</v>
      </c>
      <c r="L35" s="182" t="n">
        <v>39575772</v>
      </c>
      <c r="M35" s="183" t="n">
        <v>39575772</v>
      </c>
      <c r="N35" s="183" t="n">
        <v>39575772</v>
      </c>
      <c r="O35" s="186" t="n">
        <v>39575772</v>
      </c>
      <c r="P35" s="186" t="n">
        <v>36083040</v>
      </c>
      <c r="Q35" s="185" t="n">
        <v>36083040</v>
      </c>
      <c r="R35" s="182" t="n">
        <v>36083040</v>
      </c>
      <c r="S35" s="183" t="n">
        <v>36083040</v>
      </c>
      <c r="T35" s="186" t="n">
        <v>36083040</v>
      </c>
      <c r="U35" s="182" t="n">
        <v>27711723</v>
      </c>
      <c r="V35" s="183" t="n">
        <v>27711723</v>
      </c>
      <c r="W35" s="183" t="n">
        <v>27711723</v>
      </c>
      <c r="X35" s="184" t="n">
        <v>27711723</v>
      </c>
      <c r="Y35" s="185" t="n">
        <v>27711723</v>
      </c>
      <c r="Z35" s="182" t="n">
        <v>27711723</v>
      </c>
      <c r="AA35" s="183" t="n">
        <v>27711723</v>
      </c>
      <c r="AB35" s="186" t="n">
        <v>27711723</v>
      </c>
      <c r="AC35" s="182" t="n">
        <v>30079967</v>
      </c>
      <c r="AD35" s="185" t="n">
        <v>30079967</v>
      </c>
      <c r="AE35" s="182" t="n">
        <v>30079967</v>
      </c>
      <c r="AF35" s="183" t="n">
        <v>30079967</v>
      </c>
      <c r="AG35" s="186" t="n">
        <v>30079967</v>
      </c>
      <c r="AH35" s="182" t="n">
        <v>34477544</v>
      </c>
      <c r="AI35" s="184" t="n">
        <v>34477544</v>
      </c>
      <c r="AJ35" s="185" t="n">
        <v>34477544</v>
      </c>
      <c r="AK35" s="182" t="n">
        <v>34477544</v>
      </c>
      <c r="AL35" s="183" t="n">
        <v>34477544</v>
      </c>
      <c r="AM35" s="186" t="n">
        <v>34477544</v>
      </c>
      <c r="AN35" s="186" t="n">
        <v>34551983</v>
      </c>
      <c r="AO35" s="185" t="n">
        <v>34551983</v>
      </c>
      <c r="AP35" s="182" t="n">
        <v>34551983</v>
      </c>
      <c r="AQ35" s="183" t="n">
        <v>34551983</v>
      </c>
      <c r="CK35" s="1" t="s">
        <v>264</v>
      </c>
      <c r="CL35" s="1" t="s">
        <v>264</v>
      </c>
    </row>
    <row r="36" customFormat="false" ht="12.8" hidden="false" customHeight="false" outlineLevel="0" collapsed="false">
      <c r="A36" s="139" t="s">
        <v>30</v>
      </c>
      <c r="B36" s="181" t="n">
        <v>29638845</v>
      </c>
      <c r="C36" s="181" t="n">
        <v>29638845</v>
      </c>
      <c r="D36" s="182" t="n">
        <v>29638845</v>
      </c>
      <c r="E36" s="183" t="n">
        <v>29638845</v>
      </c>
      <c r="F36" s="182" t="n">
        <v>29638845</v>
      </c>
      <c r="G36" s="184" t="n">
        <v>29638845</v>
      </c>
      <c r="H36" s="237" t="n">
        <v>23795463</v>
      </c>
      <c r="I36" s="184" t="n">
        <v>23795463</v>
      </c>
      <c r="J36" s="239" t="n">
        <v>23795463</v>
      </c>
      <c r="K36" s="183" t="n">
        <v>23795463</v>
      </c>
      <c r="L36" s="237" t="n">
        <v>23795463</v>
      </c>
      <c r="M36" s="183" t="n">
        <v>23795463</v>
      </c>
      <c r="N36" s="183" t="n">
        <v>23795463</v>
      </c>
      <c r="O36" s="186" t="n">
        <v>23795463</v>
      </c>
      <c r="P36" s="238" t="n">
        <v>24051252</v>
      </c>
      <c r="Q36" s="239" t="n">
        <v>24051252</v>
      </c>
      <c r="R36" s="237" t="n">
        <v>24051252</v>
      </c>
      <c r="S36" s="183" t="n">
        <v>24051252</v>
      </c>
      <c r="T36" s="186" t="n">
        <v>24051252</v>
      </c>
      <c r="U36" s="237" t="n">
        <v>18983495</v>
      </c>
      <c r="V36" s="183" t="n">
        <v>18983495</v>
      </c>
      <c r="W36" s="183" t="n">
        <v>18983495</v>
      </c>
      <c r="X36" s="184" t="n">
        <v>18983495</v>
      </c>
      <c r="Y36" s="239" t="n">
        <v>18983495</v>
      </c>
      <c r="Z36" s="237" t="n">
        <v>18983495</v>
      </c>
      <c r="AA36" s="183" t="n">
        <v>18983495</v>
      </c>
      <c r="AB36" s="186" t="n">
        <v>18983495</v>
      </c>
      <c r="AC36" s="182" t="n">
        <v>16508292</v>
      </c>
      <c r="AD36" s="185" t="n">
        <v>16508292</v>
      </c>
      <c r="AE36" s="182" t="n">
        <v>16508292</v>
      </c>
      <c r="AF36" s="183" t="n">
        <v>16508292</v>
      </c>
      <c r="AG36" s="186" t="n">
        <v>16508292</v>
      </c>
      <c r="AH36" s="237" t="n">
        <v>14022943</v>
      </c>
      <c r="AI36" s="184" t="n">
        <v>14022943</v>
      </c>
      <c r="AJ36" s="239" t="n">
        <v>14022943</v>
      </c>
      <c r="AK36" s="237" t="n">
        <v>14022943</v>
      </c>
      <c r="AL36" s="183" t="n">
        <v>14022943</v>
      </c>
      <c r="AM36" s="186" t="n">
        <v>14022943</v>
      </c>
      <c r="AN36" s="186" t="n">
        <v>13158975</v>
      </c>
      <c r="AO36" s="185" t="n">
        <v>13158975</v>
      </c>
      <c r="AP36" s="182" t="n">
        <v>13158975</v>
      </c>
      <c r="AQ36" s="183" t="n">
        <v>13158975</v>
      </c>
    </row>
    <row r="37" customFormat="false" ht="12.8" hidden="false" customHeight="false" outlineLevel="0" collapsed="false">
      <c r="A37" s="139" t="s">
        <v>182</v>
      </c>
      <c r="B37" s="181" t="n">
        <v>56435756</v>
      </c>
      <c r="C37" s="181" t="n">
        <v>56435756</v>
      </c>
      <c r="D37" s="182" t="n">
        <v>56435756</v>
      </c>
      <c r="E37" s="183" t="n">
        <v>56435756</v>
      </c>
      <c r="F37" s="186" t="n">
        <v>56435756</v>
      </c>
      <c r="G37" s="183" t="n">
        <v>38563869</v>
      </c>
      <c r="H37" s="182" t="n">
        <v>38563869</v>
      </c>
      <c r="I37" s="184" t="n">
        <v>38563869</v>
      </c>
      <c r="J37" s="185" t="n">
        <v>38563869</v>
      </c>
      <c r="K37" s="183" t="n">
        <v>38563869</v>
      </c>
      <c r="L37" s="182" t="n">
        <v>38563869</v>
      </c>
      <c r="M37" s="183" t="n">
        <v>38563869</v>
      </c>
      <c r="N37" s="183" t="n">
        <v>38563869</v>
      </c>
      <c r="O37" s="186" t="n">
        <v>38563869</v>
      </c>
      <c r="P37" s="186" t="n">
        <v>40096845</v>
      </c>
      <c r="Q37" s="185" t="n">
        <v>40096845</v>
      </c>
      <c r="R37" s="182" t="n">
        <v>40096845</v>
      </c>
      <c r="S37" s="183" t="n">
        <v>40096845</v>
      </c>
      <c r="T37" s="186" t="n">
        <v>40096845</v>
      </c>
      <c r="U37" s="182" t="n">
        <v>32192715</v>
      </c>
      <c r="V37" s="183" t="n">
        <v>32192715</v>
      </c>
      <c r="W37" s="183" t="n">
        <v>32192715</v>
      </c>
      <c r="X37" s="184" t="n">
        <v>32192715</v>
      </c>
      <c r="Y37" s="185" t="n">
        <v>32192715</v>
      </c>
      <c r="Z37" s="182" t="n">
        <v>32192715</v>
      </c>
      <c r="AA37" s="183" t="n">
        <v>32192715</v>
      </c>
      <c r="AB37" s="186" t="n">
        <v>32192715</v>
      </c>
      <c r="AC37" s="182" t="n">
        <v>38554943</v>
      </c>
      <c r="AD37" s="185" t="n">
        <v>38554943</v>
      </c>
      <c r="AE37" s="182" t="n">
        <v>38554943</v>
      </c>
      <c r="AF37" s="184" t="n">
        <v>38554943</v>
      </c>
      <c r="AG37" s="182" t="n">
        <v>44656032</v>
      </c>
      <c r="AH37" s="182" t="n">
        <v>44656032</v>
      </c>
      <c r="AI37" s="184" t="n">
        <v>44656032</v>
      </c>
      <c r="AJ37" s="185" t="n">
        <v>44656032</v>
      </c>
      <c r="AK37" s="182" t="n">
        <v>44656032</v>
      </c>
      <c r="AL37" s="183" t="n">
        <v>44656032</v>
      </c>
      <c r="AM37" s="186" t="n">
        <v>44656032</v>
      </c>
      <c r="AN37" s="186" t="n">
        <v>33237723</v>
      </c>
      <c r="AO37" s="185" t="n">
        <v>33237723</v>
      </c>
      <c r="AP37" s="182" t="n">
        <v>33237723</v>
      </c>
      <c r="AQ37" s="183" t="n">
        <v>33237723</v>
      </c>
    </row>
    <row r="38" customFormat="false" ht="12.8" hidden="false" customHeight="false" outlineLevel="0" collapsed="false">
      <c r="A38" s="139" t="s">
        <v>183</v>
      </c>
      <c r="B38" s="181" t="n">
        <v>24789414</v>
      </c>
      <c r="C38" s="181" t="n">
        <v>24789414</v>
      </c>
      <c r="D38" s="182" t="n">
        <v>24789414</v>
      </c>
      <c r="E38" s="183" t="n">
        <v>24789414</v>
      </c>
      <c r="F38" s="186" t="n">
        <v>24789414</v>
      </c>
      <c r="G38" s="183" t="n">
        <v>16923121</v>
      </c>
      <c r="H38" s="182" t="n">
        <v>16923121</v>
      </c>
      <c r="I38" s="184" t="n">
        <v>16923121</v>
      </c>
      <c r="J38" s="185" t="n">
        <v>16923121</v>
      </c>
      <c r="K38" s="183" t="n">
        <v>16923121</v>
      </c>
      <c r="L38" s="182" t="n">
        <v>16923121</v>
      </c>
      <c r="M38" s="183" t="n">
        <v>16923121</v>
      </c>
      <c r="N38" s="183" t="n">
        <v>16923121</v>
      </c>
      <c r="O38" s="186" t="n">
        <v>16923121</v>
      </c>
      <c r="P38" s="186" t="n">
        <v>19063073</v>
      </c>
      <c r="Q38" s="185" t="n">
        <v>19063073</v>
      </c>
      <c r="R38" s="182" t="n">
        <v>19063073</v>
      </c>
      <c r="S38" s="183" t="n">
        <v>19063073</v>
      </c>
      <c r="T38" s="186" t="n">
        <v>19063073</v>
      </c>
      <c r="U38" s="182" t="n">
        <v>24750504</v>
      </c>
      <c r="V38" s="183" t="n">
        <v>24750504</v>
      </c>
      <c r="W38" s="183" t="n">
        <v>24750504</v>
      </c>
      <c r="X38" s="184" t="n">
        <v>24750504</v>
      </c>
      <c r="Y38" s="185" t="n">
        <v>24750504</v>
      </c>
      <c r="Z38" s="182" t="n">
        <v>24750504</v>
      </c>
      <c r="AA38" s="183" t="n">
        <v>24750504</v>
      </c>
      <c r="AB38" s="186" t="n">
        <v>24750504</v>
      </c>
      <c r="AC38" s="238" t="n">
        <v>20705252</v>
      </c>
      <c r="AD38" s="182" t="n">
        <v>20705252</v>
      </c>
      <c r="AE38" s="182" t="n">
        <v>20705252</v>
      </c>
      <c r="AF38" s="183" t="n">
        <v>20705252</v>
      </c>
      <c r="AG38" s="186" t="n">
        <v>20705252</v>
      </c>
      <c r="AH38" s="182" t="n">
        <v>17026991</v>
      </c>
      <c r="AI38" s="184" t="n">
        <v>17026991</v>
      </c>
      <c r="AJ38" s="185" t="n">
        <v>17026991</v>
      </c>
      <c r="AK38" s="182" t="n">
        <v>17026991</v>
      </c>
      <c r="AL38" s="183" t="n">
        <v>17026991</v>
      </c>
      <c r="AM38" s="186" t="n">
        <v>17026991</v>
      </c>
      <c r="AN38" s="186" t="n">
        <v>17779170</v>
      </c>
      <c r="AO38" s="185" t="n">
        <v>17779170</v>
      </c>
      <c r="AP38" s="182" t="n">
        <v>17779170</v>
      </c>
      <c r="AQ38" s="183" t="n">
        <v>17779170</v>
      </c>
    </row>
    <row r="39" customFormat="false" ht="12.8" hidden="false" customHeight="false" outlineLevel="0" collapsed="false">
      <c r="A39" s="139" t="s">
        <v>27</v>
      </c>
      <c r="B39" s="181" t="n">
        <v>15451073</v>
      </c>
      <c r="C39" s="181" t="n">
        <v>15451073</v>
      </c>
      <c r="D39" s="237" t="n">
        <v>15451073</v>
      </c>
      <c r="E39" s="183" t="n">
        <v>15451073</v>
      </c>
      <c r="F39" s="186" t="n">
        <v>15451073</v>
      </c>
      <c r="G39" s="183" t="n">
        <v>21781658</v>
      </c>
      <c r="H39" s="237" t="n">
        <v>21781658</v>
      </c>
      <c r="I39" s="184" t="n">
        <v>21781658</v>
      </c>
      <c r="J39" s="237" t="n">
        <v>21781658</v>
      </c>
      <c r="K39" s="183" t="n">
        <v>21781658</v>
      </c>
      <c r="L39" s="237" t="n">
        <v>21781658</v>
      </c>
      <c r="M39" s="183" t="n">
        <v>21781658</v>
      </c>
      <c r="N39" s="183" t="n">
        <v>21781658</v>
      </c>
      <c r="O39" s="186" t="n">
        <v>21781658</v>
      </c>
      <c r="P39" s="238" t="n">
        <v>27523967</v>
      </c>
      <c r="Q39" s="239" t="n">
        <v>27523967</v>
      </c>
      <c r="R39" s="237" t="n">
        <v>27523967</v>
      </c>
      <c r="S39" s="183" t="n">
        <v>27523967</v>
      </c>
      <c r="T39" s="186" t="n">
        <v>27523967</v>
      </c>
      <c r="U39" s="187" t="n">
        <v>6368536</v>
      </c>
      <c r="V39" s="181" t="n">
        <v>6368536</v>
      </c>
      <c r="W39" s="181" t="n">
        <v>6368536</v>
      </c>
      <c r="X39" s="184" t="n">
        <v>6368536</v>
      </c>
      <c r="Y39" s="185" t="n">
        <v>6368536</v>
      </c>
      <c r="Z39" s="182" t="n">
        <v>6368536</v>
      </c>
      <c r="AA39" s="183" t="n">
        <v>6368536</v>
      </c>
      <c r="AB39" s="186" t="n">
        <v>6368536</v>
      </c>
      <c r="AC39" s="182" t="n">
        <v>15952439</v>
      </c>
      <c r="AD39" s="185" t="n">
        <v>15952439</v>
      </c>
      <c r="AE39" s="182" t="n">
        <v>15952439</v>
      </c>
      <c r="AF39" s="183" t="n">
        <v>15952439</v>
      </c>
      <c r="AG39" s="186" t="n">
        <v>15952439</v>
      </c>
      <c r="AH39" s="182" t="n">
        <v>13965869</v>
      </c>
      <c r="AI39" s="184" t="n">
        <v>13965869</v>
      </c>
      <c r="AJ39" s="185" t="n">
        <v>13965869</v>
      </c>
      <c r="AK39" s="182" t="n">
        <v>13965869</v>
      </c>
      <c r="AL39" s="183" t="n">
        <v>13965869</v>
      </c>
      <c r="AM39" s="186" t="n">
        <v>13965869</v>
      </c>
      <c r="AN39" s="186" t="n">
        <v>5098796</v>
      </c>
      <c r="AO39" s="185" t="n">
        <v>5098796</v>
      </c>
      <c r="AP39" s="182" t="n">
        <v>5098796</v>
      </c>
      <c r="AQ39" s="183" t="n">
        <v>5098796</v>
      </c>
    </row>
    <row r="40" customFormat="false" ht="12.8" hidden="false" customHeight="false" outlineLevel="0" collapsed="false">
      <c r="A40" s="139" t="s">
        <v>31</v>
      </c>
      <c r="B40" s="181" t="n">
        <v>3116845</v>
      </c>
      <c r="C40" s="181" t="n">
        <v>3116845</v>
      </c>
      <c r="D40" s="182" t="n">
        <v>3116845</v>
      </c>
      <c r="E40" s="183" t="n">
        <v>3116845</v>
      </c>
      <c r="F40" s="186" t="n">
        <v>3116845</v>
      </c>
      <c r="G40" s="183" t="n">
        <v>8878000</v>
      </c>
      <c r="H40" s="182" t="n">
        <v>8878000</v>
      </c>
      <c r="I40" s="184" t="n">
        <v>8878000</v>
      </c>
      <c r="J40" s="185" t="n">
        <v>8878000</v>
      </c>
      <c r="K40" s="183" t="n">
        <v>8878000</v>
      </c>
      <c r="L40" s="182" t="n">
        <v>8878000</v>
      </c>
      <c r="M40" s="183" t="n">
        <v>8878000</v>
      </c>
      <c r="N40" s="183" t="n">
        <v>8878000</v>
      </c>
      <c r="O40" s="186" t="n">
        <v>8878000</v>
      </c>
      <c r="P40" s="238" t="n">
        <v>6149479</v>
      </c>
      <c r="Q40" s="239" t="n">
        <v>6149479</v>
      </c>
      <c r="R40" s="237" t="n">
        <v>6149479</v>
      </c>
      <c r="S40" s="183" t="n">
        <v>6149479</v>
      </c>
      <c r="T40" s="186" t="n">
        <v>6149479</v>
      </c>
      <c r="U40" s="237" t="n">
        <v>-8464747</v>
      </c>
      <c r="V40" s="183" t="n">
        <v>-8464747</v>
      </c>
      <c r="W40" s="183" t="n">
        <v>-8464747</v>
      </c>
      <c r="X40" s="184" t="n">
        <v>-8464747</v>
      </c>
      <c r="Y40" s="239" t="n">
        <v>-8464747</v>
      </c>
      <c r="Z40" s="237" t="n">
        <v>-8464747</v>
      </c>
      <c r="AA40" s="183" t="n">
        <v>-8464747</v>
      </c>
      <c r="AB40" s="186" t="n">
        <v>-8464747</v>
      </c>
      <c r="AC40" s="182" t="n">
        <v>4273040</v>
      </c>
      <c r="AD40" s="185" t="n">
        <v>4273040</v>
      </c>
      <c r="AE40" s="182" t="n">
        <v>4273040</v>
      </c>
      <c r="AF40" s="183" t="n">
        <v>4273040</v>
      </c>
      <c r="AG40" s="186" t="n">
        <v>4273040</v>
      </c>
      <c r="AH40" s="237" t="n">
        <v>-1628081</v>
      </c>
      <c r="AI40" s="184" t="n">
        <v>-1628081</v>
      </c>
      <c r="AJ40" s="239" t="n">
        <v>-1628081</v>
      </c>
      <c r="AK40" s="237" t="n">
        <v>-1628081</v>
      </c>
      <c r="AL40" s="183" t="n">
        <v>-1628081</v>
      </c>
      <c r="AM40" s="186" t="n">
        <v>-1628081</v>
      </c>
      <c r="AN40" s="186" t="n">
        <v>3304715</v>
      </c>
      <c r="AO40" s="185" t="n">
        <v>3304715</v>
      </c>
      <c r="AP40" s="182" t="n">
        <v>3304715</v>
      </c>
      <c r="AQ40" s="183" t="n">
        <v>3304715</v>
      </c>
    </row>
    <row r="41" customFormat="false" ht="12.8" hidden="false" customHeight="false" outlineLevel="0" collapsed="false">
      <c r="A41" s="139" t="s">
        <v>184</v>
      </c>
      <c r="B41" s="181" t="n">
        <v>2066959</v>
      </c>
      <c r="C41" s="181" t="n">
        <v>2066959</v>
      </c>
      <c r="D41" s="182" t="n">
        <v>2066959</v>
      </c>
      <c r="E41" s="183" t="n">
        <v>2066959</v>
      </c>
      <c r="F41" s="186" t="n">
        <v>2066959</v>
      </c>
      <c r="G41" s="183" t="n">
        <v>747739</v>
      </c>
      <c r="H41" s="182" t="n">
        <v>747739</v>
      </c>
      <c r="I41" s="184" t="n">
        <v>747739</v>
      </c>
      <c r="J41" s="185" t="n">
        <v>747739</v>
      </c>
      <c r="K41" s="183" t="n">
        <v>747739</v>
      </c>
      <c r="L41" s="182" t="n">
        <v>747739</v>
      </c>
      <c r="M41" s="183" t="n">
        <v>747739</v>
      </c>
      <c r="N41" s="183" t="n">
        <v>747739</v>
      </c>
      <c r="O41" s="186" t="n">
        <v>747739</v>
      </c>
      <c r="P41" s="186" t="n">
        <v>2208243</v>
      </c>
      <c r="Q41" s="185" t="n">
        <v>2208243</v>
      </c>
      <c r="R41" s="182" t="n">
        <v>2208243</v>
      </c>
      <c r="S41" s="183" t="n">
        <v>2208243</v>
      </c>
      <c r="T41" s="186" t="n">
        <v>2208243</v>
      </c>
      <c r="U41" s="182" t="n">
        <v>925642</v>
      </c>
      <c r="V41" s="183" t="n">
        <v>925642</v>
      </c>
      <c r="W41" s="183" t="n">
        <v>925642</v>
      </c>
      <c r="X41" s="184" t="n">
        <v>925642</v>
      </c>
      <c r="Y41" s="185" t="n">
        <v>925642</v>
      </c>
      <c r="Z41" s="182" t="n">
        <v>925642</v>
      </c>
      <c r="AA41" s="183" t="n">
        <v>925642</v>
      </c>
      <c r="AB41" s="186" t="n">
        <v>925642</v>
      </c>
      <c r="AC41" s="182" t="n">
        <v>4943658</v>
      </c>
      <c r="AD41" s="185" t="n">
        <v>4943658</v>
      </c>
      <c r="AE41" s="182" t="n">
        <v>4943658</v>
      </c>
      <c r="AF41" s="183" t="n">
        <v>4943658</v>
      </c>
      <c r="AG41" s="186" t="n">
        <v>4943658</v>
      </c>
      <c r="AH41" s="182" t="n">
        <v>1223317</v>
      </c>
      <c r="AI41" s="184" t="n">
        <v>1223317</v>
      </c>
      <c r="AJ41" s="185" t="n">
        <v>1223317</v>
      </c>
      <c r="AK41" s="182" t="n">
        <v>1223317</v>
      </c>
      <c r="AL41" s="183" t="n">
        <v>1223317</v>
      </c>
      <c r="AM41" s="186" t="n">
        <v>1223317</v>
      </c>
      <c r="AN41" s="186" t="n">
        <v>2250211</v>
      </c>
      <c r="AO41" s="185" t="n">
        <v>2250211</v>
      </c>
      <c r="AP41" s="182" t="n">
        <v>2250211</v>
      </c>
      <c r="AQ41" s="183" t="n">
        <v>2250211</v>
      </c>
    </row>
    <row r="42" customFormat="false" ht="12.8" hidden="false" customHeight="false" outlineLevel="0" collapsed="false">
      <c r="A42" s="139" t="s">
        <v>185</v>
      </c>
      <c r="B42" s="181" t="n">
        <v>7748130</v>
      </c>
      <c r="C42" s="181" t="n">
        <v>7748130</v>
      </c>
      <c r="D42" s="182" t="n">
        <v>7748130</v>
      </c>
      <c r="E42" s="183" t="n">
        <v>7748130</v>
      </c>
      <c r="F42" s="186" t="n">
        <v>7748130</v>
      </c>
      <c r="G42" s="183" t="n">
        <v>6087853</v>
      </c>
      <c r="H42" s="182" t="n">
        <v>6087853</v>
      </c>
      <c r="I42" s="184" t="n">
        <v>6087853</v>
      </c>
      <c r="J42" s="185" t="n">
        <v>6087853</v>
      </c>
      <c r="K42" s="183" t="n">
        <v>6087853</v>
      </c>
      <c r="L42" s="182" t="n">
        <v>6087853</v>
      </c>
      <c r="M42" s="183" t="n">
        <v>6087853</v>
      </c>
      <c r="N42" s="183" t="n">
        <v>6087853</v>
      </c>
      <c r="O42" s="186" t="n">
        <v>6087853</v>
      </c>
      <c r="P42" s="186" t="n">
        <v>3547853</v>
      </c>
      <c r="Q42" s="185" t="n">
        <v>3547853</v>
      </c>
      <c r="R42" s="182" t="n">
        <v>3547853</v>
      </c>
      <c r="S42" s="183" t="n">
        <v>3547853</v>
      </c>
      <c r="T42" s="186" t="n">
        <v>3547853</v>
      </c>
      <c r="U42" s="182" t="n">
        <v>6077902</v>
      </c>
      <c r="V42" s="183" t="n">
        <v>6077902</v>
      </c>
      <c r="W42" s="183" t="n">
        <v>6077902</v>
      </c>
      <c r="X42" s="184" t="n">
        <v>6077902</v>
      </c>
      <c r="Y42" s="185" t="n">
        <v>6077902</v>
      </c>
      <c r="Z42" s="182" t="n">
        <v>6077902</v>
      </c>
      <c r="AA42" s="183" t="n">
        <v>6077902</v>
      </c>
      <c r="AB42" s="186" t="n">
        <v>6077902</v>
      </c>
      <c r="AC42" s="182" t="n">
        <v>4120113</v>
      </c>
      <c r="AD42" s="185" t="n">
        <v>4120113</v>
      </c>
      <c r="AE42" s="182" t="n">
        <v>4120113</v>
      </c>
      <c r="AF42" s="183" t="n">
        <v>4120113</v>
      </c>
      <c r="AG42" s="186" t="n">
        <v>4120113</v>
      </c>
      <c r="AH42" s="182" t="n">
        <v>4366991</v>
      </c>
      <c r="AI42" s="184" t="n">
        <v>4366991</v>
      </c>
      <c r="AJ42" s="185" t="n">
        <v>4366991</v>
      </c>
      <c r="AK42" s="182" t="n">
        <v>4366991</v>
      </c>
      <c r="AL42" s="183" t="n">
        <v>4366991</v>
      </c>
      <c r="AM42" s="186" t="n">
        <v>4366991</v>
      </c>
      <c r="AN42" s="186" t="n">
        <v>3937626</v>
      </c>
      <c r="AO42" s="185" t="n">
        <v>3937626</v>
      </c>
      <c r="AP42" s="182" t="n">
        <v>3937626</v>
      </c>
      <c r="AQ42" s="183" t="n">
        <v>3937626</v>
      </c>
    </row>
    <row r="43" customFormat="false" ht="12.8" hidden="false" customHeight="false" outlineLevel="0" collapsed="false">
      <c r="A43" s="139" t="s">
        <v>29</v>
      </c>
      <c r="B43" s="181" t="n">
        <v>4788878</v>
      </c>
      <c r="C43" s="181" t="n">
        <v>4788878</v>
      </c>
      <c r="D43" s="182" t="n">
        <v>4788878</v>
      </c>
      <c r="E43" s="183" t="n">
        <v>4788878</v>
      </c>
      <c r="F43" s="186" t="n">
        <v>4788878</v>
      </c>
      <c r="G43" s="183" t="n">
        <v>1332308</v>
      </c>
      <c r="H43" s="182" t="n">
        <v>1332308</v>
      </c>
      <c r="I43" s="184" t="n">
        <v>1332308</v>
      </c>
      <c r="J43" s="185" t="n">
        <v>1332308</v>
      </c>
      <c r="K43" s="183" t="n">
        <v>1332308</v>
      </c>
      <c r="L43" s="182" t="n">
        <v>1332308</v>
      </c>
      <c r="M43" s="183" t="n">
        <v>1332308</v>
      </c>
      <c r="N43" s="183" t="n">
        <v>1332308</v>
      </c>
      <c r="O43" s="186" t="n">
        <v>1332308</v>
      </c>
      <c r="P43" s="186" t="n">
        <v>2177723</v>
      </c>
      <c r="Q43" s="185" t="n">
        <v>2177723</v>
      </c>
      <c r="R43" s="182" t="n">
        <v>2177723</v>
      </c>
      <c r="S43" s="183" t="n">
        <v>2177723</v>
      </c>
      <c r="T43" s="186" t="n">
        <v>2177723</v>
      </c>
      <c r="U43" s="182" t="n">
        <v>2662016</v>
      </c>
      <c r="V43" s="183" t="n">
        <v>2662016</v>
      </c>
      <c r="W43" s="183" t="n">
        <v>2662016</v>
      </c>
      <c r="X43" s="184" t="n">
        <v>2662016</v>
      </c>
      <c r="Y43" s="185" t="n">
        <v>2662016</v>
      </c>
      <c r="Z43" s="182" t="n">
        <v>2662016</v>
      </c>
      <c r="AA43" s="183" t="n">
        <v>2662016</v>
      </c>
      <c r="AB43" s="186" t="n">
        <v>2662016</v>
      </c>
      <c r="AC43" s="182" t="n">
        <v>2177723</v>
      </c>
      <c r="AD43" s="185" t="n">
        <v>2177723</v>
      </c>
      <c r="AE43" s="182" t="n">
        <v>2177723</v>
      </c>
      <c r="AF43" s="183" t="n">
        <v>2177723</v>
      </c>
      <c r="AG43" s="186" t="n">
        <v>2177723</v>
      </c>
      <c r="AH43" s="237" t="n">
        <v>1625235</v>
      </c>
      <c r="AI43" s="184" t="n">
        <v>1625235</v>
      </c>
      <c r="AJ43" s="239" t="n">
        <v>1625235</v>
      </c>
      <c r="AK43" s="237" t="n">
        <v>1625235</v>
      </c>
      <c r="AL43" s="183" t="n">
        <v>1625235</v>
      </c>
      <c r="AM43" s="186" t="n">
        <v>1625235</v>
      </c>
      <c r="AN43" s="186" t="n">
        <v>2100065</v>
      </c>
      <c r="AO43" s="185" t="n">
        <v>2100065</v>
      </c>
      <c r="AP43" s="182" t="n">
        <v>2100065</v>
      </c>
      <c r="AQ43" s="183" t="n">
        <v>2100065</v>
      </c>
    </row>
    <row r="44" customFormat="false" ht="12.8" hidden="false" customHeight="false" outlineLevel="0" collapsed="false">
      <c r="A44" s="139" t="s">
        <v>186</v>
      </c>
      <c r="B44" s="181" t="n">
        <v>1567382</v>
      </c>
      <c r="C44" s="181" t="n">
        <v>1567382</v>
      </c>
      <c r="D44" s="182" t="n">
        <v>1567382</v>
      </c>
      <c r="E44" s="183" t="n">
        <v>1567382</v>
      </c>
      <c r="F44" s="182" t="n">
        <v>1567382</v>
      </c>
      <c r="G44" s="184" t="n">
        <v>1567382</v>
      </c>
      <c r="H44" s="182" t="n">
        <v>502065</v>
      </c>
      <c r="I44" s="184" t="n">
        <v>502065</v>
      </c>
      <c r="J44" s="185" t="n">
        <v>502065</v>
      </c>
      <c r="K44" s="183" t="n">
        <v>502065</v>
      </c>
      <c r="L44" s="182" t="n">
        <v>502065</v>
      </c>
      <c r="M44" s="183" t="n">
        <v>502065</v>
      </c>
      <c r="N44" s="183" t="n">
        <v>502065</v>
      </c>
      <c r="O44" s="186" t="n">
        <v>502065</v>
      </c>
      <c r="P44" s="186" t="n">
        <v>357609</v>
      </c>
      <c r="Q44" s="185" t="n">
        <v>357609</v>
      </c>
      <c r="R44" s="182" t="n">
        <v>357609</v>
      </c>
      <c r="S44" s="183" t="n">
        <v>357609</v>
      </c>
      <c r="T44" s="186" t="n">
        <v>357609</v>
      </c>
      <c r="U44" s="237" t="n">
        <v>-575544</v>
      </c>
      <c r="V44" s="183" t="n">
        <v>-575544</v>
      </c>
      <c r="W44" s="183" t="n">
        <v>-575544</v>
      </c>
      <c r="X44" s="184" t="n">
        <v>-575544</v>
      </c>
      <c r="Y44" s="239" t="n">
        <v>-575544</v>
      </c>
      <c r="Z44" s="237" t="n">
        <v>-575544</v>
      </c>
      <c r="AA44" s="183" t="n">
        <v>-575544</v>
      </c>
      <c r="AB44" s="186" t="n">
        <v>-575544</v>
      </c>
      <c r="AC44" s="182" t="n">
        <v>1725333</v>
      </c>
      <c r="AD44" s="185" t="n">
        <v>1725333</v>
      </c>
      <c r="AE44" s="182" t="n">
        <v>1725333</v>
      </c>
      <c r="AF44" s="183" t="n">
        <v>1725333</v>
      </c>
      <c r="AG44" s="186" t="n">
        <v>1725333</v>
      </c>
      <c r="AH44" s="182" t="n">
        <v>1822178</v>
      </c>
      <c r="AI44" s="184" t="n">
        <v>1822178</v>
      </c>
      <c r="AJ44" s="185" t="n">
        <v>1822178</v>
      </c>
      <c r="AK44" s="182" t="n">
        <v>1822178</v>
      </c>
      <c r="AL44" s="183" t="n">
        <v>1822178</v>
      </c>
      <c r="AM44" s="186" t="n">
        <v>1822178</v>
      </c>
      <c r="AN44" s="186" t="n">
        <v>1787772</v>
      </c>
      <c r="AO44" s="185" t="n">
        <v>1787772</v>
      </c>
      <c r="AP44" s="182" t="n">
        <v>1787772</v>
      </c>
      <c r="AQ44" s="183" t="n">
        <v>1787772</v>
      </c>
    </row>
    <row r="45" customFormat="false" ht="12.8" hidden="false" customHeight="false" outlineLevel="0" collapsed="false">
      <c r="A45" s="139" t="s">
        <v>187</v>
      </c>
      <c r="B45" s="181" t="n">
        <v>5781333</v>
      </c>
      <c r="C45" s="181" t="n">
        <v>5781333</v>
      </c>
      <c r="D45" s="182" t="n">
        <v>5781333</v>
      </c>
      <c r="E45" s="183" t="n">
        <v>5781333</v>
      </c>
      <c r="F45" s="186" t="n">
        <v>5781333</v>
      </c>
      <c r="G45" s="183" t="n">
        <v>17516032</v>
      </c>
      <c r="H45" s="182" t="n">
        <v>17516032</v>
      </c>
      <c r="I45" s="184" t="n">
        <v>17516032</v>
      </c>
      <c r="J45" s="185" t="n">
        <v>17516032</v>
      </c>
      <c r="K45" s="183" t="n">
        <v>17516032</v>
      </c>
      <c r="L45" s="182" t="n">
        <v>17516032</v>
      </c>
      <c r="M45" s="183" t="n">
        <v>17516032</v>
      </c>
      <c r="N45" s="183" t="n">
        <v>17516032</v>
      </c>
      <c r="O45" s="186" t="n">
        <v>17516032</v>
      </c>
      <c r="P45" s="186" t="n">
        <v>13811170</v>
      </c>
      <c r="Q45" s="185" t="n">
        <v>13811170</v>
      </c>
      <c r="R45" s="182" t="n">
        <v>13811170</v>
      </c>
      <c r="S45" s="183" t="n">
        <v>13811170</v>
      </c>
      <c r="T45" s="186" t="n">
        <v>13811170</v>
      </c>
      <c r="U45" s="182" t="n">
        <v>1338926</v>
      </c>
      <c r="V45" s="183" t="n">
        <v>1338926</v>
      </c>
      <c r="W45" s="183" t="n">
        <v>1338926</v>
      </c>
      <c r="X45" s="184" t="n">
        <v>1338926</v>
      </c>
      <c r="Y45" s="185" t="n">
        <v>1338926</v>
      </c>
      <c r="Z45" s="182" t="n">
        <v>1338926</v>
      </c>
      <c r="AA45" s="183" t="n">
        <v>1338926</v>
      </c>
      <c r="AB45" s="186" t="n">
        <v>1338926</v>
      </c>
      <c r="AC45" s="182" t="n">
        <v>261983</v>
      </c>
      <c r="AD45" s="185" t="n">
        <v>261983</v>
      </c>
      <c r="AE45" s="182" t="n">
        <v>261983</v>
      </c>
      <c r="AF45" s="184" t="n">
        <v>261983</v>
      </c>
      <c r="AG45" s="182" t="n">
        <v>70000</v>
      </c>
      <c r="AH45" s="182" t="n">
        <v>70000</v>
      </c>
      <c r="AI45" s="184" t="n">
        <v>70000</v>
      </c>
      <c r="AJ45" s="185" t="n">
        <v>70000</v>
      </c>
      <c r="AK45" s="182" t="n">
        <v>70000</v>
      </c>
      <c r="AL45" s="184" t="n">
        <v>70000</v>
      </c>
      <c r="AM45" s="182" t="n">
        <v>239609</v>
      </c>
      <c r="AN45" s="186" t="n">
        <v>239609</v>
      </c>
      <c r="AO45" s="185" t="n">
        <v>239609</v>
      </c>
      <c r="AP45" s="182" t="n">
        <v>239609</v>
      </c>
      <c r="AQ45" s="183" t="n">
        <v>239609</v>
      </c>
    </row>
    <row r="46" customFormat="false" ht="12.8" hidden="false" customHeight="false" outlineLevel="0" collapsed="false">
      <c r="A46" s="139" t="s">
        <v>188</v>
      </c>
      <c r="B46" s="181" t="n">
        <v>4378065</v>
      </c>
      <c r="C46" s="181" t="n">
        <v>4378065</v>
      </c>
      <c r="D46" s="182" t="n">
        <v>4378065</v>
      </c>
      <c r="E46" s="183" t="n">
        <v>4378065</v>
      </c>
      <c r="F46" s="186" t="n">
        <v>4378065</v>
      </c>
      <c r="G46" s="183" t="n">
        <v>3133772</v>
      </c>
      <c r="H46" s="182" t="n">
        <v>3133772</v>
      </c>
      <c r="I46" s="184" t="n">
        <v>3133772</v>
      </c>
      <c r="J46" s="185" t="n">
        <v>3133772</v>
      </c>
      <c r="K46" s="183" t="n">
        <v>3133772</v>
      </c>
      <c r="L46" s="182" t="n">
        <v>3133772</v>
      </c>
      <c r="M46" s="183" t="n">
        <v>3133772</v>
      </c>
      <c r="N46" s="183" t="n">
        <v>3133772</v>
      </c>
      <c r="O46" s="186" t="n">
        <v>3133772</v>
      </c>
      <c r="P46" s="186" t="n">
        <v>2224471</v>
      </c>
      <c r="Q46" s="185" t="n">
        <v>2224471</v>
      </c>
      <c r="R46" s="182" t="n">
        <v>2224471</v>
      </c>
      <c r="S46" s="183" t="n">
        <v>2224471</v>
      </c>
      <c r="T46" s="186" t="n">
        <v>2224471</v>
      </c>
      <c r="U46" s="182" t="n">
        <v>950699</v>
      </c>
      <c r="V46" s="183" t="n">
        <v>950699</v>
      </c>
      <c r="W46" s="183" t="n">
        <v>950699</v>
      </c>
      <c r="X46" s="184" t="n">
        <v>950699</v>
      </c>
      <c r="Y46" s="185" t="n">
        <v>950699</v>
      </c>
      <c r="Z46" s="182" t="n">
        <v>950699</v>
      </c>
      <c r="AA46" s="183" t="n">
        <v>950699</v>
      </c>
      <c r="AB46" s="186" t="n">
        <v>950699</v>
      </c>
      <c r="AC46" s="182" t="n">
        <v>2033707</v>
      </c>
      <c r="AD46" s="185" t="n">
        <v>2033707</v>
      </c>
      <c r="AE46" s="182" t="n">
        <v>2033707</v>
      </c>
      <c r="AF46" s="184" t="n">
        <v>2033707</v>
      </c>
      <c r="AG46" s="182" t="n">
        <v>2174991</v>
      </c>
      <c r="AH46" s="182" t="n">
        <v>2174991</v>
      </c>
      <c r="AI46" s="184" t="n">
        <v>2174991</v>
      </c>
      <c r="AJ46" s="185" t="n">
        <v>2174991</v>
      </c>
      <c r="AK46" s="237" t="n">
        <v>2174991</v>
      </c>
      <c r="AL46" s="184" t="n">
        <v>2174991</v>
      </c>
      <c r="AM46" s="182" t="n">
        <v>2323333</v>
      </c>
      <c r="AN46" s="186" t="n">
        <v>2323333</v>
      </c>
      <c r="AO46" s="185" t="n">
        <v>2323333</v>
      </c>
      <c r="AP46" s="182" t="n">
        <v>2323333</v>
      </c>
      <c r="AQ46" s="183" t="n">
        <v>2323333</v>
      </c>
    </row>
    <row r="47" customFormat="false" ht="12.8" hidden="false" customHeight="false" outlineLevel="0" collapsed="false">
      <c r="A47" s="139" t="s">
        <v>189</v>
      </c>
      <c r="B47" s="181" t="n">
        <v>1710617</v>
      </c>
      <c r="C47" s="181" t="n">
        <v>1710617</v>
      </c>
      <c r="D47" s="182" t="n">
        <v>1710617</v>
      </c>
      <c r="E47" s="183" t="n">
        <v>1710617</v>
      </c>
      <c r="F47" s="182" t="n">
        <v>1710617</v>
      </c>
      <c r="G47" s="183" t="n">
        <v>1710617</v>
      </c>
      <c r="H47" s="186" t="n">
        <v>1710617</v>
      </c>
      <c r="I47" s="184" t="n">
        <v>989512</v>
      </c>
      <c r="J47" s="185" t="n">
        <v>989512</v>
      </c>
      <c r="K47" s="183" t="n">
        <v>989512</v>
      </c>
      <c r="L47" s="182" t="n">
        <v>989512</v>
      </c>
      <c r="M47" s="183" t="n">
        <v>989512</v>
      </c>
      <c r="N47" s="183" t="n">
        <v>989512</v>
      </c>
      <c r="O47" s="182" t="n">
        <v>989512</v>
      </c>
      <c r="P47" s="186" t="n">
        <v>989512</v>
      </c>
      <c r="Q47" s="185" t="n">
        <v>725268</v>
      </c>
      <c r="R47" s="182" t="n">
        <v>725268</v>
      </c>
      <c r="S47" s="183" t="n">
        <v>725268</v>
      </c>
      <c r="T47" s="182" t="n">
        <v>725268</v>
      </c>
      <c r="U47" s="186" t="n">
        <v>725268</v>
      </c>
      <c r="V47" s="183" t="n">
        <v>1473658</v>
      </c>
      <c r="W47" s="183" t="n">
        <v>1473658</v>
      </c>
      <c r="X47" s="184" t="n">
        <v>1473658</v>
      </c>
      <c r="Y47" s="185" t="n">
        <v>1473658</v>
      </c>
      <c r="Z47" s="182" t="n">
        <v>1473658</v>
      </c>
      <c r="AA47" s="183" t="n">
        <v>1473658</v>
      </c>
      <c r="AB47" s="182" t="n">
        <v>1473658</v>
      </c>
      <c r="AC47" s="182" t="n">
        <v>1473658</v>
      </c>
      <c r="AD47" s="185" t="n">
        <v>1762097</v>
      </c>
      <c r="AE47" s="182" t="n">
        <v>1762097</v>
      </c>
      <c r="AF47" s="183" t="n">
        <v>1762097</v>
      </c>
      <c r="AG47" s="182" t="n">
        <v>1762097</v>
      </c>
      <c r="AH47" s="182" t="n">
        <v>1762097</v>
      </c>
      <c r="AI47" s="184" t="n">
        <v>1762097</v>
      </c>
      <c r="AJ47" s="185" t="n">
        <v>1646764</v>
      </c>
      <c r="AK47" s="182" t="n">
        <v>1646764</v>
      </c>
      <c r="AL47" s="183" t="n">
        <v>1646764</v>
      </c>
      <c r="AM47" s="182" t="n">
        <v>1646764</v>
      </c>
      <c r="AN47" s="186" t="n">
        <v>1646764</v>
      </c>
      <c r="AO47" s="185" t="n">
        <v>1628097</v>
      </c>
      <c r="AP47" s="182" t="n">
        <v>1628097</v>
      </c>
      <c r="AQ47" s="183" t="n">
        <v>1628097</v>
      </c>
    </row>
    <row r="48" customFormat="false" ht="12.8" hidden="false" customHeight="false" outlineLevel="0" collapsed="false">
      <c r="A48" s="139" t="s">
        <v>190</v>
      </c>
      <c r="B48" s="181" t="n">
        <v>1985902</v>
      </c>
      <c r="C48" s="181" t="n">
        <v>1985902</v>
      </c>
      <c r="D48" s="182" t="n">
        <v>1985902</v>
      </c>
      <c r="E48" s="183" t="n">
        <v>1985902</v>
      </c>
      <c r="F48" s="186" t="n">
        <v>1985902</v>
      </c>
      <c r="G48" s="183" t="n">
        <v>1255479</v>
      </c>
      <c r="H48" s="237" t="n">
        <v>1255479</v>
      </c>
      <c r="I48" s="184" t="n">
        <v>1255479</v>
      </c>
      <c r="J48" s="239" t="n">
        <v>1255479</v>
      </c>
      <c r="K48" s="183" t="n">
        <v>1255479</v>
      </c>
      <c r="L48" s="237" t="n">
        <v>1255479</v>
      </c>
      <c r="M48" s="183" t="n">
        <v>1255479</v>
      </c>
      <c r="N48" s="183" t="n">
        <v>1255479</v>
      </c>
      <c r="O48" s="186" t="n">
        <v>1255479</v>
      </c>
      <c r="P48" s="186" t="n">
        <v>1507284</v>
      </c>
      <c r="Q48" s="185" t="n">
        <v>1507284</v>
      </c>
      <c r="R48" s="182" t="n">
        <v>1507284</v>
      </c>
      <c r="S48" s="183" t="n">
        <v>1507284</v>
      </c>
      <c r="T48" s="186" t="n">
        <v>1507284</v>
      </c>
      <c r="U48" s="182" t="n">
        <v>1338617</v>
      </c>
      <c r="V48" s="183" t="n">
        <v>1338617</v>
      </c>
      <c r="W48" s="183" t="n">
        <v>1338617</v>
      </c>
      <c r="X48" s="184" t="n">
        <v>1338617</v>
      </c>
      <c r="Y48" s="185" t="n">
        <v>1338617</v>
      </c>
      <c r="Z48" s="182" t="n">
        <v>1338617</v>
      </c>
      <c r="AA48" s="183" t="n">
        <v>1338617</v>
      </c>
      <c r="AB48" s="186" t="n">
        <v>1338617</v>
      </c>
      <c r="AC48" s="237" t="n">
        <v>325560</v>
      </c>
      <c r="AD48" s="185" t="n">
        <v>325560</v>
      </c>
      <c r="AE48" s="182" t="n">
        <v>325560</v>
      </c>
      <c r="AF48" s="183" t="n">
        <v>325560</v>
      </c>
      <c r="AG48" s="186" t="n">
        <v>325560</v>
      </c>
      <c r="AH48" s="182" t="n">
        <v>1753642</v>
      </c>
      <c r="AI48" s="184" t="n">
        <v>1753642</v>
      </c>
      <c r="AJ48" s="185" t="n">
        <v>1753642</v>
      </c>
      <c r="AK48" s="182" t="n">
        <v>1753642</v>
      </c>
      <c r="AL48" s="183" t="n">
        <v>1753642</v>
      </c>
      <c r="AM48" s="186" t="n">
        <v>1753642</v>
      </c>
      <c r="AN48" s="186" t="n">
        <v>2903967</v>
      </c>
      <c r="AO48" s="185" t="n">
        <v>2903967</v>
      </c>
      <c r="AP48" s="182" t="n">
        <v>2903967</v>
      </c>
      <c r="AQ48" s="183" t="n">
        <v>2903967</v>
      </c>
    </row>
    <row r="49" customFormat="false" ht="12.8" hidden="false" customHeight="false" outlineLevel="0" collapsed="false">
      <c r="A49" s="139" t="s">
        <v>26</v>
      </c>
      <c r="B49" s="181" t="n">
        <v>-3086471</v>
      </c>
      <c r="C49" s="181" t="n">
        <v>-3086471</v>
      </c>
      <c r="D49" s="237" t="n">
        <v>-3086471</v>
      </c>
      <c r="E49" s="183" t="n">
        <v>-3086471</v>
      </c>
      <c r="F49" s="186" t="n">
        <v>-3086471</v>
      </c>
      <c r="G49" s="183" t="n">
        <v>486910</v>
      </c>
      <c r="H49" s="182" t="n">
        <v>486910</v>
      </c>
      <c r="I49" s="184" t="n">
        <v>486910</v>
      </c>
      <c r="J49" s="185" t="n">
        <v>486910</v>
      </c>
      <c r="K49" s="183" t="n">
        <v>486910</v>
      </c>
      <c r="L49" s="182" t="n">
        <v>486910</v>
      </c>
      <c r="M49" s="183" t="n">
        <v>486910</v>
      </c>
      <c r="N49" s="183" t="n">
        <v>486910</v>
      </c>
      <c r="O49" s="186" t="n">
        <v>486910</v>
      </c>
      <c r="P49" s="186" t="n">
        <v>5611447</v>
      </c>
      <c r="Q49" s="185" t="n">
        <v>5611447</v>
      </c>
      <c r="R49" s="182" t="n">
        <v>5611447</v>
      </c>
      <c r="S49" s="183" t="n">
        <v>5611447</v>
      </c>
      <c r="T49" s="186" t="n">
        <v>5611447</v>
      </c>
      <c r="U49" s="182" t="n">
        <v>1324308</v>
      </c>
      <c r="V49" s="183" t="n">
        <v>1324308</v>
      </c>
      <c r="W49" s="183" t="n">
        <v>1324308</v>
      </c>
      <c r="X49" s="184" t="n">
        <v>1324308</v>
      </c>
      <c r="Y49" s="185" t="n">
        <v>1324308</v>
      </c>
      <c r="Z49" s="182" t="n">
        <v>1324308</v>
      </c>
      <c r="AA49" s="183" t="n">
        <v>1324308</v>
      </c>
      <c r="AB49" s="186" t="n">
        <v>1324308</v>
      </c>
      <c r="AC49" s="182" t="n">
        <v>275902</v>
      </c>
      <c r="AD49" s="185" t="n">
        <v>275902</v>
      </c>
      <c r="AE49" s="182" t="n">
        <v>275902</v>
      </c>
      <c r="AF49" s="183" t="n">
        <v>275902</v>
      </c>
      <c r="AG49" s="186" t="n">
        <v>275902</v>
      </c>
      <c r="AH49" s="182" t="n">
        <v>559837</v>
      </c>
      <c r="AI49" s="184" t="n">
        <v>559837</v>
      </c>
      <c r="AJ49" s="185" t="n">
        <v>559837</v>
      </c>
      <c r="AK49" s="182" t="n">
        <v>559837</v>
      </c>
      <c r="AL49" s="183" t="n">
        <v>559837</v>
      </c>
      <c r="AM49" s="186" t="n">
        <v>559837</v>
      </c>
      <c r="AN49" s="186" t="n">
        <v>699398</v>
      </c>
      <c r="AO49" s="185" t="n">
        <v>699398</v>
      </c>
      <c r="AP49" s="182" t="n">
        <v>699398</v>
      </c>
      <c r="AQ49" s="183" t="n">
        <v>699398</v>
      </c>
    </row>
    <row r="50" customFormat="false" ht="12.8" hidden="false" customHeight="false" outlineLevel="0" collapsed="false">
      <c r="A50" s="139" t="s">
        <v>191</v>
      </c>
      <c r="B50" s="181" t="n">
        <v>737277</v>
      </c>
      <c r="C50" s="181" t="n">
        <v>737277</v>
      </c>
      <c r="D50" s="182" t="n">
        <v>737277</v>
      </c>
      <c r="E50" s="183" t="n">
        <v>737277</v>
      </c>
      <c r="F50" s="182" t="n">
        <v>737277</v>
      </c>
      <c r="G50" s="183" t="n">
        <v>737277</v>
      </c>
      <c r="H50" s="182" t="n">
        <v>737277</v>
      </c>
      <c r="I50" s="184" t="n">
        <v>737277</v>
      </c>
      <c r="J50" s="185" t="n">
        <v>1087076</v>
      </c>
      <c r="K50" s="183" t="n">
        <v>1087076</v>
      </c>
      <c r="L50" s="182" t="n">
        <v>1087076</v>
      </c>
      <c r="M50" s="183" t="n">
        <v>1087076</v>
      </c>
      <c r="N50" s="183" t="n">
        <v>1087076</v>
      </c>
      <c r="O50" s="182" t="n">
        <v>1087076</v>
      </c>
      <c r="P50" s="186" t="n">
        <v>1087076</v>
      </c>
      <c r="Q50" s="239" t="n">
        <v>1016587</v>
      </c>
      <c r="R50" s="237" t="n">
        <v>1016587</v>
      </c>
      <c r="S50" s="183" t="n">
        <v>1016587</v>
      </c>
      <c r="T50" s="237" t="n">
        <v>1016587</v>
      </c>
      <c r="U50" s="237" t="n">
        <v>1016587</v>
      </c>
      <c r="V50" s="184" t="n">
        <v>1016587</v>
      </c>
      <c r="W50" s="183" t="n">
        <v>397550.7</v>
      </c>
      <c r="X50" s="184" t="n">
        <v>397550.7</v>
      </c>
      <c r="Y50" s="239" t="n">
        <v>397550.7</v>
      </c>
      <c r="Z50" s="237" t="n">
        <v>397550.7</v>
      </c>
      <c r="AA50" s="183" t="n">
        <v>397550.7</v>
      </c>
      <c r="AB50" s="237" t="n">
        <v>397550.7</v>
      </c>
      <c r="AC50" s="238" t="n">
        <v>397550.7</v>
      </c>
      <c r="AD50" s="185" t="n">
        <v>694832</v>
      </c>
      <c r="AE50" s="182" t="n">
        <v>694832</v>
      </c>
      <c r="AF50" s="183" t="n">
        <v>694832</v>
      </c>
      <c r="AG50" s="186" t="n">
        <v>694832</v>
      </c>
      <c r="AH50" s="237" t="n">
        <v>-78032</v>
      </c>
      <c r="AI50" s="184" t="n">
        <v>-78032</v>
      </c>
      <c r="AJ50" s="239" t="n">
        <v>-78032</v>
      </c>
      <c r="AK50" s="182" t="n">
        <v>-78032</v>
      </c>
      <c r="AL50" s="183" t="n">
        <v>-78032</v>
      </c>
      <c r="AM50" s="186" t="n">
        <v>-78032</v>
      </c>
      <c r="AN50" s="238" t="n">
        <v>-53512</v>
      </c>
      <c r="AO50" s="239" t="n">
        <v>-53512</v>
      </c>
      <c r="AP50" s="182" t="n">
        <v>-53512</v>
      </c>
      <c r="AQ50" s="183" t="n">
        <v>-53512</v>
      </c>
    </row>
    <row r="51" customFormat="false" ht="12.8" hidden="false" customHeight="false" outlineLevel="0" collapsed="false">
      <c r="A51" s="139" t="s">
        <v>192</v>
      </c>
      <c r="B51" s="181" t="n">
        <v>2363723</v>
      </c>
      <c r="C51" s="181" t="n">
        <v>2363723</v>
      </c>
      <c r="D51" s="182" t="n">
        <v>2363723</v>
      </c>
      <c r="E51" s="183" t="n">
        <v>2363723</v>
      </c>
      <c r="F51" s="186" t="n">
        <v>2363723</v>
      </c>
      <c r="G51" s="183" t="n">
        <v>1471723</v>
      </c>
      <c r="H51" s="182" t="n">
        <v>1471723</v>
      </c>
      <c r="I51" s="184" t="n">
        <v>1471723</v>
      </c>
      <c r="J51" s="185" t="n">
        <v>1471723</v>
      </c>
      <c r="K51" s="183" t="n">
        <v>1471723</v>
      </c>
      <c r="L51" s="182" t="n">
        <v>1471723</v>
      </c>
      <c r="M51" s="183" t="n">
        <v>1471723</v>
      </c>
      <c r="N51" s="183" t="n">
        <v>1471723</v>
      </c>
      <c r="O51" s="186" t="n">
        <v>1471723</v>
      </c>
      <c r="P51" s="186" t="n">
        <v>1234373</v>
      </c>
      <c r="Q51" s="185" t="n">
        <v>1234373</v>
      </c>
      <c r="R51" s="182" t="n">
        <v>1234373</v>
      </c>
      <c r="S51" s="183" t="n">
        <v>1234373</v>
      </c>
      <c r="T51" s="186" t="n">
        <v>1234373</v>
      </c>
      <c r="U51" s="182" t="n">
        <v>113577</v>
      </c>
      <c r="V51" s="183" t="n">
        <v>113577</v>
      </c>
      <c r="W51" s="183" t="n">
        <v>113577</v>
      </c>
      <c r="X51" s="184" t="n">
        <v>113577</v>
      </c>
      <c r="Y51" s="185" t="n">
        <v>113577</v>
      </c>
      <c r="Z51" s="182" t="n">
        <v>113577</v>
      </c>
      <c r="AA51" s="183" t="n">
        <v>113577</v>
      </c>
      <c r="AB51" s="186" t="n">
        <v>113577</v>
      </c>
      <c r="AC51" s="182" t="n">
        <v>288308</v>
      </c>
      <c r="AD51" s="185" t="n">
        <v>288308</v>
      </c>
      <c r="AE51" s="182" t="n">
        <v>288308</v>
      </c>
      <c r="AF51" s="183" t="n">
        <v>288308</v>
      </c>
      <c r="AG51" s="186" t="n">
        <v>288308</v>
      </c>
      <c r="AH51" s="182" t="n">
        <v>459723</v>
      </c>
      <c r="AI51" s="184" t="n">
        <v>459723</v>
      </c>
      <c r="AJ51" s="185" t="n">
        <v>459723</v>
      </c>
      <c r="AK51" s="182" t="n">
        <v>459723</v>
      </c>
      <c r="AL51" s="183" t="n">
        <v>459723</v>
      </c>
      <c r="AM51" s="186" t="n">
        <v>459723</v>
      </c>
      <c r="AN51" s="186" t="n">
        <v>1310666</v>
      </c>
      <c r="AO51" s="185" t="n">
        <v>1310666</v>
      </c>
      <c r="AP51" s="182" t="n">
        <v>1310666</v>
      </c>
      <c r="AQ51" s="183" t="n">
        <v>1310666</v>
      </c>
    </row>
    <row r="52" customFormat="false" ht="12.8" hidden="false" customHeight="false" outlineLevel="0" collapsed="false">
      <c r="A52" s="139" t="s">
        <v>193</v>
      </c>
      <c r="B52" s="181" t="n">
        <v>603349</v>
      </c>
      <c r="C52" s="181" t="n">
        <v>603349</v>
      </c>
      <c r="D52" s="182" t="n">
        <v>603349</v>
      </c>
      <c r="E52" s="183" t="n">
        <v>603349</v>
      </c>
      <c r="F52" s="186" t="n">
        <v>603349</v>
      </c>
      <c r="G52" s="183" t="n">
        <v>650959</v>
      </c>
      <c r="H52" s="182" t="n">
        <v>650959</v>
      </c>
      <c r="I52" s="184" t="n">
        <v>650959</v>
      </c>
      <c r="J52" s="185" t="n">
        <v>650959</v>
      </c>
      <c r="K52" s="183" t="n">
        <v>650959</v>
      </c>
      <c r="L52" s="182" t="n">
        <v>650959</v>
      </c>
      <c r="M52" s="183" t="n">
        <v>650959</v>
      </c>
      <c r="N52" s="183" t="n">
        <v>650959</v>
      </c>
      <c r="O52" s="186" t="n">
        <v>650959</v>
      </c>
      <c r="P52" s="186" t="n">
        <v>894552</v>
      </c>
      <c r="Q52" s="185" t="n">
        <v>894552</v>
      </c>
      <c r="R52" s="182" t="n">
        <v>894552</v>
      </c>
      <c r="S52" s="183" t="n">
        <v>894552</v>
      </c>
      <c r="T52" s="186" t="n">
        <v>894552</v>
      </c>
      <c r="U52" s="182" t="n">
        <v>887317</v>
      </c>
      <c r="V52" s="183" t="n">
        <v>887317</v>
      </c>
      <c r="W52" s="183" t="n">
        <v>887317</v>
      </c>
      <c r="X52" s="184" t="n">
        <v>887317</v>
      </c>
      <c r="Y52" s="185" t="n">
        <v>887317</v>
      </c>
      <c r="Z52" s="182" t="n">
        <v>887317</v>
      </c>
      <c r="AA52" s="183" t="n">
        <v>887317</v>
      </c>
      <c r="AB52" s="186" t="n">
        <v>887317</v>
      </c>
      <c r="AC52" s="182" t="n">
        <v>1379560</v>
      </c>
      <c r="AD52" s="185" t="n">
        <v>1379560</v>
      </c>
      <c r="AE52" s="182" t="n">
        <v>1379560</v>
      </c>
      <c r="AF52" s="183" t="n">
        <v>1379560</v>
      </c>
      <c r="AG52" s="186" t="n">
        <v>1379560</v>
      </c>
      <c r="AH52" s="182" t="n">
        <v>1406325</v>
      </c>
      <c r="AI52" s="184" t="n">
        <v>1406325</v>
      </c>
      <c r="AJ52" s="185" t="n">
        <v>1406325</v>
      </c>
      <c r="AK52" s="182" t="n">
        <v>1406325</v>
      </c>
      <c r="AL52" s="183" t="n">
        <v>1406325</v>
      </c>
      <c r="AM52" s="186" t="n">
        <v>1406325</v>
      </c>
      <c r="AN52" s="186" t="n">
        <v>1556162</v>
      </c>
      <c r="AO52" s="185" t="n">
        <v>1556162</v>
      </c>
      <c r="AP52" s="182" t="n">
        <v>1556162</v>
      </c>
      <c r="AQ52" s="183" t="n">
        <v>1556162</v>
      </c>
    </row>
    <row r="53" customFormat="false" ht="12.8" hidden="false" customHeight="false" outlineLevel="0" collapsed="false">
      <c r="A53" s="139" t="s">
        <v>194</v>
      </c>
      <c r="B53" s="181" t="n">
        <v>597804</v>
      </c>
      <c r="C53" s="181" t="n">
        <v>597804</v>
      </c>
      <c r="D53" s="182" t="n">
        <v>597804</v>
      </c>
      <c r="E53" s="184" t="n">
        <v>597804</v>
      </c>
      <c r="F53" s="186" t="n">
        <v>735674</v>
      </c>
      <c r="G53" s="183" t="n">
        <v>735674</v>
      </c>
      <c r="H53" s="182" t="n">
        <v>735674</v>
      </c>
      <c r="I53" s="184" t="n">
        <v>735674</v>
      </c>
      <c r="J53" s="185" t="n">
        <v>735674</v>
      </c>
      <c r="K53" s="183" t="n">
        <v>735674</v>
      </c>
      <c r="L53" s="182" t="n">
        <v>735674</v>
      </c>
      <c r="M53" s="183" t="n">
        <v>735674</v>
      </c>
      <c r="N53" s="183" t="n">
        <v>735674</v>
      </c>
      <c r="O53" s="186" t="n">
        <v>735674</v>
      </c>
      <c r="P53" s="186" t="n">
        <v>1037252</v>
      </c>
      <c r="Q53" s="185" t="n">
        <v>1037252</v>
      </c>
      <c r="R53" s="182" t="n">
        <v>1037252</v>
      </c>
      <c r="S53" s="183" t="n">
        <v>1037252</v>
      </c>
      <c r="T53" s="186" t="n">
        <v>1037252</v>
      </c>
      <c r="U53" s="182" t="n">
        <v>1313154</v>
      </c>
      <c r="V53" s="183" t="n">
        <v>1313154</v>
      </c>
      <c r="W53" s="183" t="n">
        <v>1313154</v>
      </c>
      <c r="X53" s="184" t="n">
        <v>1313154</v>
      </c>
      <c r="Y53" s="185" t="n">
        <v>1313154</v>
      </c>
      <c r="Z53" s="182" t="n">
        <v>1313154</v>
      </c>
      <c r="AA53" s="183" t="n">
        <v>1313154</v>
      </c>
      <c r="AB53" s="240" t="n">
        <v>1313154</v>
      </c>
      <c r="AC53" s="182" t="n">
        <v>1485788</v>
      </c>
      <c r="AD53" s="185" t="n">
        <v>1485788</v>
      </c>
      <c r="AE53" s="182" t="n">
        <v>1485788</v>
      </c>
      <c r="AF53" s="183" t="n">
        <v>1485788</v>
      </c>
      <c r="AG53" s="186" t="n">
        <v>1485788</v>
      </c>
      <c r="AH53" s="182" t="n">
        <v>1728471</v>
      </c>
      <c r="AI53" s="184" t="n">
        <v>1728471</v>
      </c>
      <c r="AJ53" s="185" t="n">
        <v>1728471</v>
      </c>
      <c r="AK53" s="182" t="n">
        <v>1728471</v>
      </c>
      <c r="AL53" s="183" t="n">
        <v>1728471</v>
      </c>
      <c r="AM53" s="186" t="n">
        <v>1728471</v>
      </c>
      <c r="AN53" s="186" t="n">
        <v>817333</v>
      </c>
      <c r="AO53" s="185" t="n">
        <v>817333</v>
      </c>
      <c r="AP53" s="182" t="n">
        <v>817333</v>
      </c>
      <c r="AQ53" s="183" t="n">
        <v>817333</v>
      </c>
    </row>
    <row r="54" customFormat="false" ht="12.8" hidden="false" customHeight="false" outlineLevel="0" collapsed="false">
      <c r="A54" s="139" t="s">
        <v>195</v>
      </c>
      <c r="B54" s="181" t="n">
        <v>1925674</v>
      </c>
      <c r="C54" s="181" t="n">
        <v>1925674</v>
      </c>
      <c r="D54" s="182" t="n">
        <v>1925674</v>
      </c>
      <c r="E54" s="183" t="n">
        <v>1925674</v>
      </c>
      <c r="F54" s="186" t="n">
        <v>1925674</v>
      </c>
      <c r="G54" s="183" t="n">
        <v>336650</v>
      </c>
      <c r="H54" s="182" t="n">
        <v>336650</v>
      </c>
      <c r="I54" s="184" t="n">
        <v>336650</v>
      </c>
      <c r="J54" s="185" t="n">
        <v>336650</v>
      </c>
      <c r="K54" s="183" t="n">
        <v>336650</v>
      </c>
      <c r="L54" s="182" t="n">
        <v>336650</v>
      </c>
      <c r="M54" s="183" t="n">
        <v>336650</v>
      </c>
      <c r="N54" s="183" t="n">
        <v>336650</v>
      </c>
      <c r="O54" s="186" t="n">
        <v>336650</v>
      </c>
      <c r="P54" s="186" t="n">
        <v>2106617</v>
      </c>
      <c r="Q54" s="185" t="n">
        <v>2106617</v>
      </c>
      <c r="R54" s="182" t="n">
        <v>2106617</v>
      </c>
      <c r="S54" s="183" t="n">
        <v>2106617</v>
      </c>
      <c r="T54" s="186" t="n">
        <v>2106617</v>
      </c>
      <c r="U54" s="182" t="n">
        <v>595918</v>
      </c>
      <c r="V54" s="183" t="n">
        <v>595918</v>
      </c>
      <c r="W54" s="183" t="n">
        <v>595918</v>
      </c>
      <c r="X54" s="184" t="n">
        <v>595918</v>
      </c>
      <c r="Y54" s="185" t="n">
        <v>595918</v>
      </c>
      <c r="Z54" s="182" t="n">
        <v>595918</v>
      </c>
      <c r="AA54" s="183" t="n">
        <v>595918</v>
      </c>
      <c r="AB54" s="167" t="n">
        <v>595918</v>
      </c>
      <c r="AC54" s="182" t="n">
        <v>418634</v>
      </c>
      <c r="AD54" s="185" t="n">
        <v>418634</v>
      </c>
      <c r="AE54" s="182" t="n">
        <v>418634</v>
      </c>
      <c r="AF54" s="183" t="n">
        <v>418634</v>
      </c>
      <c r="AG54" s="186" t="n">
        <v>418634</v>
      </c>
      <c r="AH54" s="182" t="n">
        <v>661560</v>
      </c>
      <c r="AI54" s="184" t="n">
        <v>661560</v>
      </c>
      <c r="AJ54" s="185" t="n">
        <v>661560</v>
      </c>
      <c r="AK54" s="182" t="n">
        <v>661560</v>
      </c>
      <c r="AL54" s="183" t="n">
        <v>661560</v>
      </c>
      <c r="AM54" s="186" t="n">
        <v>661560</v>
      </c>
      <c r="AN54" s="186" t="n">
        <v>565105</v>
      </c>
      <c r="AO54" s="185" t="n">
        <v>565105</v>
      </c>
      <c r="AP54" s="182" t="n">
        <v>565105</v>
      </c>
      <c r="AQ54" s="183" t="n">
        <v>565105</v>
      </c>
    </row>
    <row r="55" customFormat="false" ht="12.8" hidden="false" customHeight="false" outlineLevel="0" collapsed="false">
      <c r="A55" s="139" t="s">
        <v>196</v>
      </c>
      <c r="B55" s="181" t="n">
        <v>457349</v>
      </c>
      <c r="C55" s="181" t="n">
        <v>457349</v>
      </c>
      <c r="D55" s="186" t="n">
        <v>457349</v>
      </c>
      <c r="E55" s="183" t="n">
        <v>1822959</v>
      </c>
      <c r="F55" s="186" t="n">
        <v>1822959</v>
      </c>
      <c r="G55" s="183" t="n">
        <v>1822959</v>
      </c>
      <c r="H55" s="182" t="n">
        <v>1822959</v>
      </c>
      <c r="I55" s="184" t="n">
        <v>1822959</v>
      </c>
      <c r="J55" s="185" t="n">
        <v>1822959</v>
      </c>
      <c r="K55" s="183" t="n">
        <v>1822959</v>
      </c>
      <c r="L55" s="182" t="n">
        <v>1822959</v>
      </c>
      <c r="M55" s="183" t="n">
        <v>1822959</v>
      </c>
      <c r="N55" s="183" t="n">
        <v>1822959</v>
      </c>
      <c r="O55" s="186" t="n">
        <v>1822959</v>
      </c>
      <c r="P55" s="186" t="n">
        <v>1089414</v>
      </c>
      <c r="Q55" s="185" t="n">
        <v>1089414</v>
      </c>
      <c r="R55" s="182" t="n">
        <v>1089414</v>
      </c>
      <c r="S55" s="183" t="n">
        <v>1089414</v>
      </c>
      <c r="T55" s="186" t="n">
        <v>1089414</v>
      </c>
      <c r="U55" s="182" t="n">
        <v>1309186</v>
      </c>
      <c r="V55" s="183" t="n">
        <v>1309186</v>
      </c>
      <c r="W55" s="183" t="n">
        <v>1309186</v>
      </c>
      <c r="X55" s="184" t="n">
        <v>1309186</v>
      </c>
      <c r="Y55" s="185" t="n">
        <v>1309186</v>
      </c>
      <c r="Z55" s="182" t="n">
        <v>1309186</v>
      </c>
      <c r="AA55" s="183" t="n">
        <v>1309186</v>
      </c>
      <c r="AB55" s="167" t="n">
        <v>1309186</v>
      </c>
      <c r="AC55" s="182" t="n">
        <v>25056</v>
      </c>
      <c r="AD55" s="185" t="n">
        <v>25056</v>
      </c>
      <c r="AE55" s="182" t="n">
        <v>25056</v>
      </c>
      <c r="AF55" s="183" t="n">
        <v>25056</v>
      </c>
      <c r="AG55" s="186" t="n">
        <v>25056</v>
      </c>
      <c r="AH55" s="237" t="n">
        <v>-94422</v>
      </c>
      <c r="AI55" s="184" t="n">
        <v>-94422</v>
      </c>
      <c r="AJ55" s="239" t="n">
        <v>-94422</v>
      </c>
      <c r="AK55" s="237" t="n">
        <v>-94422</v>
      </c>
      <c r="AL55" s="183" t="n">
        <v>-94422</v>
      </c>
      <c r="AM55" s="186" t="n">
        <v>-94422</v>
      </c>
      <c r="AN55" s="186" t="n">
        <v>1426520</v>
      </c>
      <c r="AO55" s="185" t="n">
        <v>1426520</v>
      </c>
      <c r="AP55" s="182" t="n">
        <v>1426520</v>
      </c>
      <c r="AQ55" s="183" t="n">
        <v>1426520</v>
      </c>
    </row>
    <row r="56" customFormat="false" ht="12.8" hidden="false" customHeight="false" outlineLevel="0" collapsed="false">
      <c r="A56" s="139" t="s">
        <v>197</v>
      </c>
      <c r="B56" s="181" t="n">
        <v>2687219</v>
      </c>
      <c r="C56" s="181" t="n">
        <v>2687219</v>
      </c>
      <c r="D56" s="182" t="n">
        <v>2687219</v>
      </c>
      <c r="E56" s="183" t="n">
        <v>2687219</v>
      </c>
      <c r="F56" s="186" t="n">
        <v>2687219</v>
      </c>
      <c r="G56" s="183" t="n">
        <v>1091739</v>
      </c>
      <c r="H56" s="182" t="n">
        <v>1091739</v>
      </c>
      <c r="I56" s="184" t="n">
        <v>1091739</v>
      </c>
      <c r="J56" s="185" t="n">
        <v>1091739</v>
      </c>
      <c r="K56" s="183" t="n">
        <v>1091739</v>
      </c>
      <c r="L56" s="182" t="n">
        <v>1091739</v>
      </c>
      <c r="M56" s="183" t="n">
        <v>1091739</v>
      </c>
      <c r="N56" s="183" t="n">
        <v>1091739</v>
      </c>
      <c r="O56" s="186" t="n">
        <v>1091739</v>
      </c>
      <c r="P56" s="186" t="n">
        <v>984048</v>
      </c>
      <c r="Q56" s="185" t="n">
        <v>984048</v>
      </c>
      <c r="R56" s="182" t="n">
        <v>984048</v>
      </c>
      <c r="S56" s="183" t="n">
        <v>984048</v>
      </c>
      <c r="T56" s="186" t="n">
        <v>984048</v>
      </c>
      <c r="U56" s="182" t="n">
        <v>1078390</v>
      </c>
      <c r="V56" s="183" t="n">
        <v>1078390</v>
      </c>
      <c r="W56" s="183" t="n">
        <v>1078390</v>
      </c>
      <c r="X56" s="184" t="n">
        <v>1078390</v>
      </c>
      <c r="Y56" s="185" t="n">
        <v>1078390</v>
      </c>
      <c r="Z56" s="182" t="n">
        <v>1078390</v>
      </c>
      <c r="AA56" s="183" t="n">
        <v>1078390</v>
      </c>
      <c r="AB56" s="167" t="n">
        <v>1078390</v>
      </c>
      <c r="AC56" s="182" t="n">
        <v>701170</v>
      </c>
      <c r="AD56" s="185" t="n">
        <v>701170</v>
      </c>
      <c r="AE56" s="182" t="n">
        <v>701170</v>
      </c>
      <c r="AF56" s="183" t="n">
        <v>701170</v>
      </c>
      <c r="AG56" s="167" t="n">
        <v>701170</v>
      </c>
      <c r="AH56" s="182" t="n">
        <v>84959</v>
      </c>
      <c r="AI56" s="184" t="n">
        <v>84959</v>
      </c>
      <c r="AJ56" s="185" t="n">
        <v>84959</v>
      </c>
      <c r="AK56" s="182" t="n">
        <v>84959</v>
      </c>
      <c r="AL56" s="183" t="n">
        <v>84959</v>
      </c>
      <c r="AM56" s="186" t="n">
        <v>84959</v>
      </c>
      <c r="AN56" s="238" t="n">
        <v>-31349</v>
      </c>
      <c r="AO56" s="239" t="n">
        <v>-31349</v>
      </c>
      <c r="AP56" s="182" t="n">
        <v>-31349</v>
      </c>
      <c r="AQ56" s="183" t="n">
        <v>-31349</v>
      </c>
    </row>
    <row r="57" customFormat="false" ht="12.8" hidden="false" customHeight="false" outlineLevel="0" collapsed="false">
      <c r="A57" s="139" t="s">
        <v>198</v>
      </c>
      <c r="B57" s="181" t="n">
        <v>493073</v>
      </c>
      <c r="C57" s="181" t="n">
        <v>493073</v>
      </c>
      <c r="D57" s="182" t="n">
        <v>493073</v>
      </c>
      <c r="E57" s="183" t="n">
        <v>493073</v>
      </c>
      <c r="F57" s="186" t="n">
        <v>493073</v>
      </c>
      <c r="G57" s="183" t="n">
        <v>138778</v>
      </c>
      <c r="H57" s="182" t="n">
        <v>138778</v>
      </c>
      <c r="I57" s="184" t="n">
        <v>138778</v>
      </c>
      <c r="J57" s="185" t="n">
        <v>138778</v>
      </c>
      <c r="K57" s="183" t="n">
        <v>138778</v>
      </c>
      <c r="L57" s="182" t="n">
        <v>138778</v>
      </c>
      <c r="M57" s="183" t="n">
        <v>138778</v>
      </c>
      <c r="N57" s="183" t="n">
        <v>138778</v>
      </c>
      <c r="O57" s="186" t="n">
        <v>138778</v>
      </c>
      <c r="P57" s="186" t="n">
        <v>647138</v>
      </c>
      <c r="Q57" s="185" t="n">
        <v>647138</v>
      </c>
      <c r="R57" s="182" t="n">
        <v>647138</v>
      </c>
      <c r="S57" s="183" t="n">
        <v>647138</v>
      </c>
      <c r="T57" s="186" t="n">
        <v>647138</v>
      </c>
      <c r="U57" s="182" t="n">
        <v>458552</v>
      </c>
      <c r="V57" s="183" t="n">
        <v>458552</v>
      </c>
      <c r="W57" s="183" t="n">
        <v>458552</v>
      </c>
      <c r="X57" s="184" t="n">
        <v>458552</v>
      </c>
      <c r="Y57" s="185" t="n">
        <v>458552</v>
      </c>
      <c r="Z57" s="182" t="n">
        <v>458552</v>
      </c>
      <c r="AA57" s="183" t="n">
        <v>458552</v>
      </c>
      <c r="AB57" s="167" t="n">
        <v>458552</v>
      </c>
      <c r="AC57" s="182" t="n">
        <v>449414</v>
      </c>
      <c r="AD57" s="185" t="n">
        <v>449414</v>
      </c>
      <c r="AE57" s="182" t="n">
        <v>449414</v>
      </c>
      <c r="AF57" s="183" t="n">
        <v>449414</v>
      </c>
      <c r="AG57" s="167" t="n">
        <v>449414</v>
      </c>
      <c r="AH57" s="182" t="n">
        <v>364552</v>
      </c>
      <c r="AI57" s="184" t="n">
        <v>364552</v>
      </c>
      <c r="AJ57" s="185" t="n">
        <v>364552</v>
      </c>
      <c r="AK57" s="182" t="n">
        <v>364552</v>
      </c>
      <c r="AL57" s="183" t="n">
        <v>364552</v>
      </c>
      <c r="AM57" s="186" t="n">
        <v>364552</v>
      </c>
      <c r="AN57" s="186" t="n">
        <v>1448390</v>
      </c>
      <c r="AO57" s="185" t="n">
        <v>1448390</v>
      </c>
      <c r="AP57" s="182" t="n">
        <v>1448390</v>
      </c>
      <c r="AQ57" s="183" t="n">
        <v>1448390</v>
      </c>
    </row>
    <row r="58" customFormat="false" ht="12.8" hidden="false" customHeight="false" outlineLevel="0" collapsed="false">
      <c r="A58" s="139" t="s">
        <v>28</v>
      </c>
      <c r="B58" s="181" t="n">
        <v>436276</v>
      </c>
      <c r="C58" s="181" t="n">
        <v>436276</v>
      </c>
      <c r="D58" s="182" t="n">
        <v>436276</v>
      </c>
      <c r="E58" s="183" t="n">
        <v>436276</v>
      </c>
      <c r="F58" s="186" t="n">
        <v>436276</v>
      </c>
      <c r="G58" s="183" t="n">
        <v>94016</v>
      </c>
      <c r="H58" s="182" t="n">
        <v>94016</v>
      </c>
      <c r="I58" s="184" t="n">
        <v>94016</v>
      </c>
      <c r="J58" s="185" t="n">
        <v>94016</v>
      </c>
      <c r="K58" s="183" t="n">
        <v>94016</v>
      </c>
      <c r="L58" s="182" t="n">
        <v>94016</v>
      </c>
      <c r="M58" s="183" t="n">
        <v>94016</v>
      </c>
      <c r="N58" s="183" t="n">
        <v>94016</v>
      </c>
      <c r="O58" s="186" t="n">
        <v>94016</v>
      </c>
      <c r="P58" s="238" t="n">
        <v>-244276</v>
      </c>
      <c r="Q58" s="239" t="n">
        <v>-244276</v>
      </c>
      <c r="R58" s="237" t="n">
        <v>-244276</v>
      </c>
      <c r="S58" s="183" t="n">
        <v>-244276</v>
      </c>
      <c r="T58" s="238" t="n">
        <v>-244276</v>
      </c>
      <c r="U58" s="237" t="n">
        <v>-463609</v>
      </c>
      <c r="V58" s="183" t="n">
        <v>-463609</v>
      </c>
      <c r="W58" s="183" t="n">
        <v>-463609</v>
      </c>
      <c r="X58" s="184" t="n">
        <v>-463609</v>
      </c>
      <c r="Y58" s="239" t="n">
        <v>-463609</v>
      </c>
      <c r="Z58" s="237" t="n">
        <v>-463609</v>
      </c>
      <c r="AA58" s="183" t="n">
        <v>-463609</v>
      </c>
      <c r="AB58" s="186" t="n">
        <v>-463609</v>
      </c>
      <c r="AC58" s="182" t="n">
        <v>613983</v>
      </c>
      <c r="AD58" s="185" t="n">
        <v>613983</v>
      </c>
      <c r="AE58" s="182" t="n">
        <v>613983</v>
      </c>
      <c r="AF58" s="183" t="n">
        <v>613983</v>
      </c>
      <c r="AG58" s="167" t="n">
        <v>613983</v>
      </c>
      <c r="AH58" s="182" t="n">
        <v>495902</v>
      </c>
      <c r="AI58" s="184" t="n">
        <v>495902</v>
      </c>
      <c r="AJ58" s="185" t="n">
        <v>495902</v>
      </c>
      <c r="AK58" s="182" t="n">
        <v>495902</v>
      </c>
      <c r="AL58" s="183" t="n">
        <v>495902</v>
      </c>
      <c r="AM58" s="186" t="n">
        <v>495902</v>
      </c>
      <c r="AN58" s="186" t="n">
        <v>390715</v>
      </c>
      <c r="AO58" s="185" t="n">
        <v>390715</v>
      </c>
      <c r="AP58" s="182" t="n">
        <v>390715</v>
      </c>
      <c r="AQ58" s="183" t="n">
        <v>390715</v>
      </c>
    </row>
    <row r="59" customFormat="false" ht="12.8" hidden="false" customHeight="false" outlineLevel="0" collapsed="false">
      <c r="A59" s="139" t="s">
        <v>199</v>
      </c>
      <c r="B59" s="181" t="n">
        <v>710373</v>
      </c>
      <c r="C59" s="181" t="n">
        <v>710373</v>
      </c>
      <c r="D59" s="182" t="n">
        <v>710373</v>
      </c>
      <c r="E59" s="183" t="n">
        <v>710373</v>
      </c>
      <c r="F59" s="186" t="n">
        <v>710373</v>
      </c>
      <c r="G59" s="183" t="n">
        <v>807333</v>
      </c>
      <c r="H59" s="182" t="n">
        <v>807333</v>
      </c>
      <c r="I59" s="184" t="n">
        <v>807333</v>
      </c>
      <c r="J59" s="185" t="n">
        <v>807333</v>
      </c>
      <c r="K59" s="183" t="n">
        <v>807333</v>
      </c>
      <c r="L59" s="182" t="n">
        <v>807333</v>
      </c>
      <c r="M59" s="183" t="n">
        <v>807333</v>
      </c>
      <c r="N59" s="183" t="n">
        <v>807333</v>
      </c>
      <c r="O59" s="186" t="n">
        <v>807333</v>
      </c>
      <c r="P59" s="186" t="n">
        <v>770585</v>
      </c>
      <c r="Q59" s="185" t="n">
        <v>770585</v>
      </c>
      <c r="R59" s="182" t="n">
        <v>770585</v>
      </c>
      <c r="S59" s="183" t="n">
        <v>770585</v>
      </c>
      <c r="T59" s="186" t="n">
        <v>770585</v>
      </c>
      <c r="U59" s="182" t="n">
        <v>724601</v>
      </c>
      <c r="V59" s="183" t="n">
        <v>724601</v>
      </c>
      <c r="W59" s="183" t="n">
        <v>724601</v>
      </c>
      <c r="X59" s="184" t="n">
        <v>724601</v>
      </c>
      <c r="Y59" s="185" t="n">
        <v>724601</v>
      </c>
      <c r="Z59" s="182" t="n">
        <v>724601</v>
      </c>
      <c r="AA59" s="183" t="n">
        <v>724601</v>
      </c>
      <c r="AB59" s="186" t="n">
        <v>724601</v>
      </c>
      <c r="AC59" s="182" t="n">
        <v>381105</v>
      </c>
      <c r="AD59" s="185" t="n">
        <v>381105</v>
      </c>
      <c r="AE59" s="182" t="n">
        <v>381105</v>
      </c>
      <c r="AF59" s="26" t="n">
        <v>381105</v>
      </c>
      <c r="AG59" s="182" t="n">
        <v>816373</v>
      </c>
      <c r="AH59" s="182" t="n">
        <v>816373</v>
      </c>
      <c r="AI59" s="184" t="n">
        <v>816373</v>
      </c>
      <c r="AJ59" s="185" t="n">
        <v>816373</v>
      </c>
      <c r="AK59" s="182" t="n">
        <v>816373</v>
      </c>
      <c r="AL59" s="183" t="n">
        <v>816373</v>
      </c>
      <c r="AM59" s="186" t="n">
        <v>816373</v>
      </c>
      <c r="AN59" s="186" t="n">
        <v>791886</v>
      </c>
      <c r="AO59" s="185" t="n">
        <v>791886</v>
      </c>
      <c r="AP59" s="182" t="n">
        <v>791886</v>
      </c>
      <c r="AQ59" s="183" t="n">
        <v>791886</v>
      </c>
    </row>
    <row r="60" customFormat="false" ht="12.8" hidden="false" customHeight="false" outlineLevel="0" collapsed="false">
      <c r="A60" s="139" t="s">
        <v>200</v>
      </c>
      <c r="B60" s="181" t="n">
        <v>152634</v>
      </c>
      <c r="C60" s="181" t="n">
        <v>152634</v>
      </c>
      <c r="D60" s="182" t="n">
        <v>152634</v>
      </c>
      <c r="E60" s="183" t="n">
        <v>152634</v>
      </c>
      <c r="F60" s="186" t="n">
        <v>152634</v>
      </c>
      <c r="G60" s="183" t="n">
        <v>2782617</v>
      </c>
      <c r="H60" s="182" t="n">
        <v>2782617</v>
      </c>
      <c r="I60" s="184" t="n">
        <v>2782617</v>
      </c>
      <c r="J60" s="185" t="n">
        <v>2782617</v>
      </c>
      <c r="K60" s="183" t="n">
        <v>2782617</v>
      </c>
      <c r="L60" s="182" t="n">
        <v>2782617</v>
      </c>
      <c r="M60" s="183" t="n">
        <v>2782617</v>
      </c>
      <c r="N60" s="183" t="n">
        <v>2782617</v>
      </c>
      <c r="O60" s="167" t="n">
        <v>2782617</v>
      </c>
      <c r="P60" s="186" t="n">
        <v>174520</v>
      </c>
      <c r="Q60" s="185" t="n">
        <v>174520</v>
      </c>
      <c r="R60" s="182" t="n">
        <v>174520</v>
      </c>
      <c r="S60" s="183" t="n">
        <v>174520</v>
      </c>
      <c r="T60" s="167" t="n">
        <v>174520</v>
      </c>
      <c r="U60" s="182" t="n">
        <v>142552</v>
      </c>
      <c r="V60" s="183" t="n">
        <v>142552</v>
      </c>
      <c r="W60" s="183" t="n">
        <v>142552</v>
      </c>
      <c r="X60" s="184" t="n">
        <v>142552</v>
      </c>
      <c r="Y60" s="185" t="n">
        <v>142552</v>
      </c>
      <c r="Z60" s="182" t="n">
        <v>142552</v>
      </c>
      <c r="AA60" s="183" t="n">
        <v>142552</v>
      </c>
      <c r="AB60" s="186" t="n">
        <v>142552</v>
      </c>
      <c r="AC60" s="182" t="n">
        <v>388926</v>
      </c>
      <c r="AD60" s="185" t="n">
        <v>388926</v>
      </c>
      <c r="AE60" s="182" t="n">
        <v>388926</v>
      </c>
      <c r="AF60" s="183" t="n">
        <v>388926</v>
      </c>
      <c r="AG60" s="167" t="n">
        <v>388926</v>
      </c>
      <c r="AH60" s="237" t="n">
        <v>128536</v>
      </c>
      <c r="AI60" s="184" t="n">
        <v>128536</v>
      </c>
      <c r="AJ60" s="239" t="n">
        <v>128536</v>
      </c>
      <c r="AK60" s="237" t="n">
        <v>128536</v>
      </c>
      <c r="AL60" s="183" t="n">
        <v>128536</v>
      </c>
      <c r="AM60" s="186" t="n">
        <v>128536</v>
      </c>
      <c r="AN60" s="238" t="n">
        <v>7544</v>
      </c>
      <c r="AO60" s="239" t="n">
        <v>7544</v>
      </c>
      <c r="AP60" s="182" t="n">
        <v>7544</v>
      </c>
      <c r="AQ60" s="183" t="n">
        <v>7544</v>
      </c>
    </row>
    <row r="61" customFormat="false" ht="12.8" hidden="false" customHeight="false" outlineLevel="0" collapsed="false">
      <c r="A61" s="1" t="s">
        <v>265</v>
      </c>
      <c r="B61" s="203" t="s">
        <v>44</v>
      </c>
      <c r="C61" s="44" t="s">
        <v>49</v>
      </c>
      <c r="D61" s="23" t="s">
        <v>42</v>
      </c>
      <c r="E61" s="28" t="s">
        <v>41</v>
      </c>
      <c r="F61" s="23" t="s">
        <v>40</v>
      </c>
      <c r="G61" s="28" t="s">
        <v>38</v>
      </c>
      <c r="H61" s="23" t="s">
        <v>37</v>
      </c>
      <c r="I61" s="45" t="s">
        <v>36</v>
      </c>
      <c r="J61" s="46" t="s">
        <v>35</v>
      </c>
      <c r="K61" s="24" t="s">
        <v>34</v>
      </c>
      <c r="L61" s="23" t="s">
        <v>33</v>
      </c>
      <c r="M61" s="19" t="s">
        <v>32</v>
      </c>
      <c r="N61" s="19" t="s">
        <v>50</v>
      </c>
      <c r="O61" s="23" t="s">
        <v>51</v>
      </c>
      <c r="P61" s="47" t="s">
        <v>52</v>
      </c>
      <c r="Q61" s="46" t="s">
        <v>53</v>
      </c>
      <c r="R61" s="23" t="s">
        <v>54</v>
      </c>
      <c r="S61" s="19" t="s">
        <v>55</v>
      </c>
      <c r="T61" s="23" t="s">
        <v>56</v>
      </c>
      <c r="U61" s="23" t="s">
        <v>57</v>
      </c>
      <c r="V61" s="28" t="s">
        <v>58</v>
      </c>
      <c r="W61" s="28" t="s">
        <v>59</v>
      </c>
      <c r="X61" s="45" t="s">
        <v>60</v>
      </c>
      <c r="Y61" s="46" t="s">
        <v>61</v>
      </c>
      <c r="Z61" s="23" t="s">
        <v>62</v>
      </c>
      <c r="AA61" s="19" t="s">
        <v>63</v>
      </c>
      <c r="AB61" s="23" t="s">
        <v>64</v>
      </c>
      <c r="AC61" s="23" t="s">
        <v>65</v>
      </c>
      <c r="AD61" s="46" t="s">
        <v>66</v>
      </c>
      <c r="AE61" s="23" t="s">
        <v>67</v>
      </c>
      <c r="AF61" s="19" t="s">
        <v>68</v>
      </c>
      <c r="AG61" s="23" t="s">
        <v>69</v>
      </c>
      <c r="AH61" s="23" t="s">
        <v>70</v>
      </c>
      <c r="AI61" s="45" t="s">
        <v>71</v>
      </c>
      <c r="AJ61" s="46" t="s">
        <v>72</v>
      </c>
      <c r="AK61" s="23" t="s">
        <v>73</v>
      </c>
      <c r="AL61" s="24" t="s">
        <v>74</v>
      </c>
      <c r="AM61" s="23" t="s">
        <v>75</v>
      </c>
      <c r="AN61" s="47" t="s">
        <v>76</v>
      </c>
      <c r="AO61" s="46" t="s">
        <v>77</v>
      </c>
      <c r="AP61" s="23" t="s">
        <v>78</v>
      </c>
      <c r="AQ61" s="24" t="s">
        <v>79</v>
      </c>
    </row>
    <row r="62" customFormat="false" ht="12.8" hidden="false" customHeight="false" outlineLevel="0" collapsed="false">
      <c r="A62" s="16" t="s">
        <v>263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</row>
    <row r="63" customFormat="false" ht="12.8" hidden="false" customHeight="false" outlineLevel="0" collapsed="false">
      <c r="A63" s="139" t="s">
        <v>24</v>
      </c>
      <c r="B63" s="181" t="n">
        <v>254062341</v>
      </c>
      <c r="C63" s="181" t="n">
        <v>254062341</v>
      </c>
      <c r="D63" s="187" t="n">
        <v>254062341</v>
      </c>
      <c r="E63" s="181" t="n">
        <v>254062341</v>
      </c>
      <c r="F63" s="187" t="n">
        <v>254062341</v>
      </c>
      <c r="G63" s="181" t="n">
        <v>254062341</v>
      </c>
      <c r="H63" s="186" t="n">
        <v>254062341</v>
      </c>
      <c r="I63" s="184" t="n">
        <v>242273430</v>
      </c>
      <c r="J63" s="185" t="n">
        <v>242273430</v>
      </c>
      <c r="K63" s="183" t="n">
        <v>242273430</v>
      </c>
      <c r="L63" s="182" t="n">
        <v>242273430</v>
      </c>
      <c r="M63" s="183" t="n">
        <v>242273430</v>
      </c>
      <c r="N63" s="183" t="n">
        <v>242273430</v>
      </c>
      <c r="O63" s="182" t="n">
        <v>242273430</v>
      </c>
      <c r="P63" s="186" t="n">
        <v>242273430</v>
      </c>
      <c r="Q63" s="185" t="n">
        <v>226951739</v>
      </c>
      <c r="R63" s="182" t="n">
        <v>226951739</v>
      </c>
      <c r="S63" s="183" t="n">
        <v>226951739</v>
      </c>
      <c r="T63" s="182" t="n">
        <v>226951739</v>
      </c>
      <c r="U63" s="186" t="n">
        <v>226951739</v>
      </c>
      <c r="V63" s="183" t="n">
        <v>216093105</v>
      </c>
      <c r="W63" s="183" t="n">
        <v>216093105</v>
      </c>
      <c r="X63" s="184" t="n">
        <v>216093105</v>
      </c>
      <c r="Y63" s="185" t="n">
        <v>216093105</v>
      </c>
      <c r="Z63" s="182" t="n">
        <v>216093105</v>
      </c>
      <c r="AA63" s="183" t="n">
        <v>216093105</v>
      </c>
      <c r="AB63" s="182" t="n">
        <v>216093105</v>
      </c>
      <c r="AC63" s="237" t="n">
        <v>216093105</v>
      </c>
      <c r="AD63" s="185" t="n">
        <v>202353658</v>
      </c>
      <c r="AE63" s="237" t="n">
        <v>202353658</v>
      </c>
      <c r="AF63" s="183" t="n">
        <v>202353658</v>
      </c>
      <c r="AG63" s="238" t="n">
        <v>202353658</v>
      </c>
      <c r="AH63" s="237" t="n">
        <v>179708715</v>
      </c>
      <c r="AI63" s="184" t="n">
        <v>179708715</v>
      </c>
      <c r="AJ63" s="239" t="n">
        <v>179708715</v>
      </c>
      <c r="AK63" s="237" t="n">
        <v>179708715</v>
      </c>
      <c r="AL63" s="183" t="n">
        <v>179708715</v>
      </c>
      <c r="AM63" s="238" t="n">
        <v>179708715</v>
      </c>
      <c r="AN63" s="186" t="n">
        <v>171607609</v>
      </c>
      <c r="AO63" s="185" t="n">
        <v>171607609</v>
      </c>
      <c r="AP63" s="182" t="n">
        <v>171607609</v>
      </c>
      <c r="AQ63" s="183" t="n">
        <v>171607609</v>
      </c>
    </row>
    <row r="64" customFormat="false" ht="12.8" hidden="false" customHeight="false" outlineLevel="0" collapsed="false">
      <c r="A64" s="139" t="s">
        <v>180</v>
      </c>
      <c r="B64" s="181" t="n">
        <v>251515414</v>
      </c>
      <c r="C64" s="181" t="n">
        <v>251515414</v>
      </c>
      <c r="D64" s="182" t="n">
        <v>251515414</v>
      </c>
      <c r="E64" s="183" t="n">
        <v>251515414</v>
      </c>
      <c r="F64" s="186" t="n">
        <v>251515414</v>
      </c>
      <c r="G64" s="183" t="n">
        <v>242665430</v>
      </c>
      <c r="H64" s="182" t="n">
        <v>242665430</v>
      </c>
      <c r="I64" s="184" t="n">
        <v>242665430</v>
      </c>
      <c r="J64" s="185" t="n">
        <v>242665430</v>
      </c>
      <c r="K64" s="183" t="n">
        <v>242665430</v>
      </c>
      <c r="L64" s="182" t="n">
        <v>242665430</v>
      </c>
      <c r="M64" s="183" t="n">
        <v>242665430</v>
      </c>
      <c r="N64" s="183" t="n">
        <v>242665430</v>
      </c>
      <c r="O64" s="186" t="n">
        <v>242665430</v>
      </c>
      <c r="P64" s="238" t="n">
        <v>243546504</v>
      </c>
      <c r="Q64" s="239" t="n">
        <v>243546504</v>
      </c>
      <c r="R64" s="237" t="n">
        <v>243546504</v>
      </c>
      <c r="S64" s="183" t="n">
        <v>243546504</v>
      </c>
      <c r="T64" s="186" t="n">
        <v>243546504</v>
      </c>
      <c r="U64" s="182" t="n">
        <v>238016715</v>
      </c>
      <c r="V64" s="183" t="n">
        <v>238016715</v>
      </c>
      <c r="W64" s="183" t="n">
        <v>238016715</v>
      </c>
      <c r="X64" s="184" t="n">
        <v>238016715</v>
      </c>
      <c r="Y64" s="185" t="n">
        <v>238016715</v>
      </c>
      <c r="Z64" s="182" t="n">
        <v>238016715</v>
      </c>
      <c r="AA64" s="184" t="n">
        <v>238016715</v>
      </c>
      <c r="AB64" s="182" t="n">
        <v>231529138</v>
      </c>
      <c r="AC64" s="182" t="n">
        <v>231529138</v>
      </c>
      <c r="AD64" s="239" t="n">
        <v>231529138</v>
      </c>
      <c r="AE64" s="182" t="n">
        <v>231529138</v>
      </c>
      <c r="AF64" s="184" t="n">
        <v>231529138</v>
      </c>
      <c r="AG64" s="182" t="n">
        <v>230481626</v>
      </c>
      <c r="AH64" s="182" t="n">
        <v>230481626</v>
      </c>
      <c r="AI64" s="184" t="n">
        <v>230481626</v>
      </c>
      <c r="AJ64" s="182" t="n">
        <v>230481626</v>
      </c>
      <c r="AK64" s="182" t="n">
        <v>230481626</v>
      </c>
      <c r="AL64" s="183" t="n">
        <v>230481626</v>
      </c>
      <c r="AM64" s="186" t="n">
        <v>230481626</v>
      </c>
      <c r="AN64" s="186" t="n">
        <v>230299333</v>
      </c>
      <c r="AO64" s="185" t="n">
        <v>230299333</v>
      </c>
      <c r="AP64" s="182" t="n">
        <v>230299333</v>
      </c>
      <c r="AQ64" s="183" t="n">
        <v>230299333</v>
      </c>
    </row>
    <row r="65" customFormat="false" ht="12.8" hidden="false" customHeight="false" outlineLevel="0" collapsed="false">
      <c r="A65" s="139" t="s">
        <v>181</v>
      </c>
      <c r="B65" s="181" t="n">
        <v>272559739</v>
      </c>
      <c r="C65" s="181" t="n">
        <v>272559739</v>
      </c>
      <c r="D65" s="182" t="n">
        <v>272559739</v>
      </c>
      <c r="E65" s="183" t="n">
        <v>272559739</v>
      </c>
      <c r="F65" s="186" t="n">
        <v>272559739</v>
      </c>
      <c r="G65" s="183" t="n">
        <v>253187268</v>
      </c>
      <c r="H65" s="182" t="n">
        <v>253187268</v>
      </c>
      <c r="I65" s="184" t="n">
        <v>253187268</v>
      </c>
      <c r="J65" s="185" t="n">
        <v>253187268</v>
      </c>
      <c r="K65" s="183" t="n">
        <v>253187268</v>
      </c>
      <c r="L65" s="182" t="n">
        <v>253187268</v>
      </c>
      <c r="M65" s="183" t="n">
        <v>253187268</v>
      </c>
      <c r="N65" s="183" t="n">
        <v>253187268</v>
      </c>
      <c r="O65" s="186" t="n">
        <v>253187268</v>
      </c>
      <c r="P65" s="186" t="n">
        <v>228776032</v>
      </c>
      <c r="Q65" s="185" t="n">
        <v>228776032</v>
      </c>
      <c r="R65" s="182" t="n">
        <v>228776032</v>
      </c>
      <c r="S65" s="183" t="n">
        <v>228776032</v>
      </c>
      <c r="T65" s="186" t="n">
        <v>228776032</v>
      </c>
      <c r="U65" s="182" t="n">
        <v>218095040</v>
      </c>
      <c r="V65" s="183" t="n">
        <v>218095040</v>
      </c>
      <c r="W65" s="183" t="n">
        <v>218095040</v>
      </c>
      <c r="X65" s="184" t="n">
        <v>218095040</v>
      </c>
      <c r="Y65" s="185" t="n">
        <v>218095040</v>
      </c>
      <c r="Z65" s="182" t="n">
        <v>218095040</v>
      </c>
      <c r="AA65" s="183" t="n">
        <v>218095040</v>
      </c>
      <c r="AB65" s="186" t="n">
        <v>218095040</v>
      </c>
      <c r="AC65" s="182" t="n">
        <v>189320130</v>
      </c>
      <c r="AD65" s="185" t="n">
        <v>189320130</v>
      </c>
      <c r="AE65" s="182" t="n">
        <v>189320130</v>
      </c>
      <c r="AF65" s="183" t="n">
        <v>189320130</v>
      </c>
      <c r="AG65" s="186" t="n">
        <v>189320130</v>
      </c>
      <c r="AH65" s="182" t="n">
        <v>180430195</v>
      </c>
      <c r="AI65" s="184" t="n">
        <v>180430195</v>
      </c>
      <c r="AJ65" s="185" t="n">
        <v>180430195</v>
      </c>
      <c r="AK65" s="182" t="n">
        <v>180430195</v>
      </c>
      <c r="AL65" s="183" t="n">
        <v>180430195</v>
      </c>
      <c r="AM65" s="186" t="n">
        <v>180430195</v>
      </c>
      <c r="AN65" s="186" t="n">
        <v>154788975</v>
      </c>
      <c r="AO65" s="185" t="n">
        <v>154788975</v>
      </c>
      <c r="AP65" s="182" t="n">
        <v>154788975</v>
      </c>
      <c r="AQ65" s="183" t="n">
        <v>154788975</v>
      </c>
    </row>
    <row r="66" customFormat="false" ht="12.8" hidden="false" customHeight="false" outlineLevel="0" collapsed="false">
      <c r="A66" s="139" t="s">
        <v>30</v>
      </c>
      <c r="B66" s="181" t="n">
        <v>224244439</v>
      </c>
      <c r="C66" s="181" t="n">
        <v>224244439</v>
      </c>
      <c r="D66" s="182" t="n">
        <v>224244439</v>
      </c>
      <c r="E66" s="183" t="n">
        <v>224244439</v>
      </c>
      <c r="F66" s="182" t="n">
        <v>224244439</v>
      </c>
      <c r="G66" s="184" t="n">
        <v>224244439</v>
      </c>
      <c r="H66" s="237" t="n">
        <v>203380731</v>
      </c>
      <c r="I66" s="184" t="n">
        <v>203380731</v>
      </c>
      <c r="J66" s="239" t="n">
        <v>203380731</v>
      </c>
      <c r="K66" s="183" t="n">
        <v>203380731</v>
      </c>
      <c r="L66" s="237" t="n">
        <v>203380731</v>
      </c>
      <c r="M66" s="183" t="n">
        <v>203380731</v>
      </c>
      <c r="N66" s="183" t="n">
        <v>203380731</v>
      </c>
      <c r="O66" s="186" t="n">
        <v>203380731</v>
      </c>
      <c r="P66" s="238" t="n">
        <v>189635528</v>
      </c>
      <c r="Q66" s="239" t="n">
        <v>189635528</v>
      </c>
      <c r="R66" s="237" t="n">
        <v>189635528</v>
      </c>
      <c r="S66" s="183" t="n">
        <v>189635528</v>
      </c>
      <c r="T66" s="186" t="n">
        <v>189635528</v>
      </c>
      <c r="U66" s="237" t="n">
        <v>177368065</v>
      </c>
      <c r="V66" s="183" t="n">
        <v>177368065</v>
      </c>
      <c r="W66" s="183" t="n">
        <v>177368065</v>
      </c>
      <c r="X66" s="184" t="n">
        <v>177368065</v>
      </c>
      <c r="Y66" s="239" t="n">
        <v>177368065</v>
      </c>
      <c r="Z66" s="237" t="n">
        <v>177368065</v>
      </c>
      <c r="AA66" s="183" t="n">
        <v>177368065</v>
      </c>
      <c r="AB66" s="186" t="n">
        <v>177368065</v>
      </c>
      <c r="AC66" s="182" t="n">
        <v>167404048</v>
      </c>
      <c r="AD66" s="185" t="n">
        <v>167404048</v>
      </c>
      <c r="AE66" s="182" t="n">
        <v>167404048</v>
      </c>
      <c r="AF66" s="183" t="n">
        <v>167404048</v>
      </c>
      <c r="AG66" s="186" t="n">
        <v>167404048</v>
      </c>
      <c r="AH66" s="237" t="n">
        <v>151955951</v>
      </c>
      <c r="AI66" s="184" t="n">
        <v>151955951</v>
      </c>
      <c r="AJ66" s="239" t="n">
        <v>151955951</v>
      </c>
      <c r="AK66" s="237" t="n">
        <v>151955951</v>
      </c>
      <c r="AL66" s="183" t="n">
        <v>151955951</v>
      </c>
      <c r="AM66" s="186" t="n">
        <v>151955951</v>
      </c>
      <c r="AN66" s="186" t="n">
        <v>144326341</v>
      </c>
      <c r="AO66" s="185" t="n">
        <v>144326341</v>
      </c>
      <c r="AP66" s="182" t="n">
        <v>144326341</v>
      </c>
      <c r="AQ66" s="183" t="n">
        <v>144326341</v>
      </c>
    </row>
    <row r="67" customFormat="false" ht="12.8" hidden="false" customHeight="false" outlineLevel="0" collapsed="false">
      <c r="A67" s="139" t="s">
        <v>182</v>
      </c>
      <c r="B67" s="181" t="n">
        <v>418305756</v>
      </c>
      <c r="C67" s="181" t="n">
        <v>418305756</v>
      </c>
      <c r="D67" s="182" t="n">
        <v>418305756</v>
      </c>
      <c r="E67" s="183" t="n">
        <v>418305756</v>
      </c>
      <c r="F67" s="186" t="n">
        <v>418305756</v>
      </c>
      <c r="G67" s="183" t="n">
        <v>360948601</v>
      </c>
      <c r="H67" s="182" t="n">
        <v>360948601</v>
      </c>
      <c r="I67" s="184" t="n">
        <v>360948601</v>
      </c>
      <c r="J67" s="185" t="n">
        <v>360948601</v>
      </c>
      <c r="K67" s="183" t="n">
        <v>360948601</v>
      </c>
      <c r="L67" s="182" t="n">
        <v>360948601</v>
      </c>
      <c r="M67" s="183" t="n">
        <v>360948601</v>
      </c>
      <c r="N67" s="183" t="n">
        <v>360948601</v>
      </c>
      <c r="O67" s="186" t="n">
        <v>360948601</v>
      </c>
      <c r="P67" s="186" t="n">
        <v>321826650</v>
      </c>
      <c r="Q67" s="185" t="n">
        <v>321826650</v>
      </c>
      <c r="R67" s="182" t="n">
        <v>321826650</v>
      </c>
      <c r="S67" s="183" t="n">
        <v>321826650</v>
      </c>
      <c r="T67" s="186" t="n">
        <v>321826650</v>
      </c>
      <c r="U67" s="182" t="n">
        <v>282591951</v>
      </c>
      <c r="V67" s="183" t="n">
        <v>282591951</v>
      </c>
      <c r="W67" s="183" t="n">
        <v>282591951</v>
      </c>
      <c r="X67" s="184" t="n">
        <v>282591951</v>
      </c>
      <c r="Y67" s="185" t="n">
        <v>282591951</v>
      </c>
      <c r="Z67" s="182" t="n">
        <v>282591951</v>
      </c>
      <c r="AA67" s="183" t="n">
        <v>282591951</v>
      </c>
      <c r="AB67" s="186" t="n">
        <v>282591951</v>
      </c>
      <c r="AC67" s="182" t="n">
        <v>248101642</v>
      </c>
      <c r="AD67" s="185" t="n">
        <v>248101642</v>
      </c>
      <c r="AE67" s="182" t="n">
        <v>248101642</v>
      </c>
      <c r="AF67" s="184" t="n">
        <v>248101642</v>
      </c>
      <c r="AG67" s="182" t="n">
        <v>210238211</v>
      </c>
      <c r="AH67" s="182" t="n">
        <v>210238211</v>
      </c>
      <c r="AI67" s="184" t="n">
        <v>210238211</v>
      </c>
      <c r="AJ67" s="185" t="n">
        <v>210238211</v>
      </c>
      <c r="AK67" s="182" t="n">
        <v>210238211</v>
      </c>
      <c r="AL67" s="183" t="n">
        <v>210238211</v>
      </c>
      <c r="AM67" s="186" t="n">
        <v>210238211</v>
      </c>
      <c r="AN67" s="186" t="n">
        <v>221687463</v>
      </c>
      <c r="AO67" s="185" t="n">
        <v>221687463</v>
      </c>
      <c r="AP67" s="182" t="n">
        <v>221687463</v>
      </c>
      <c r="AQ67" s="183" t="n">
        <v>221687463</v>
      </c>
    </row>
    <row r="68" customFormat="false" ht="12.8" hidden="false" customHeight="false" outlineLevel="0" collapsed="false">
      <c r="A68" s="139" t="s">
        <v>183</v>
      </c>
      <c r="B68" s="181" t="n">
        <v>85362552</v>
      </c>
      <c r="C68" s="181" t="n">
        <v>85362552</v>
      </c>
      <c r="D68" s="182" t="n">
        <v>85362552</v>
      </c>
      <c r="E68" s="183" t="n">
        <v>85362552</v>
      </c>
      <c r="F68" s="186" t="n">
        <v>85362552</v>
      </c>
      <c r="G68" s="183" t="n">
        <v>72229626</v>
      </c>
      <c r="H68" s="182" t="n">
        <v>72229626</v>
      </c>
      <c r="I68" s="184" t="n">
        <v>72229626</v>
      </c>
      <c r="J68" s="185" t="n">
        <v>72229626</v>
      </c>
      <c r="K68" s="183" t="n">
        <v>72229626</v>
      </c>
      <c r="L68" s="182" t="n">
        <v>72229626</v>
      </c>
      <c r="M68" s="183" t="n">
        <v>72229626</v>
      </c>
      <c r="N68" s="183" t="n">
        <v>72229626</v>
      </c>
      <c r="O68" s="186" t="n">
        <v>72229626</v>
      </c>
      <c r="P68" s="186" t="n">
        <v>59486373</v>
      </c>
      <c r="Q68" s="185" t="n">
        <v>59486373</v>
      </c>
      <c r="R68" s="182" t="n">
        <v>59486373</v>
      </c>
      <c r="S68" s="183" t="n">
        <v>59486373</v>
      </c>
      <c r="T68" s="186" t="n">
        <v>59486373</v>
      </c>
      <c r="U68" s="182" t="n">
        <v>59304796</v>
      </c>
      <c r="V68" s="183" t="n">
        <v>59304796</v>
      </c>
      <c r="W68" s="183" t="n">
        <v>59304796</v>
      </c>
      <c r="X68" s="184" t="n">
        <v>59304796</v>
      </c>
      <c r="Y68" s="185" t="n">
        <v>59304796</v>
      </c>
      <c r="Z68" s="182" t="n">
        <v>59304796</v>
      </c>
      <c r="AA68" s="183" t="n">
        <v>59304796</v>
      </c>
      <c r="AB68" s="186" t="n">
        <v>59304796</v>
      </c>
      <c r="AC68" s="238" t="n">
        <v>74390097</v>
      </c>
      <c r="AD68" s="182" t="n">
        <v>74390097</v>
      </c>
      <c r="AE68" s="182" t="n">
        <v>74390097</v>
      </c>
      <c r="AF68" s="183" t="n">
        <v>74390097</v>
      </c>
      <c r="AG68" s="186" t="n">
        <v>74390097</v>
      </c>
      <c r="AH68" s="182" t="n">
        <v>67398487</v>
      </c>
      <c r="AI68" s="184" t="n">
        <v>67398487</v>
      </c>
      <c r="AJ68" s="185" t="n">
        <v>67398487</v>
      </c>
      <c r="AK68" s="182" t="n">
        <v>67398487</v>
      </c>
      <c r="AL68" s="183" t="n">
        <v>67398487</v>
      </c>
      <c r="AM68" s="186" t="n">
        <v>67398487</v>
      </c>
      <c r="AN68" s="186" t="n">
        <v>64211024</v>
      </c>
      <c r="AO68" s="185" t="n">
        <v>64211024</v>
      </c>
      <c r="AP68" s="182" t="n">
        <v>64211024</v>
      </c>
      <c r="AQ68" s="183" t="n">
        <v>64211024</v>
      </c>
    </row>
    <row r="69" customFormat="false" ht="12.8" hidden="false" customHeight="false" outlineLevel="0" collapsed="false">
      <c r="A69" s="139" t="s">
        <v>27</v>
      </c>
      <c r="B69" s="181" t="n">
        <v>127413056</v>
      </c>
      <c r="C69" s="181" t="n">
        <v>127413056</v>
      </c>
      <c r="D69" s="237" t="n">
        <v>127413056</v>
      </c>
      <c r="E69" s="183" t="n">
        <v>127413056</v>
      </c>
      <c r="F69" s="186" t="n">
        <v>127413056</v>
      </c>
      <c r="G69" s="183" t="n">
        <v>119832634</v>
      </c>
      <c r="H69" s="237" t="n">
        <v>119832634</v>
      </c>
      <c r="I69" s="184" t="n">
        <v>119832634</v>
      </c>
      <c r="J69" s="237" t="n">
        <v>119832634</v>
      </c>
      <c r="K69" s="183" t="n">
        <v>119832634</v>
      </c>
      <c r="L69" s="237" t="n">
        <v>119832634</v>
      </c>
      <c r="M69" s="183" t="n">
        <v>119832634</v>
      </c>
      <c r="N69" s="183" t="n">
        <v>119832634</v>
      </c>
      <c r="O69" s="186" t="n">
        <v>119832634</v>
      </c>
      <c r="P69" s="238" t="n">
        <v>104698569</v>
      </c>
      <c r="Q69" s="239" t="n">
        <v>104698569</v>
      </c>
      <c r="R69" s="237" t="n">
        <v>104698569</v>
      </c>
      <c r="S69" s="183" t="n">
        <v>104698569</v>
      </c>
      <c r="T69" s="186" t="n">
        <v>104698569</v>
      </c>
      <c r="U69" s="187" t="n">
        <v>81850000</v>
      </c>
      <c r="V69" s="181" t="n">
        <v>81850000</v>
      </c>
      <c r="W69" s="181" t="n">
        <v>81850000</v>
      </c>
      <c r="X69" s="184" t="n">
        <v>81850000</v>
      </c>
      <c r="Y69" s="185" t="n">
        <v>81850000</v>
      </c>
      <c r="Z69" s="182" t="n">
        <v>104698569</v>
      </c>
      <c r="AA69" s="183" t="n">
        <v>81850000</v>
      </c>
      <c r="AB69" s="186" t="n">
        <v>81850000</v>
      </c>
      <c r="AC69" s="182" t="n">
        <v>81305333</v>
      </c>
      <c r="AD69" s="185" t="n">
        <v>81305333</v>
      </c>
      <c r="AE69" s="182" t="n">
        <v>81305333</v>
      </c>
      <c r="AF69" s="183" t="n">
        <v>81305333</v>
      </c>
      <c r="AG69" s="186" t="n">
        <v>81305333</v>
      </c>
      <c r="AH69" s="182" t="n">
        <v>70867235</v>
      </c>
      <c r="AI69" s="184" t="n">
        <v>70867235</v>
      </c>
      <c r="AJ69" s="185" t="n">
        <v>70867235</v>
      </c>
      <c r="AK69" s="182" t="n">
        <v>70867235</v>
      </c>
      <c r="AL69" s="183" t="n">
        <v>70867235</v>
      </c>
      <c r="AM69" s="186" t="n">
        <v>70867235</v>
      </c>
      <c r="AN69" s="186" t="n">
        <v>62455658</v>
      </c>
      <c r="AO69" s="185" t="n">
        <v>62455658</v>
      </c>
      <c r="AP69" s="182" t="n">
        <v>62455658</v>
      </c>
      <c r="AQ69" s="183" t="n">
        <v>62455658</v>
      </c>
    </row>
    <row r="70" customFormat="false" ht="12.8" hidden="false" customHeight="false" outlineLevel="0" collapsed="false">
      <c r="A70" s="139" t="s">
        <v>31</v>
      </c>
      <c r="B70" s="181" t="n">
        <v>78892325</v>
      </c>
      <c r="C70" s="181" t="n">
        <v>78892325</v>
      </c>
      <c r="D70" s="182" t="n">
        <v>78892325</v>
      </c>
      <c r="E70" s="183" t="n">
        <v>78892325</v>
      </c>
      <c r="F70" s="186" t="n">
        <v>78892325</v>
      </c>
      <c r="G70" s="183" t="n">
        <v>78778585</v>
      </c>
      <c r="H70" s="182" t="n">
        <v>78778585</v>
      </c>
      <c r="I70" s="184" t="n">
        <v>78778585</v>
      </c>
      <c r="J70" s="185" t="n">
        <v>78778585</v>
      </c>
      <c r="K70" s="183" t="n">
        <v>78778585</v>
      </c>
      <c r="L70" s="182" t="n">
        <v>78778585</v>
      </c>
      <c r="M70" s="183" t="n">
        <v>78778585</v>
      </c>
      <c r="N70" s="183" t="n">
        <v>78778585</v>
      </c>
      <c r="O70" s="186" t="n">
        <v>78778585</v>
      </c>
      <c r="P70" s="238" t="n">
        <v>70948373</v>
      </c>
      <c r="Q70" s="239" t="n">
        <v>70948373</v>
      </c>
      <c r="R70" s="237" t="n">
        <v>70948373</v>
      </c>
      <c r="S70" s="183" t="n">
        <v>70948373</v>
      </c>
      <c r="T70" s="186" t="n">
        <v>70948373</v>
      </c>
      <c r="U70" s="182" t="n">
        <v>65808065</v>
      </c>
      <c r="V70" s="183" t="n">
        <v>65808065</v>
      </c>
      <c r="W70" s="183" t="n">
        <v>65808065</v>
      </c>
      <c r="X70" s="184" t="n">
        <v>65808065</v>
      </c>
      <c r="Y70" s="185" t="n">
        <v>65808065</v>
      </c>
      <c r="Z70" s="182" t="n">
        <v>65808065</v>
      </c>
      <c r="AA70" s="183" t="n">
        <v>65808065</v>
      </c>
      <c r="AB70" s="186" t="n">
        <v>65808065</v>
      </c>
      <c r="AC70" s="182" t="n">
        <v>76308195</v>
      </c>
      <c r="AD70" s="185" t="n">
        <v>76308195</v>
      </c>
      <c r="AE70" s="182" t="n">
        <v>76308195</v>
      </c>
      <c r="AF70" s="183" t="n">
        <v>76308195</v>
      </c>
      <c r="AG70" s="186" t="n">
        <v>76308195</v>
      </c>
      <c r="AH70" s="182" t="n">
        <v>72928195</v>
      </c>
      <c r="AI70" s="184" t="n">
        <v>72928195</v>
      </c>
      <c r="AJ70" s="185" t="n">
        <v>72928195</v>
      </c>
      <c r="AK70" s="182" t="n">
        <v>72928195</v>
      </c>
      <c r="AL70" s="183" t="n">
        <v>72928195</v>
      </c>
      <c r="AM70" s="186" t="n">
        <v>72928195</v>
      </c>
      <c r="AN70" s="186" t="n">
        <v>74486276</v>
      </c>
      <c r="AO70" s="185" t="n">
        <v>74486276</v>
      </c>
      <c r="AP70" s="182" t="n">
        <v>74486276</v>
      </c>
      <c r="AQ70" s="183" t="n">
        <v>74486276</v>
      </c>
    </row>
    <row r="71" customFormat="false" ht="12.8" hidden="false" customHeight="false" outlineLevel="0" collapsed="false">
      <c r="A71" s="139" t="s">
        <v>184</v>
      </c>
      <c r="B71" s="181" t="n">
        <v>103501609</v>
      </c>
      <c r="C71" s="181" t="n">
        <v>103501609</v>
      </c>
      <c r="D71" s="182" t="n">
        <v>103501609</v>
      </c>
      <c r="E71" s="183" t="n">
        <v>103501609</v>
      </c>
      <c r="F71" s="186" t="n">
        <v>103501609</v>
      </c>
      <c r="G71" s="183" t="n">
        <v>98434146</v>
      </c>
      <c r="H71" s="182" t="n">
        <v>98434146</v>
      </c>
      <c r="I71" s="184" t="n">
        <v>98434146</v>
      </c>
      <c r="J71" s="185" t="n">
        <v>98434146</v>
      </c>
      <c r="K71" s="183" t="n">
        <v>98434146</v>
      </c>
      <c r="L71" s="182" t="n">
        <v>98434146</v>
      </c>
      <c r="M71" s="183" t="n">
        <v>98434146</v>
      </c>
      <c r="N71" s="183" t="n">
        <v>98434146</v>
      </c>
      <c r="O71" s="186" t="n">
        <v>98434146</v>
      </c>
      <c r="P71" s="186" t="n">
        <v>99134032</v>
      </c>
      <c r="Q71" s="185" t="n">
        <v>99134032</v>
      </c>
      <c r="R71" s="182" t="n">
        <v>99134032</v>
      </c>
      <c r="S71" s="183" t="n">
        <v>99134032</v>
      </c>
      <c r="T71" s="186" t="n">
        <v>99134032</v>
      </c>
      <c r="U71" s="182" t="n">
        <v>90185219</v>
      </c>
      <c r="V71" s="183" t="n">
        <v>90185219</v>
      </c>
      <c r="W71" s="183" t="n">
        <v>90185219</v>
      </c>
      <c r="X71" s="184" t="n">
        <v>90185219</v>
      </c>
      <c r="Y71" s="185" t="n">
        <v>90185219</v>
      </c>
      <c r="Z71" s="182" t="n">
        <v>90185219</v>
      </c>
      <c r="AA71" s="183" t="n">
        <v>90185219</v>
      </c>
      <c r="AB71" s="186" t="n">
        <v>90185219</v>
      </c>
      <c r="AC71" s="182" t="n">
        <v>89872195</v>
      </c>
      <c r="AD71" s="185" t="n">
        <v>89872195</v>
      </c>
      <c r="AE71" s="182" t="n">
        <v>89872195</v>
      </c>
      <c r="AF71" s="183" t="n">
        <v>89872195</v>
      </c>
      <c r="AG71" s="186" t="n">
        <v>89872195</v>
      </c>
      <c r="AH71" s="182" t="n">
        <v>83318016</v>
      </c>
      <c r="AI71" s="184" t="n">
        <v>83318016</v>
      </c>
      <c r="AJ71" s="185" t="n">
        <v>83318016</v>
      </c>
      <c r="AK71" s="182" t="n">
        <v>83318016</v>
      </c>
      <c r="AL71" s="183" t="n">
        <v>83318016</v>
      </c>
      <c r="AM71" s="186" t="n">
        <v>83318016</v>
      </c>
      <c r="AN71" s="186" t="n">
        <v>81423073</v>
      </c>
      <c r="AO71" s="185" t="n">
        <v>81423073</v>
      </c>
      <c r="AP71" s="182" t="n">
        <v>81423073</v>
      </c>
      <c r="AQ71" s="183" t="n">
        <v>81423073</v>
      </c>
    </row>
    <row r="72" customFormat="false" ht="12.8" hidden="false" customHeight="false" outlineLevel="0" collapsed="false">
      <c r="A72" s="139" t="s">
        <v>185</v>
      </c>
      <c r="B72" s="181" t="n">
        <v>62444894</v>
      </c>
      <c r="C72" s="181" t="n">
        <v>62444894</v>
      </c>
      <c r="D72" s="182" t="n">
        <v>62444894</v>
      </c>
      <c r="E72" s="183" t="n">
        <v>62444894</v>
      </c>
      <c r="F72" s="186" t="n">
        <v>62444894</v>
      </c>
      <c r="G72" s="183" t="n">
        <v>55410552</v>
      </c>
      <c r="H72" s="182" t="n">
        <v>55410552</v>
      </c>
      <c r="I72" s="184" t="n">
        <v>55410552</v>
      </c>
      <c r="J72" s="185" t="n">
        <v>55410552</v>
      </c>
      <c r="K72" s="183" t="n">
        <v>55410552</v>
      </c>
      <c r="L72" s="182" t="n">
        <v>55410552</v>
      </c>
      <c r="M72" s="183" t="n">
        <v>55410552</v>
      </c>
      <c r="N72" s="183" t="n">
        <v>55410552</v>
      </c>
      <c r="O72" s="186" t="n">
        <v>55410552</v>
      </c>
      <c r="P72" s="186" t="n">
        <v>49657073</v>
      </c>
      <c r="Q72" s="185" t="n">
        <v>49657073</v>
      </c>
      <c r="R72" s="182" t="n">
        <v>49657073</v>
      </c>
      <c r="S72" s="183" t="n">
        <v>49657073</v>
      </c>
      <c r="T72" s="186" t="n">
        <v>49657073</v>
      </c>
      <c r="U72" s="182" t="n">
        <v>46557967</v>
      </c>
      <c r="V72" s="183" t="n">
        <v>46557967</v>
      </c>
      <c r="W72" s="183" t="n">
        <v>46557967</v>
      </c>
      <c r="X72" s="184" t="n">
        <v>46557967</v>
      </c>
      <c r="Y72" s="185" t="n">
        <v>46557967</v>
      </c>
      <c r="Z72" s="182" t="n">
        <v>46557967</v>
      </c>
      <c r="AA72" s="183" t="n">
        <v>46557967</v>
      </c>
      <c r="AB72" s="186" t="n">
        <v>46557967</v>
      </c>
      <c r="AC72" s="182" t="n">
        <v>40739300</v>
      </c>
      <c r="AD72" s="185" t="n">
        <v>40739300</v>
      </c>
      <c r="AE72" s="182" t="n">
        <v>40739300</v>
      </c>
      <c r="AF72" s="183" t="n">
        <v>40739300</v>
      </c>
      <c r="AG72" s="186" t="n">
        <v>40739300</v>
      </c>
      <c r="AH72" s="182" t="n">
        <v>32168731</v>
      </c>
      <c r="AI72" s="184" t="n">
        <v>32168731</v>
      </c>
      <c r="AJ72" s="185" t="n">
        <v>32168731</v>
      </c>
      <c r="AK72" s="182" t="n">
        <v>32168731</v>
      </c>
      <c r="AL72" s="183" t="n">
        <v>32168731</v>
      </c>
      <c r="AM72" s="186" t="n">
        <v>32168731</v>
      </c>
      <c r="AN72" s="186" t="n">
        <v>27862097</v>
      </c>
      <c r="AO72" s="185" t="n">
        <v>27862097</v>
      </c>
      <c r="AP72" s="182" t="n">
        <v>27862097</v>
      </c>
      <c r="AQ72" s="183" t="n">
        <v>27862097</v>
      </c>
    </row>
    <row r="73" customFormat="false" ht="12.8" hidden="false" customHeight="false" outlineLevel="0" collapsed="false">
      <c r="A73" s="139" t="s">
        <v>29</v>
      </c>
      <c r="B73" s="181" t="n">
        <v>36018780</v>
      </c>
      <c r="C73" s="181" t="n">
        <v>36018780</v>
      </c>
      <c r="D73" s="182" t="n">
        <v>36018780</v>
      </c>
      <c r="E73" s="183" t="n">
        <v>36018780</v>
      </c>
      <c r="F73" s="186" t="n">
        <v>36018780</v>
      </c>
      <c r="G73" s="183" t="n">
        <v>24940406</v>
      </c>
      <c r="H73" s="182" t="n">
        <v>24940406</v>
      </c>
      <c r="I73" s="184" t="n">
        <v>24940406</v>
      </c>
      <c r="J73" s="185" t="n">
        <v>24940406</v>
      </c>
      <c r="K73" s="183" t="n">
        <v>24940406</v>
      </c>
      <c r="L73" s="182" t="n">
        <v>24940406</v>
      </c>
      <c r="M73" s="183" t="n">
        <v>24940406</v>
      </c>
      <c r="N73" s="183" t="n">
        <v>24940406</v>
      </c>
      <c r="O73" s="186" t="n">
        <v>24940406</v>
      </c>
      <c r="P73" s="186" t="n">
        <v>25374260</v>
      </c>
      <c r="Q73" s="185" t="n">
        <v>25374260</v>
      </c>
      <c r="R73" s="182" t="n">
        <v>25374260</v>
      </c>
      <c r="S73" s="183" t="n">
        <v>25374260</v>
      </c>
      <c r="T73" s="186" t="n">
        <v>25374260</v>
      </c>
      <c r="U73" s="182" t="n">
        <v>24843382</v>
      </c>
      <c r="V73" s="183" t="n">
        <v>24843382</v>
      </c>
      <c r="W73" s="183" t="n">
        <v>24843382</v>
      </c>
      <c r="X73" s="184" t="n">
        <v>24843382</v>
      </c>
      <c r="Y73" s="185" t="n">
        <v>24843382</v>
      </c>
      <c r="Z73" s="182" t="n">
        <v>24843382</v>
      </c>
      <c r="AA73" s="183" t="n">
        <v>24843382</v>
      </c>
      <c r="AB73" s="186" t="n">
        <v>24843382</v>
      </c>
      <c r="AC73" s="182" t="n">
        <v>23937934</v>
      </c>
      <c r="AD73" s="185" t="n">
        <v>23937934</v>
      </c>
      <c r="AE73" s="182" t="n">
        <v>23937934</v>
      </c>
      <c r="AF73" s="183" t="n">
        <v>23937934</v>
      </c>
      <c r="AG73" s="186" t="n">
        <v>23937934</v>
      </c>
      <c r="AH73" s="237" t="n">
        <v>23742260</v>
      </c>
      <c r="AI73" s="184" t="n">
        <v>23742260</v>
      </c>
      <c r="AJ73" s="239" t="n">
        <v>23742260</v>
      </c>
      <c r="AK73" s="237" t="n">
        <v>23742260</v>
      </c>
      <c r="AL73" s="183" t="n">
        <v>23742260</v>
      </c>
      <c r="AM73" s="186" t="n">
        <v>23742260</v>
      </c>
      <c r="AN73" s="186" t="n">
        <v>24042699</v>
      </c>
      <c r="AO73" s="185" t="n">
        <v>24042699</v>
      </c>
      <c r="AP73" s="182" t="n">
        <v>24042699</v>
      </c>
      <c r="AQ73" s="183" t="n">
        <v>24042699</v>
      </c>
    </row>
    <row r="74" customFormat="false" ht="12.8" hidden="false" customHeight="false" outlineLevel="0" collapsed="false">
      <c r="A74" s="139" t="s">
        <v>186</v>
      </c>
      <c r="B74" s="181" t="n">
        <v>46779154</v>
      </c>
      <c r="C74" s="181" t="n">
        <v>46779154</v>
      </c>
      <c r="D74" s="182" t="n">
        <v>46779154</v>
      </c>
      <c r="E74" s="183" t="n">
        <v>46779154</v>
      </c>
      <c r="F74" s="182" t="n">
        <v>46779154</v>
      </c>
      <c r="G74" s="184" t="n">
        <v>46779154</v>
      </c>
      <c r="H74" s="182" t="n">
        <v>43931300</v>
      </c>
      <c r="I74" s="184" t="n">
        <v>43931300</v>
      </c>
      <c r="J74" s="185" t="n">
        <v>43931300</v>
      </c>
      <c r="K74" s="183" t="n">
        <v>43931300</v>
      </c>
      <c r="L74" s="182" t="n">
        <v>43931300</v>
      </c>
      <c r="M74" s="183" t="n">
        <v>43931300</v>
      </c>
      <c r="N74" s="183" t="n">
        <v>43931300</v>
      </c>
      <c r="O74" s="186" t="n">
        <v>43931300</v>
      </c>
      <c r="P74" s="186" t="n">
        <v>44484455</v>
      </c>
      <c r="Q74" s="185" t="n">
        <v>44484455</v>
      </c>
      <c r="R74" s="182" t="n">
        <v>44484455</v>
      </c>
      <c r="S74" s="183" t="n">
        <v>44484455</v>
      </c>
      <c r="T74" s="186" t="n">
        <v>44484455</v>
      </c>
      <c r="U74" s="182" t="n">
        <v>40430243</v>
      </c>
      <c r="V74" s="183" t="n">
        <v>40430243</v>
      </c>
      <c r="W74" s="183" t="n">
        <v>40430243</v>
      </c>
      <c r="X74" s="184" t="n">
        <v>40430243</v>
      </c>
      <c r="Y74" s="185" t="n">
        <v>40430243</v>
      </c>
      <c r="Z74" s="182" t="n">
        <v>40430243</v>
      </c>
      <c r="AA74" s="183" t="n">
        <v>40430243</v>
      </c>
      <c r="AB74" s="186" t="n">
        <v>40430243</v>
      </c>
      <c r="AC74" s="182" t="n">
        <v>42243008</v>
      </c>
      <c r="AD74" s="185" t="n">
        <v>42243008</v>
      </c>
      <c r="AE74" s="182" t="n">
        <v>42243008</v>
      </c>
      <c r="AF74" s="183" t="n">
        <v>42243008</v>
      </c>
      <c r="AG74" s="186" t="n">
        <v>42243008</v>
      </c>
      <c r="AH74" s="182" t="n">
        <v>41058926</v>
      </c>
      <c r="AI74" s="184" t="n">
        <v>41058926</v>
      </c>
      <c r="AJ74" s="185" t="n">
        <v>41058926</v>
      </c>
      <c r="AK74" s="182" t="n">
        <v>41058926</v>
      </c>
      <c r="AL74" s="183" t="n">
        <v>41058926</v>
      </c>
      <c r="AM74" s="186" t="n">
        <v>41058926</v>
      </c>
      <c r="AN74" s="186" t="n">
        <v>39286146</v>
      </c>
      <c r="AO74" s="185" t="n">
        <v>39286146</v>
      </c>
      <c r="AP74" s="182" t="n">
        <v>39286146</v>
      </c>
      <c r="AQ74" s="183" t="n">
        <v>39286146</v>
      </c>
    </row>
    <row r="75" customFormat="false" ht="12.8" hidden="false" customHeight="false" outlineLevel="0" collapsed="false">
      <c r="A75" s="139" t="s">
        <v>187</v>
      </c>
      <c r="B75" s="181" t="n">
        <v>58002081</v>
      </c>
      <c r="C75" s="181" t="n">
        <v>58002081</v>
      </c>
      <c r="D75" s="182" t="n">
        <v>58002081</v>
      </c>
      <c r="E75" s="183" t="n">
        <v>58002081</v>
      </c>
      <c r="F75" s="186" t="n">
        <v>58002081</v>
      </c>
      <c r="G75" s="183" t="n">
        <v>52220747</v>
      </c>
      <c r="H75" s="182" t="n">
        <v>52220747</v>
      </c>
      <c r="I75" s="184" t="n">
        <v>52220747</v>
      </c>
      <c r="J75" s="185" t="n">
        <v>52220747</v>
      </c>
      <c r="K75" s="183" t="n">
        <v>52220747</v>
      </c>
      <c r="L75" s="182" t="n">
        <v>52220747</v>
      </c>
      <c r="M75" s="183" t="n">
        <v>52220747</v>
      </c>
      <c r="N75" s="183" t="n">
        <v>52220747</v>
      </c>
      <c r="O75" s="186" t="n">
        <v>52220747</v>
      </c>
      <c r="P75" s="186" t="n">
        <v>34704666</v>
      </c>
      <c r="Q75" s="185" t="n">
        <v>34704666</v>
      </c>
      <c r="R75" s="182" t="n">
        <v>34704666</v>
      </c>
      <c r="S75" s="183" t="n">
        <v>34704666</v>
      </c>
      <c r="T75" s="186" t="n">
        <v>34704666</v>
      </c>
      <c r="U75" s="182" t="n">
        <v>20893495</v>
      </c>
      <c r="V75" s="183" t="n">
        <v>20893495</v>
      </c>
      <c r="W75" s="183" t="n">
        <v>20893495</v>
      </c>
      <c r="X75" s="184" t="n">
        <v>20893495</v>
      </c>
      <c r="Y75" s="185" t="n">
        <v>20893495</v>
      </c>
      <c r="Z75" s="182" t="n">
        <v>20893495</v>
      </c>
      <c r="AA75" s="183" t="n">
        <v>20893495</v>
      </c>
      <c r="AB75" s="186" t="n">
        <v>20893495</v>
      </c>
      <c r="AC75" s="182" t="n">
        <v>19554569</v>
      </c>
      <c r="AD75" s="185" t="n">
        <v>19554569</v>
      </c>
      <c r="AE75" s="182" t="n">
        <v>19554569</v>
      </c>
      <c r="AF75" s="184" t="n">
        <v>19554569</v>
      </c>
      <c r="AG75" s="182" t="n">
        <v>19292585</v>
      </c>
      <c r="AH75" s="182" t="n">
        <v>19292585</v>
      </c>
      <c r="AI75" s="184" t="n">
        <v>19292585</v>
      </c>
      <c r="AJ75" s="185" t="n">
        <v>19292585</v>
      </c>
      <c r="AK75" s="187" t="n">
        <v>19292585</v>
      </c>
      <c r="AL75" s="184" t="n">
        <v>19292585</v>
      </c>
      <c r="AM75" s="182" t="n">
        <v>19085691</v>
      </c>
      <c r="AN75" s="186" t="n">
        <v>19085691</v>
      </c>
      <c r="AO75" s="185" t="n">
        <v>19085691</v>
      </c>
      <c r="AP75" s="182" t="n">
        <v>19085691</v>
      </c>
      <c r="AQ75" s="183" t="n">
        <v>19085691</v>
      </c>
    </row>
    <row r="76" customFormat="false" ht="12.8" hidden="false" customHeight="false" outlineLevel="0" collapsed="false">
      <c r="A76" s="139" t="s">
        <v>188</v>
      </c>
      <c r="B76" s="181" t="n">
        <v>45446406</v>
      </c>
      <c r="C76" s="181" t="n">
        <v>45446406</v>
      </c>
      <c r="D76" s="182" t="n">
        <v>45446406</v>
      </c>
      <c r="E76" s="183" t="n">
        <v>45446406</v>
      </c>
      <c r="F76" s="186" t="n">
        <v>45446406</v>
      </c>
      <c r="G76" s="183" t="n">
        <v>37995317</v>
      </c>
      <c r="H76" s="182" t="n">
        <v>37995317</v>
      </c>
      <c r="I76" s="184" t="n">
        <v>37995317</v>
      </c>
      <c r="J76" s="185" t="n">
        <v>37995317</v>
      </c>
      <c r="K76" s="183" t="n">
        <v>37995317</v>
      </c>
      <c r="L76" s="182" t="n">
        <v>37995317</v>
      </c>
      <c r="M76" s="183" t="n">
        <v>37995317</v>
      </c>
      <c r="N76" s="183" t="n">
        <v>37995317</v>
      </c>
      <c r="O76" s="186" t="n">
        <v>37995317</v>
      </c>
      <c r="P76" s="186" t="n">
        <v>34860699</v>
      </c>
      <c r="Q76" s="185" t="n">
        <v>34860699</v>
      </c>
      <c r="R76" s="182" t="n">
        <v>34860699</v>
      </c>
      <c r="S76" s="183" t="n">
        <v>34860699</v>
      </c>
      <c r="T76" s="186" t="n">
        <v>34860699</v>
      </c>
      <c r="U76" s="182" t="n">
        <v>32476243</v>
      </c>
      <c r="V76" s="183" t="n">
        <v>32476243</v>
      </c>
      <c r="W76" s="183" t="n">
        <v>32476243</v>
      </c>
      <c r="X76" s="184" t="n">
        <v>32476243</v>
      </c>
      <c r="Y76" s="185" t="n">
        <v>32476243</v>
      </c>
      <c r="Z76" s="182" t="n">
        <v>32476243</v>
      </c>
      <c r="AA76" s="183" t="n">
        <v>32476243</v>
      </c>
      <c r="AB76" s="186" t="n">
        <v>32476243</v>
      </c>
      <c r="AC76" s="182" t="n">
        <v>31499203</v>
      </c>
      <c r="AD76" s="185" t="n">
        <v>31499203</v>
      </c>
      <c r="AE76" s="182" t="n">
        <v>31499203</v>
      </c>
      <c r="AF76" s="184" t="n">
        <v>31499203</v>
      </c>
      <c r="AG76" s="182" t="n">
        <v>29410845</v>
      </c>
      <c r="AH76" s="182" t="n">
        <v>29410845</v>
      </c>
      <c r="AI76" s="184" t="n">
        <v>29410845</v>
      </c>
      <c r="AJ76" s="185" t="n">
        <v>29410845</v>
      </c>
      <c r="AK76" s="187" t="n">
        <v>29410845</v>
      </c>
      <c r="AL76" s="184" t="n">
        <v>29410845</v>
      </c>
      <c r="AM76" s="182" t="n">
        <v>27143284</v>
      </c>
      <c r="AN76" s="186" t="n">
        <v>27143284</v>
      </c>
      <c r="AO76" s="185" t="n">
        <v>27143284</v>
      </c>
      <c r="AP76" s="182" t="n">
        <v>27143284</v>
      </c>
      <c r="AQ76" s="183" t="n">
        <v>27143284</v>
      </c>
    </row>
    <row r="77" customFormat="false" ht="12.8" hidden="false" customHeight="false" outlineLevel="0" collapsed="false">
      <c r="A77" s="139" t="s">
        <v>189</v>
      </c>
      <c r="B77" s="181" t="n">
        <v>19795560</v>
      </c>
      <c r="C77" s="181" t="n">
        <v>19795560</v>
      </c>
      <c r="D77" s="182" t="n">
        <v>19795560</v>
      </c>
      <c r="E77" s="183" t="n">
        <v>19795560</v>
      </c>
      <c r="F77" s="182" t="n">
        <v>19795560</v>
      </c>
      <c r="G77" s="183" t="n">
        <v>19795560</v>
      </c>
      <c r="H77" s="186" t="n">
        <v>19795560</v>
      </c>
      <c r="I77" s="184" t="n">
        <v>18134178</v>
      </c>
      <c r="J77" s="185" t="n">
        <v>18134178</v>
      </c>
      <c r="K77" s="183" t="n">
        <v>18134178</v>
      </c>
      <c r="L77" s="182" t="n">
        <v>18134178</v>
      </c>
      <c r="M77" s="183" t="n">
        <v>18134178</v>
      </c>
      <c r="N77" s="183" t="n">
        <v>18134178</v>
      </c>
      <c r="O77" s="182" t="n">
        <v>18134178</v>
      </c>
      <c r="P77" s="186" t="n">
        <v>18134178</v>
      </c>
      <c r="Q77" s="185" t="n">
        <v>17582959</v>
      </c>
      <c r="R77" s="182" t="n">
        <v>17582959</v>
      </c>
      <c r="S77" s="183" t="n">
        <v>17582959</v>
      </c>
      <c r="T77" s="182" t="n">
        <v>17582959</v>
      </c>
      <c r="U77" s="186" t="n">
        <v>17582959</v>
      </c>
      <c r="V77" s="183" t="n">
        <v>18182894</v>
      </c>
      <c r="W77" s="183" t="n">
        <v>18182894</v>
      </c>
      <c r="X77" s="184" t="n">
        <v>18182894</v>
      </c>
      <c r="Y77" s="185" t="n">
        <v>18182894</v>
      </c>
      <c r="Z77" s="182" t="n">
        <v>18182894</v>
      </c>
      <c r="AA77" s="183" t="n">
        <v>18182894</v>
      </c>
      <c r="AB77" s="182" t="n">
        <v>18182894</v>
      </c>
      <c r="AC77" s="182" t="n">
        <v>18182894</v>
      </c>
      <c r="AD77" s="185" t="n">
        <v>18331983</v>
      </c>
      <c r="AE77" s="182" t="n">
        <v>18331983</v>
      </c>
      <c r="AF77" s="183" t="n">
        <v>18331983</v>
      </c>
      <c r="AG77" s="182" t="n">
        <v>18331983</v>
      </c>
      <c r="AH77" s="182" t="n">
        <v>18331983</v>
      </c>
      <c r="AI77" s="184" t="n">
        <v>18331983</v>
      </c>
      <c r="AJ77" s="185" t="n">
        <v>18116097</v>
      </c>
      <c r="AK77" s="187" t="n">
        <v>18116097</v>
      </c>
      <c r="AL77" s="183" t="n">
        <v>18116097</v>
      </c>
      <c r="AM77" s="182" t="n">
        <v>18116097</v>
      </c>
      <c r="AN77" s="186" t="n">
        <v>18116097</v>
      </c>
      <c r="AO77" s="185" t="n">
        <v>18179918</v>
      </c>
      <c r="AP77" s="182" t="n">
        <v>18179918</v>
      </c>
      <c r="AQ77" s="183" t="n">
        <v>18179918</v>
      </c>
    </row>
    <row r="78" customFormat="false" ht="12.8" hidden="false" customHeight="false" outlineLevel="0" collapsed="false">
      <c r="A78" s="139" t="s">
        <v>190</v>
      </c>
      <c r="B78" s="181" t="n">
        <v>40127560</v>
      </c>
      <c r="C78" s="181" t="n">
        <v>40127560</v>
      </c>
      <c r="D78" s="182" t="n">
        <v>40127560</v>
      </c>
      <c r="E78" s="183" t="n">
        <v>40127560</v>
      </c>
      <c r="F78" s="186" t="n">
        <v>40127560</v>
      </c>
      <c r="G78" s="183" t="n">
        <v>37718422</v>
      </c>
      <c r="H78" s="182" t="n">
        <v>37718422</v>
      </c>
      <c r="I78" s="184" t="n">
        <v>37718422</v>
      </c>
      <c r="J78" s="185" t="n">
        <v>37718422</v>
      </c>
      <c r="K78" s="183" t="n">
        <v>37718422</v>
      </c>
      <c r="L78" s="182" t="n">
        <v>37718422</v>
      </c>
      <c r="M78" s="183" t="n">
        <v>37718422</v>
      </c>
      <c r="N78" s="183" t="n">
        <v>37718422</v>
      </c>
      <c r="O78" s="186" t="n">
        <v>37718422</v>
      </c>
      <c r="P78" s="186" t="n">
        <v>37101642</v>
      </c>
      <c r="Q78" s="185" t="n">
        <v>37101642</v>
      </c>
      <c r="R78" s="182" t="n">
        <v>37101642</v>
      </c>
      <c r="S78" s="183" t="n">
        <v>37101642</v>
      </c>
      <c r="T78" s="186" t="n">
        <v>37101642</v>
      </c>
      <c r="U78" s="182" t="n">
        <v>34227268</v>
      </c>
      <c r="V78" s="183" t="n">
        <v>34227268</v>
      </c>
      <c r="W78" s="183" t="n">
        <v>34227268</v>
      </c>
      <c r="X78" s="184" t="n">
        <v>34227268</v>
      </c>
      <c r="Y78" s="185" t="n">
        <v>34227268</v>
      </c>
      <c r="Z78" s="182" t="n">
        <v>34227268</v>
      </c>
      <c r="AA78" s="183" t="n">
        <v>34227268</v>
      </c>
      <c r="AB78" s="186" t="n">
        <v>34227268</v>
      </c>
      <c r="AC78" s="186" t="n">
        <v>32570552</v>
      </c>
      <c r="AD78" s="182" t="n">
        <v>32570552</v>
      </c>
      <c r="AE78" s="182" t="n">
        <v>32570552</v>
      </c>
      <c r="AF78" s="183" t="n">
        <v>32570552</v>
      </c>
      <c r="AG78" s="186" t="n">
        <v>32570552</v>
      </c>
      <c r="AH78" s="182" t="n">
        <v>32245008</v>
      </c>
      <c r="AI78" s="184" t="n">
        <v>32245008</v>
      </c>
      <c r="AJ78" s="185" t="n">
        <v>32245008</v>
      </c>
      <c r="AK78" s="187" t="n">
        <v>32245008</v>
      </c>
      <c r="AL78" s="181" t="n">
        <v>32245008</v>
      </c>
      <c r="AM78" s="186" t="n">
        <v>32245008</v>
      </c>
      <c r="AN78" s="186" t="n">
        <v>32491593</v>
      </c>
      <c r="AO78" s="185" t="n">
        <v>32491593</v>
      </c>
      <c r="AP78" s="182" t="n">
        <v>32491593</v>
      </c>
      <c r="AQ78" s="183" t="n">
        <v>32491593</v>
      </c>
    </row>
    <row r="79" customFormat="false" ht="12.8" hidden="false" customHeight="false" outlineLevel="0" collapsed="false">
      <c r="A79" s="139" t="s">
        <v>26</v>
      </c>
      <c r="B79" s="181" t="n">
        <v>27506715</v>
      </c>
      <c r="C79" s="181" t="n">
        <v>27506715</v>
      </c>
      <c r="D79" s="182" t="n">
        <v>27506715</v>
      </c>
      <c r="E79" s="183" t="n">
        <v>27506715</v>
      </c>
      <c r="F79" s="186" t="n">
        <v>27506715</v>
      </c>
      <c r="G79" s="183" t="n">
        <v>30445382</v>
      </c>
      <c r="H79" s="182" t="n">
        <v>30445382</v>
      </c>
      <c r="I79" s="184" t="n">
        <v>30445382</v>
      </c>
      <c r="J79" s="185" t="n">
        <v>30445382</v>
      </c>
      <c r="K79" s="183" t="n">
        <v>30445382</v>
      </c>
      <c r="L79" s="182" t="n">
        <v>30445382</v>
      </c>
      <c r="M79" s="183" t="n">
        <v>30445382</v>
      </c>
      <c r="N79" s="183" t="n">
        <v>30445382</v>
      </c>
      <c r="O79" s="186" t="n">
        <v>30445382</v>
      </c>
      <c r="P79" s="186" t="n">
        <v>29968699</v>
      </c>
      <c r="Q79" s="185" t="n">
        <v>29968699</v>
      </c>
      <c r="R79" s="182" t="n">
        <v>29968699</v>
      </c>
      <c r="S79" s="183" t="n">
        <v>29968699</v>
      </c>
      <c r="T79" s="186" t="n">
        <v>29968699</v>
      </c>
      <c r="U79" s="182" t="n">
        <v>24017024</v>
      </c>
      <c r="V79" s="183" t="n">
        <v>24017024</v>
      </c>
      <c r="W79" s="183" t="n">
        <v>24017024</v>
      </c>
      <c r="X79" s="184" t="n">
        <v>24017024</v>
      </c>
      <c r="Y79" s="185" t="n">
        <v>24017024</v>
      </c>
      <c r="Z79" s="182" t="n">
        <v>24017024</v>
      </c>
      <c r="AA79" s="183" t="n">
        <v>24017024</v>
      </c>
      <c r="AB79" s="186" t="n">
        <v>24017024</v>
      </c>
      <c r="AC79" s="182" t="n">
        <v>22620439</v>
      </c>
      <c r="AD79" s="185" t="n">
        <v>22620439</v>
      </c>
      <c r="AE79" s="182" t="n">
        <v>22620439</v>
      </c>
      <c r="AF79" s="183" t="n">
        <v>22620439</v>
      </c>
      <c r="AG79" s="186" t="n">
        <v>22620439</v>
      </c>
      <c r="AH79" s="182" t="n">
        <v>22341121</v>
      </c>
      <c r="AI79" s="184" t="n">
        <v>22341121</v>
      </c>
      <c r="AJ79" s="185" t="n">
        <v>22341121</v>
      </c>
      <c r="AK79" s="182" t="n">
        <v>22341121</v>
      </c>
      <c r="AL79" s="183" t="n">
        <v>22341121</v>
      </c>
      <c r="AM79" s="186" t="n">
        <v>22341121</v>
      </c>
      <c r="AN79" s="186" t="n">
        <v>21746292</v>
      </c>
      <c r="AO79" s="185" t="n">
        <v>21746292</v>
      </c>
      <c r="AP79" s="182" t="n">
        <v>21746292</v>
      </c>
      <c r="AQ79" s="183" t="n">
        <v>21746292</v>
      </c>
    </row>
    <row r="80" customFormat="false" ht="12.8" hidden="false" customHeight="false" outlineLevel="0" collapsed="false">
      <c r="A80" s="139" t="s">
        <v>191</v>
      </c>
      <c r="B80" s="181" t="n">
        <v>26900097</v>
      </c>
      <c r="C80" s="181" t="n">
        <v>26900097</v>
      </c>
      <c r="D80" s="182" t="n">
        <v>26900097</v>
      </c>
      <c r="E80" s="183" t="n">
        <v>26900097</v>
      </c>
      <c r="F80" s="182" t="n">
        <v>26900097</v>
      </c>
      <c r="G80" s="183" t="n">
        <v>26900097</v>
      </c>
      <c r="H80" s="182" t="n">
        <v>26900097</v>
      </c>
      <c r="I80" s="184" t="n">
        <v>26900097</v>
      </c>
      <c r="J80" s="185" t="n">
        <v>26584878</v>
      </c>
      <c r="K80" s="183" t="n">
        <v>26584878</v>
      </c>
      <c r="L80" s="182" t="n">
        <v>26584878</v>
      </c>
      <c r="M80" s="183" t="n">
        <v>26584878</v>
      </c>
      <c r="N80" s="183" t="n">
        <v>26584878</v>
      </c>
      <c r="O80" s="182" t="n">
        <v>26584878</v>
      </c>
      <c r="P80" s="186" t="n">
        <v>26584878</v>
      </c>
      <c r="Q80" s="185" t="n">
        <v>26545040</v>
      </c>
      <c r="R80" s="182" t="n">
        <v>26545040</v>
      </c>
      <c r="S80" s="183" t="n">
        <v>26545040</v>
      </c>
      <c r="T80" s="182" t="n">
        <v>26545040</v>
      </c>
      <c r="U80" s="182" t="n">
        <v>26545040</v>
      </c>
      <c r="V80" s="184" t="n">
        <v>26545040</v>
      </c>
      <c r="W80" s="183" t="n">
        <v>26037902</v>
      </c>
      <c r="X80" s="184" t="n">
        <v>26037902</v>
      </c>
      <c r="Y80" s="185" t="n">
        <v>26037902</v>
      </c>
      <c r="Z80" s="182" t="n">
        <v>26037902</v>
      </c>
      <c r="AA80" s="183" t="n">
        <v>26037902</v>
      </c>
      <c r="AB80" s="182" t="n">
        <v>26037902</v>
      </c>
      <c r="AC80" s="186" t="n">
        <v>26037902</v>
      </c>
      <c r="AD80" s="185" t="n">
        <v>27315430</v>
      </c>
      <c r="AE80" s="182" t="n">
        <v>27315430</v>
      </c>
      <c r="AF80" s="183" t="n">
        <v>27315430</v>
      </c>
      <c r="AG80" s="186" t="n">
        <v>27315430</v>
      </c>
      <c r="AH80" s="182" t="n">
        <v>26342146</v>
      </c>
      <c r="AI80" s="184" t="n">
        <v>26342146</v>
      </c>
      <c r="AJ80" s="185" t="n">
        <v>26342146</v>
      </c>
      <c r="AK80" s="182" t="n">
        <v>26342146</v>
      </c>
      <c r="AL80" s="183" t="n">
        <v>26342146</v>
      </c>
      <c r="AM80" s="186" t="n">
        <v>26342146</v>
      </c>
      <c r="AN80" s="186" t="n">
        <v>27313121</v>
      </c>
      <c r="AO80" s="185" t="n">
        <v>27313121</v>
      </c>
      <c r="AP80" s="182" t="n">
        <v>27313121</v>
      </c>
      <c r="AQ80" s="183" t="n">
        <v>27313121</v>
      </c>
    </row>
    <row r="81" customFormat="false" ht="12.8" hidden="false" customHeight="false" outlineLevel="0" collapsed="false">
      <c r="A81" s="139" t="s">
        <v>192</v>
      </c>
      <c r="B81" s="181" t="n">
        <v>35121560</v>
      </c>
      <c r="C81" s="181" t="n">
        <v>35121560</v>
      </c>
      <c r="D81" s="182" t="n">
        <v>35121560</v>
      </c>
      <c r="E81" s="183" t="n">
        <v>35121560</v>
      </c>
      <c r="F81" s="186" t="n">
        <v>35121560</v>
      </c>
      <c r="G81" s="183" t="n">
        <v>32900959</v>
      </c>
      <c r="H81" s="182" t="n">
        <v>32900959</v>
      </c>
      <c r="I81" s="184" t="n">
        <v>32900959</v>
      </c>
      <c r="J81" s="185" t="n">
        <v>32900959</v>
      </c>
      <c r="K81" s="183" t="n">
        <v>32900959</v>
      </c>
      <c r="L81" s="182" t="n">
        <v>32900959</v>
      </c>
      <c r="M81" s="183" t="n">
        <v>32900959</v>
      </c>
      <c r="N81" s="183" t="n">
        <v>32900959</v>
      </c>
      <c r="O81" s="186" t="n">
        <v>32900959</v>
      </c>
      <c r="P81" s="186" t="n">
        <v>38197528</v>
      </c>
      <c r="Q81" s="185" t="n">
        <v>38197528</v>
      </c>
      <c r="R81" s="182" t="n">
        <v>38197528</v>
      </c>
      <c r="S81" s="183" t="n">
        <v>38197528</v>
      </c>
      <c r="T81" s="186" t="n">
        <v>38197528</v>
      </c>
      <c r="U81" s="182" t="n">
        <v>30825837</v>
      </c>
      <c r="V81" s="183" t="n">
        <v>30825837</v>
      </c>
      <c r="W81" s="183" t="n">
        <v>30825837</v>
      </c>
      <c r="X81" s="184" t="n">
        <v>30825837</v>
      </c>
      <c r="Y81" s="185" t="n">
        <v>30825837</v>
      </c>
      <c r="Z81" s="182" t="n">
        <v>30825837</v>
      </c>
      <c r="AA81" s="183" t="n">
        <v>30825837</v>
      </c>
      <c r="AB81" s="186" t="n">
        <v>30825837</v>
      </c>
      <c r="AC81" s="182" t="n">
        <v>32042926</v>
      </c>
      <c r="AD81" s="185" t="n">
        <v>32042926</v>
      </c>
      <c r="AE81" s="182" t="n">
        <v>32042926</v>
      </c>
      <c r="AF81" s="183" t="n">
        <v>32042926</v>
      </c>
      <c r="AG81" s="186" t="n">
        <v>32042926</v>
      </c>
      <c r="AH81" s="182" t="n">
        <v>48040357</v>
      </c>
      <c r="AI81" s="184" t="n">
        <v>48040357</v>
      </c>
      <c r="AJ81" s="185" t="n">
        <v>48040357</v>
      </c>
      <c r="AK81" s="182" t="n">
        <v>48040357</v>
      </c>
      <c r="AL81" s="183" t="n">
        <v>48040357</v>
      </c>
      <c r="AM81" s="186" t="n">
        <v>48040357</v>
      </c>
      <c r="AN81" s="186" t="n">
        <v>48099609</v>
      </c>
      <c r="AO81" s="185" t="n">
        <v>48099609</v>
      </c>
      <c r="AP81" s="182" t="n">
        <v>48099609</v>
      </c>
      <c r="AQ81" s="183" t="n">
        <v>48099609</v>
      </c>
    </row>
    <row r="82" customFormat="false" ht="12.8" hidden="false" customHeight="false" outlineLevel="0" collapsed="false">
      <c r="A82" s="139" t="s">
        <v>193</v>
      </c>
      <c r="B82" s="181" t="n">
        <v>25406910</v>
      </c>
      <c r="C82" s="181" t="n">
        <v>25406910</v>
      </c>
      <c r="D82" s="182" t="n">
        <v>25406910</v>
      </c>
      <c r="E82" s="183" t="n">
        <v>25406910</v>
      </c>
      <c r="F82" s="186" t="n">
        <v>25406910</v>
      </c>
      <c r="G82" s="183" t="n">
        <v>25895252</v>
      </c>
      <c r="H82" s="182" t="n">
        <v>25895252</v>
      </c>
      <c r="I82" s="184" t="n">
        <v>25895252</v>
      </c>
      <c r="J82" s="185" t="n">
        <v>25895252</v>
      </c>
      <c r="K82" s="183" t="n">
        <v>25895252</v>
      </c>
      <c r="L82" s="182" t="n">
        <v>25895252</v>
      </c>
      <c r="M82" s="183" t="n">
        <v>25895252</v>
      </c>
      <c r="N82" s="183" t="n">
        <v>25895252</v>
      </c>
      <c r="O82" s="186" t="n">
        <v>25895252</v>
      </c>
      <c r="P82" s="186" t="n">
        <v>27336292</v>
      </c>
      <c r="Q82" s="185" t="n">
        <v>27336292</v>
      </c>
      <c r="R82" s="182" t="n">
        <v>27336292</v>
      </c>
      <c r="S82" s="183" t="n">
        <v>27336292</v>
      </c>
      <c r="T82" s="186" t="n">
        <v>27336292</v>
      </c>
      <c r="U82" s="182" t="n">
        <v>26007024</v>
      </c>
      <c r="V82" s="183" t="n">
        <v>26007024</v>
      </c>
      <c r="W82" s="183" t="n">
        <v>26007024</v>
      </c>
      <c r="X82" s="184" t="n">
        <v>26007024</v>
      </c>
      <c r="Y82" s="185" t="n">
        <v>26007024</v>
      </c>
      <c r="Z82" s="182" t="n">
        <v>26007024</v>
      </c>
      <c r="AA82" s="183" t="n">
        <v>26007024</v>
      </c>
      <c r="AB82" s="186" t="n">
        <v>26007024</v>
      </c>
      <c r="AC82" s="182" t="n">
        <v>25301186</v>
      </c>
      <c r="AD82" s="185" t="n">
        <v>25301186</v>
      </c>
      <c r="AE82" s="182" t="n">
        <v>25301186</v>
      </c>
      <c r="AF82" s="183" t="n">
        <v>25301186</v>
      </c>
      <c r="AG82" s="186" t="n">
        <v>25301186</v>
      </c>
      <c r="AH82" s="182" t="n">
        <v>39727138</v>
      </c>
      <c r="AI82" s="184" t="n">
        <v>39727138</v>
      </c>
      <c r="AJ82" s="185" t="n">
        <v>39727138</v>
      </c>
      <c r="AK82" s="182" t="n">
        <v>39727138</v>
      </c>
      <c r="AL82" s="183" t="n">
        <v>39727138</v>
      </c>
      <c r="AM82" s="186" t="n">
        <v>39727138</v>
      </c>
      <c r="AN82" s="186" t="n">
        <v>24589430</v>
      </c>
      <c r="AO82" s="185" t="n">
        <v>24589430</v>
      </c>
      <c r="AP82" s="182" t="n">
        <v>24589430</v>
      </c>
      <c r="AQ82" s="183" t="n">
        <v>24589430</v>
      </c>
    </row>
    <row r="83" customFormat="false" ht="12.8" hidden="false" customHeight="false" outlineLevel="0" collapsed="false">
      <c r="A83" s="139" t="s">
        <v>194</v>
      </c>
      <c r="B83" s="181" t="n">
        <v>16431560</v>
      </c>
      <c r="C83" s="181" t="n">
        <v>16431560</v>
      </c>
      <c r="D83" s="182" t="n">
        <v>16431560</v>
      </c>
      <c r="E83" s="184" t="n">
        <v>16431560</v>
      </c>
      <c r="F83" s="186" t="n">
        <v>16020796</v>
      </c>
      <c r="G83" s="183" t="n">
        <v>16020796</v>
      </c>
      <c r="H83" s="182" t="n">
        <v>16020796</v>
      </c>
      <c r="I83" s="184" t="n">
        <v>16020796</v>
      </c>
      <c r="J83" s="185" t="n">
        <v>16020796</v>
      </c>
      <c r="K83" s="183" t="n">
        <v>16020796</v>
      </c>
      <c r="L83" s="182" t="n">
        <v>16020796</v>
      </c>
      <c r="M83" s="183" t="n">
        <v>16020796</v>
      </c>
      <c r="N83" s="183" t="n">
        <v>16020796</v>
      </c>
      <c r="O83" s="186" t="n">
        <v>16020796</v>
      </c>
      <c r="P83" s="186" t="n">
        <v>15731934</v>
      </c>
      <c r="Q83" s="185" t="n">
        <v>15731934</v>
      </c>
      <c r="R83" s="182" t="n">
        <v>15731934</v>
      </c>
      <c r="S83" s="183" t="n">
        <v>15731934</v>
      </c>
      <c r="T83" s="186" t="n">
        <v>15731934</v>
      </c>
      <c r="U83" s="182" t="n">
        <v>14427707</v>
      </c>
      <c r="V83" s="183" t="n">
        <v>14427707</v>
      </c>
      <c r="W83" s="183" t="n">
        <v>14427707</v>
      </c>
      <c r="X83" s="184" t="n">
        <v>14427707</v>
      </c>
      <c r="Y83" s="185" t="n">
        <v>14427707</v>
      </c>
      <c r="Z83" s="182" t="n">
        <v>14427707</v>
      </c>
      <c r="AA83" s="183" t="n">
        <v>14427707</v>
      </c>
      <c r="AB83" s="240" t="n">
        <v>14427707</v>
      </c>
      <c r="AC83" s="182" t="n">
        <v>13824943</v>
      </c>
      <c r="AD83" s="185" t="n">
        <v>13824943</v>
      </c>
      <c r="AE83" s="182" t="n">
        <v>13824943</v>
      </c>
      <c r="AF83" s="183" t="n">
        <v>13824943</v>
      </c>
      <c r="AG83" s="186" t="n">
        <v>13824943</v>
      </c>
      <c r="AH83" s="182" t="n">
        <v>13195983</v>
      </c>
      <c r="AI83" s="184" t="n">
        <v>13195983</v>
      </c>
      <c r="AJ83" s="185" t="n">
        <v>13195983</v>
      </c>
      <c r="AK83" s="182" t="n">
        <v>13195983</v>
      </c>
      <c r="AL83" s="183" t="n">
        <v>13195983</v>
      </c>
      <c r="AM83" s="186" t="n">
        <v>13195983</v>
      </c>
      <c r="AN83" s="186" t="n">
        <v>12015837</v>
      </c>
      <c r="AO83" s="185" t="n">
        <v>12015837</v>
      </c>
      <c r="AP83" s="182" t="n">
        <v>12015837</v>
      </c>
      <c r="AQ83" s="183" t="n">
        <v>12015837</v>
      </c>
    </row>
    <row r="84" customFormat="false" ht="12.8" hidden="false" customHeight="false" outlineLevel="0" collapsed="false">
      <c r="A84" s="139" t="s">
        <v>195</v>
      </c>
      <c r="B84" s="181" t="n">
        <v>17770260</v>
      </c>
      <c r="C84" s="181" t="n">
        <v>17770260</v>
      </c>
      <c r="D84" s="182" t="n">
        <v>17770260</v>
      </c>
      <c r="E84" s="183" t="n">
        <v>17770260</v>
      </c>
      <c r="F84" s="186" t="n">
        <v>17770260</v>
      </c>
      <c r="G84" s="183" t="n">
        <v>15865430</v>
      </c>
      <c r="H84" s="182" t="n">
        <v>15865430</v>
      </c>
      <c r="I84" s="184" t="n">
        <v>15865430</v>
      </c>
      <c r="J84" s="185" t="n">
        <v>15865430</v>
      </c>
      <c r="K84" s="183" t="n">
        <v>15865430</v>
      </c>
      <c r="L84" s="182" t="n">
        <v>15865430</v>
      </c>
      <c r="M84" s="183" t="n">
        <v>15865430</v>
      </c>
      <c r="N84" s="183" t="n">
        <v>15865430</v>
      </c>
      <c r="O84" s="186" t="n">
        <v>15865430</v>
      </c>
      <c r="P84" s="186" t="n">
        <v>16121869</v>
      </c>
      <c r="Q84" s="185" t="n">
        <v>16121869</v>
      </c>
      <c r="R84" s="182" t="n">
        <v>16121869</v>
      </c>
      <c r="S84" s="183" t="n">
        <v>16121869</v>
      </c>
      <c r="T84" s="186" t="n">
        <v>16121869</v>
      </c>
      <c r="U84" s="182" t="n">
        <v>14108455</v>
      </c>
      <c r="V84" s="183" t="n">
        <v>14108455</v>
      </c>
      <c r="W84" s="183" t="n">
        <v>14108455</v>
      </c>
      <c r="X84" s="184" t="n">
        <v>14108455</v>
      </c>
      <c r="Y84" s="185" t="n">
        <v>14108455</v>
      </c>
      <c r="Z84" s="182" t="n">
        <v>14108455</v>
      </c>
      <c r="AA84" s="183" t="n">
        <v>14108455</v>
      </c>
      <c r="AB84" s="240" t="n">
        <v>14108455</v>
      </c>
      <c r="AC84" s="182" t="n">
        <v>13713056</v>
      </c>
      <c r="AD84" s="185" t="n">
        <v>13713056</v>
      </c>
      <c r="AE84" s="182" t="n">
        <v>13713056</v>
      </c>
      <c r="AF84" s="183" t="n">
        <v>13713056</v>
      </c>
      <c r="AG84" s="186" t="n">
        <v>13713056</v>
      </c>
      <c r="AH84" s="182" t="n">
        <v>13747170</v>
      </c>
      <c r="AI84" s="184" t="n">
        <v>13747170</v>
      </c>
      <c r="AJ84" s="185" t="n">
        <v>13747170</v>
      </c>
      <c r="AK84" s="182" t="n">
        <v>13747170</v>
      </c>
      <c r="AL84" s="183" t="n">
        <v>13747170</v>
      </c>
      <c r="AM84" s="186" t="n">
        <v>13747170</v>
      </c>
      <c r="AN84" s="186" t="n">
        <v>13299105</v>
      </c>
      <c r="AO84" s="185" t="n">
        <v>13299105</v>
      </c>
      <c r="AP84" s="182" t="n">
        <v>13299105</v>
      </c>
      <c r="AQ84" s="183" t="n">
        <v>13299105</v>
      </c>
    </row>
    <row r="85" customFormat="false" ht="12.8" hidden="false" customHeight="false" outlineLevel="0" collapsed="false">
      <c r="A85" s="139" t="s">
        <v>196</v>
      </c>
      <c r="B85" s="181" t="n">
        <v>66700081</v>
      </c>
      <c r="C85" s="181" t="n">
        <v>66700081</v>
      </c>
      <c r="D85" s="186" t="n">
        <v>66700081</v>
      </c>
      <c r="E85" s="183" t="n">
        <v>51104243</v>
      </c>
      <c r="F85" s="182" t="n">
        <v>51104243</v>
      </c>
      <c r="G85" s="183" t="n">
        <v>51104243</v>
      </c>
      <c r="H85" s="182" t="n">
        <v>51104243</v>
      </c>
      <c r="I85" s="184" t="n">
        <v>51104243</v>
      </c>
      <c r="J85" s="185" t="n">
        <v>51104243</v>
      </c>
      <c r="K85" s="183" t="n">
        <v>51104243</v>
      </c>
      <c r="L85" s="182" t="n">
        <v>51104243</v>
      </c>
      <c r="M85" s="183" t="n">
        <v>51104243</v>
      </c>
      <c r="N85" s="183" t="n">
        <v>51104243</v>
      </c>
      <c r="O85" s="186" t="n">
        <v>51104243</v>
      </c>
      <c r="P85" s="186" t="n">
        <v>49264699</v>
      </c>
      <c r="Q85" s="185" t="n">
        <v>49264699</v>
      </c>
      <c r="R85" s="182" t="n">
        <v>49264699</v>
      </c>
      <c r="S85" s="183" t="n">
        <v>49264699</v>
      </c>
      <c r="T85" s="186" t="n">
        <v>49264699</v>
      </c>
      <c r="U85" s="182" t="n">
        <v>49692796</v>
      </c>
      <c r="V85" s="183" t="n">
        <v>49692796</v>
      </c>
      <c r="W85" s="183" t="n">
        <v>49692796</v>
      </c>
      <c r="X85" s="184" t="n">
        <v>49692796</v>
      </c>
      <c r="Y85" s="185" t="n">
        <v>49692796</v>
      </c>
      <c r="Z85" s="182" t="n">
        <v>49692796</v>
      </c>
      <c r="AA85" s="183" t="n">
        <v>49692796</v>
      </c>
      <c r="AB85" s="240" t="n">
        <v>49692796</v>
      </c>
      <c r="AC85" s="182" t="n">
        <v>48668081</v>
      </c>
      <c r="AD85" s="185" t="n">
        <v>48668081</v>
      </c>
      <c r="AE85" s="182" t="n">
        <v>48668081</v>
      </c>
      <c r="AF85" s="183" t="n">
        <v>48668081</v>
      </c>
      <c r="AG85" s="186" t="n">
        <v>48668081</v>
      </c>
      <c r="AH85" s="182" t="n">
        <v>48213772</v>
      </c>
      <c r="AI85" s="184" t="n">
        <v>48213772</v>
      </c>
      <c r="AJ85" s="185" t="n">
        <v>48213772</v>
      </c>
      <c r="AK85" s="182" t="n">
        <v>48213772</v>
      </c>
      <c r="AL85" s="183" t="n">
        <v>48213772</v>
      </c>
      <c r="AM85" s="186" t="n">
        <v>48213772</v>
      </c>
      <c r="AN85" s="186" t="n">
        <v>48841463</v>
      </c>
      <c r="AO85" s="185" t="n">
        <v>48841463</v>
      </c>
      <c r="AP85" s="182" t="n">
        <v>48841463</v>
      </c>
      <c r="AQ85" s="183" t="n">
        <v>48841463</v>
      </c>
    </row>
    <row r="86" customFormat="false" ht="12.8" hidden="false" customHeight="false" outlineLevel="0" collapsed="false">
      <c r="A86" s="139" t="s">
        <v>197</v>
      </c>
      <c r="B86" s="181" t="n">
        <v>7200666</v>
      </c>
      <c r="C86" s="181" t="n">
        <v>7200666</v>
      </c>
      <c r="D86" s="182" t="n">
        <v>7200666</v>
      </c>
      <c r="E86" s="183" t="n">
        <v>7200666</v>
      </c>
      <c r="F86" s="186" t="n">
        <v>7200666</v>
      </c>
      <c r="G86" s="183" t="n">
        <v>6498113</v>
      </c>
      <c r="H86" s="182" t="n">
        <v>6498113</v>
      </c>
      <c r="I86" s="184" t="n">
        <v>6498113</v>
      </c>
      <c r="J86" s="185" t="n">
        <v>6498113</v>
      </c>
      <c r="K86" s="183" t="n">
        <v>6498113</v>
      </c>
      <c r="L86" s="182" t="n">
        <v>6498113</v>
      </c>
      <c r="M86" s="183" t="n">
        <v>6498113</v>
      </c>
      <c r="N86" s="183" t="n">
        <v>6498113</v>
      </c>
      <c r="O86" s="186" t="n">
        <v>6498113</v>
      </c>
      <c r="P86" s="186" t="n">
        <v>7476016</v>
      </c>
      <c r="Q86" s="185" t="n">
        <v>7476016</v>
      </c>
      <c r="R86" s="182" t="n">
        <v>7476016</v>
      </c>
      <c r="S86" s="183" t="n">
        <v>7476016</v>
      </c>
      <c r="T86" s="186" t="n">
        <v>7476016</v>
      </c>
      <c r="U86" s="182" t="n">
        <v>6677577</v>
      </c>
      <c r="V86" s="183" t="n">
        <v>6677577</v>
      </c>
      <c r="W86" s="183" t="n">
        <v>6677577</v>
      </c>
      <c r="X86" s="184" t="n">
        <v>6677577</v>
      </c>
      <c r="Y86" s="185" t="n">
        <v>6677577</v>
      </c>
      <c r="Z86" s="182" t="n">
        <v>6677577</v>
      </c>
      <c r="AA86" s="183" t="n">
        <v>6677577</v>
      </c>
      <c r="AB86" s="167" t="n">
        <v>6677577</v>
      </c>
      <c r="AC86" s="182" t="n">
        <v>5795121</v>
      </c>
      <c r="AD86" s="185" t="n">
        <v>5795121</v>
      </c>
      <c r="AE86" s="182" t="n">
        <v>5795121</v>
      </c>
      <c r="AF86" s="183" t="n">
        <v>5795121</v>
      </c>
      <c r="AG86" s="167" t="n">
        <v>5795121</v>
      </c>
      <c r="AH86" s="182" t="n">
        <v>5370878</v>
      </c>
      <c r="AI86" s="184" t="n">
        <v>5370878</v>
      </c>
      <c r="AJ86" s="185" t="n">
        <v>5370878</v>
      </c>
      <c r="AK86" s="182" t="n">
        <v>5370878</v>
      </c>
      <c r="AL86" s="183" t="n">
        <v>5370878</v>
      </c>
      <c r="AM86" s="186" t="n">
        <v>5370878</v>
      </c>
      <c r="AN86" s="186" t="n">
        <v>5493788</v>
      </c>
      <c r="AO86" s="185" t="n">
        <v>5493788</v>
      </c>
      <c r="AP86" s="182" t="n">
        <v>5493788</v>
      </c>
      <c r="AQ86" s="183" t="n">
        <v>5493788</v>
      </c>
    </row>
    <row r="87" customFormat="false" ht="12.8" hidden="false" customHeight="false" outlineLevel="0" collapsed="false">
      <c r="A87" s="139" t="s">
        <v>198</v>
      </c>
      <c r="B87" s="181" t="n">
        <v>5548227</v>
      </c>
      <c r="C87" s="181" t="n">
        <v>5548227</v>
      </c>
      <c r="D87" s="182" t="n">
        <v>5548227</v>
      </c>
      <c r="E87" s="183" t="n">
        <v>5548227</v>
      </c>
      <c r="F87" s="186" t="n">
        <v>5548227</v>
      </c>
      <c r="G87" s="183" t="n">
        <v>5278866</v>
      </c>
      <c r="H87" s="182" t="n">
        <v>5278866</v>
      </c>
      <c r="I87" s="184" t="n">
        <v>5278866</v>
      </c>
      <c r="J87" s="185" t="n">
        <v>5278866</v>
      </c>
      <c r="K87" s="183" t="n">
        <v>5278866</v>
      </c>
      <c r="L87" s="182" t="n">
        <v>5278866</v>
      </c>
      <c r="M87" s="183" t="n">
        <v>5278866</v>
      </c>
      <c r="N87" s="183" t="n">
        <v>5278866</v>
      </c>
      <c r="O87" s="186" t="n">
        <v>5278866</v>
      </c>
      <c r="P87" s="186" t="n">
        <v>5861349</v>
      </c>
      <c r="Q87" s="185" t="n">
        <v>5861349</v>
      </c>
      <c r="R87" s="182" t="n">
        <v>5861349</v>
      </c>
      <c r="S87" s="183" t="n">
        <v>5861349</v>
      </c>
      <c r="T87" s="186" t="n">
        <v>5861349</v>
      </c>
      <c r="U87" s="182" t="n">
        <v>5283544</v>
      </c>
      <c r="V87" s="183" t="n">
        <v>5283544</v>
      </c>
      <c r="W87" s="183" t="n">
        <v>5283544</v>
      </c>
      <c r="X87" s="184" t="n">
        <v>5283544</v>
      </c>
      <c r="Y87" s="185" t="n">
        <v>5283544</v>
      </c>
      <c r="Z87" s="182" t="n">
        <v>5283544</v>
      </c>
      <c r="AA87" s="183" t="n">
        <v>5283544</v>
      </c>
      <c r="AB87" s="167" t="n">
        <v>5283544</v>
      </c>
      <c r="AC87" s="182" t="n">
        <v>5403105</v>
      </c>
      <c r="AD87" s="185" t="n">
        <v>5403105</v>
      </c>
      <c r="AE87" s="182" t="n">
        <v>5403105</v>
      </c>
      <c r="AF87" s="183" t="n">
        <v>5403105</v>
      </c>
      <c r="AG87" s="240" t="n">
        <v>5403105</v>
      </c>
      <c r="AH87" s="182" t="n">
        <v>6035951</v>
      </c>
      <c r="AI87" s="184" t="n">
        <v>6035951</v>
      </c>
      <c r="AJ87" s="185" t="n">
        <v>6035951</v>
      </c>
      <c r="AK87" s="182" t="n">
        <v>6035951</v>
      </c>
      <c r="AL87" s="183" t="n">
        <v>6035951</v>
      </c>
      <c r="AM87" s="186" t="n">
        <v>6035951</v>
      </c>
      <c r="AN87" s="186" t="n">
        <v>6557138</v>
      </c>
      <c r="AO87" s="185" t="n">
        <v>6557138</v>
      </c>
      <c r="AP87" s="182" t="n">
        <v>6557138</v>
      </c>
      <c r="AQ87" s="183" t="n">
        <v>6557138</v>
      </c>
    </row>
    <row r="88" customFormat="false" ht="12.8" hidden="false" customHeight="false" outlineLevel="0" collapsed="false">
      <c r="A88" s="139" t="s">
        <v>28</v>
      </c>
      <c r="B88" s="181" t="n">
        <v>7655869</v>
      </c>
      <c r="C88" s="181" t="n">
        <v>7655869</v>
      </c>
      <c r="D88" s="182" t="n">
        <v>7655869</v>
      </c>
      <c r="E88" s="183" t="n">
        <v>7655869</v>
      </c>
      <c r="F88" s="186" t="n">
        <v>7655869</v>
      </c>
      <c r="G88" s="183" t="n">
        <v>7219577</v>
      </c>
      <c r="H88" s="182" t="n">
        <v>7219577</v>
      </c>
      <c r="I88" s="184" t="n">
        <v>7219577</v>
      </c>
      <c r="J88" s="185" t="n">
        <v>7219577</v>
      </c>
      <c r="K88" s="183" t="n">
        <v>7219577</v>
      </c>
      <c r="L88" s="182" t="n">
        <v>7219577</v>
      </c>
      <c r="M88" s="183" t="n">
        <v>7219577</v>
      </c>
      <c r="N88" s="183" t="n">
        <v>7219577</v>
      </c>
      <c r="O88" s="186" t="n">
        <v>7219577</v>
      </c>
      <c r="P88" s="186" t="n">
        <v>7162764</v>
      </c>
      <c r="Q88" s="185" t="n">
        <v>7162764</v>
      </c>
      <c r="R88" s="182" t="n">
        <v>7162764</v>
      </c>
      <c r="S88" s="183" t="n">
        <v>7162764</v>
      </c>
      <c r="T88" s="186" t="n">
        <v>7162764</v>
      </c>
      <c r="U88" s="182" t="n">
        <v>7408666</v>
      </c>
      <c r="V88" s="183" t="n">
        <v>7408666</v>
      </c>
      <c r="W88" s="183" t="n">
        <v>7408666</v>
      </c>
      <c r="X88" s="184" t="n">
        <v>7408666</v>
      </c>
      <c r="Y88" s="185" t="n">
        <v>7408666</v>
      </c>
      <c r="Z88" s="182" t="n">
        <v>7408666</v>
      </c>
      <c r="AA88" s="183" t="n">
        <v>7408666</v>
      </c>
      <c r="AB88" s="186" t="n">
        <v>7408666</v>
      </c>
      <c r="AC88" s="182" t="n">
        <v>8750520</v>
      </c>
      <c r="AD88" s="185" t="n">
        <v>8750520</v>
      </c>
      <c r="AE88" s="182" t="n">
        <v>8750520</v>
      </c>
      <c r="AF88" s="183" t="n">
        <v>8750520</v>
      </c>
      <c r="AG88" s="240" t="n">
        <v>8750520</v>
      </c>
      <c r="AH88" s="182" t="n">
        <v>8138861</v>
      </c>
      <c r="AI88" s="184" t="n">
        <v>8138861</v>
      </c>
      <c r="AJ88" s="185" t="n">
        <v>8138861</v>
      </c>
      <c r="AK88" s="182" t="n">
        <v>8138861</v>
      </c>
      <c r="AL88" s="183" t="n">
        <v>8138861</v>
      </c>
      <c r="AM88" s="186" t="n">
        <v>8138861</v>
      </c>
      <c r="AN88" s="186" t="n">
        <v>7666634</v>
      </c>
      <c r="AO88" s="185" t="n">
        <v>7666634</v>
      </c>
      <c r="AP88" s="182" t="n">
        <v>7666634</v>
      </c>
      <c r="AQ88" s="183" t="n">
        <v>7666634</v>
      </c>
    </row>
    <row r="89" customFormat="false" ht="12.8" hidden="false" customHeight="false" outlineLevel="0" collapsed="false">
      <c r="A89" s="139" t="s">
        <v>199</v>
      </c>
      <c r="B89" s="181" t="n">
        <v>8274715</v>
      </c>
      <c r="C89" s="181" t="n">
        <v>8274715</v>
      </c>
      <c r="D89" s="182" t="n">
        <v>8274715</v>
      </c>
      <c r="E89" s="183" t="n">
        <v>8274715</v>
      </c>
      <c r="F89" s="186" t="n">
        <v>8274715</v>
      </c>
      <c r="G89" s="183" t="n">
        <v>7854715</v>
      </c>
      <c r="H89" s="182" t="n">
        <v>7854715</v>
      </c>
      <c r="I89" s="184" t="n">
        <v>7854715</v>
      </c>
      <c r="J89" s="185" t="n">
        <v>7854715</v>
      </c>
      <c r="K89" s="183" t="n">
        <v>7854715</v>
      </c>
      <c r="L89" s="182" t="n">
        <v>7854715</v>
      </c>
      <c r="M89" s="183" t="n">
        <v>7854715</v>
      </c>
      <c r="N89" s="183" t="n">
        <v>7854715</v>
      </c>
      <c r="O89" s="186" t="n">
        <v>7854715</v>
      </c>
      <c r="P89" s="186" t="n">
        <v>7337739</v>
      </c>
      <c r="Q89" s="185" t="n">
        <v>7337739</v>
      </c>
      <c r="R89" s="182" t="n">
        <v>7337739</v>
      </c>
      <c r="S89" s="183" t="n">
        <v>7337739</v>
      </c>
      <c r="T89" s="186" t="n">
        <v>7337739</v>
      </c>
      <c r="U89" s="182" t="n">
        <v>6862032</v>
      </c>
      <c r="V89" s="183" t="n">
        <v>6862032</v>
      </c>
      <c r="W89" s="183" t="n">
        <v>6862032</v>
      </c>
      <c r="X89" s="184" t="n">
        <v>6862032</v>
      </c>
      <c r="Y89" s="185" t="n">
        <v>6862032</v>
      </c>
      <c r="Z89" s="182" t="n">
        <v>6862032</v>
      </c>
      <c r="AA89" s="183" t="n">
        <v>6862032</v>
      </c>
      <c r="AB89" s="186" t="n">
        <v>6862032</v>
      </c>
      <c r="AC89" s="182" t="n">
        <v>6342764</v>
      </c>
      <c r="AD89" s="185" t="n">
        <v>6342764</v>
      </c>
      <c r="AE89" s="182" t="n">
        <v>6342764</v>
      </c>
      <c r="AF89" s="241" t="n">
        <v>6342764</v>
      </c>
      <c r="AG89" s="182" t="n">
        <v>6243121</v>
      </c>
      <c r="AH89" s="182" t="n">
        <v>6243121</v>
      </c>
      <c r="AI89" s="184" t="n">
        <v>6243121</v>
      </c>
      <c r="AJ89" s="185" t="n">
        <v>6243121</v>
      </c>
      <c r="AK89" s="182" t="n">
        <v>6243121</v>
      </c>
      <c r="AL89" s="183" t="n">
        <v>6243121</v>
      </c>
      <c r="AM89" s="186" t="n">
        <v>6243121</v>
      </c>
      <c r="AN89" s="186" t="n">
        <v>5696975</v>
      </c>
      <c r="AO89" s="185" t="n">
        <v>5696975</v>
      </c>
      <c r="AP89" s="182" t="n">
        <v>5696975</v>
      </c>
      <c r="AQ89" s="183" t="n">
        <v>5696975</v>
      </c>
    </row>
    <row r="90" customFormat="false" ht="12.8" hidden="false" customHeight="false" outlineLevel="0" collapsed="false">
      <c r="A90" s="139" t="s">
        <v>200</v>
      </c>
      <c r="B90" s="181" t="n">
        <v>15975365</v>
      </c>
      <c r="C90" s="181" t="n">
        <v>15975365</v>
      </c>
      <c r="D90" s="182" t="n">
        <v>15975365</v>
      </c>
      <c r="E90" s="183" t="n">
        <v>15975365</v>
      </c>
      <c r="F90" s="186" t="n">
        <v>15975365</v>
      </c>
      <c r="G90" s="183" t="n">
        <v>15825024</v>
      </c>
      <c r="H90" s="182" t="n">
        <v>15825024</v>
      </c>
      <c r="I90" s="184" t="n">
        <v>15825024</v>
      </c>
      <c r="J90" s="185" t="n">
        <v>15825024</v>
      </c>
      <c r="K90" s="183" t="n">
        <v>15825024</v>
      </c>
      <c r="L90" s="182" t="n">
        <v>15825024</v>
      </c>
      <c r="M90" s="183" t="n">
        <v>15825024</v>
      </c>
      <c r="N90" s="183" t="n">
        <v>15825024</v>
      </c>
      <c r="O90" s="240" t="n">
        <v>15825024</v>
      </c>
      <c r="P90" s="186" t="n">
        <v>13038406</v>
      </c>
      <c r="Q90" s="185" t="n">
        <v>13038406</v>
      </c>
      <c r="R90" s="182" t="n">
        <v>13038406</v>
      </c>
      <c r="S90" s="183" t="n">
        <v>13038406</v>
      </c>
      <c r="T90" s="240" t="n">
        <v>13038406</v>
      </c>
      <c r="U90" s="182" t="n">
        <v>12863886</v>
      </c>
      <c r="V90" s="183" t="n">
        <v>12863886</v>
      </c>
      <c r="W90" s="183" t="n">
        <v>12863886</v>
      </c>
      <c r="X90" s="184" t="n">
        <v>12863886</v>
      </c>
      <c r="Y90" s="185" t="n">
        <v>12863886</v>
      </c>
      <c r="Z90" s="182" t="n">
        <v>12863886</v>
      </c>
      <c r="AA90" s="183" t="n">
        <v>12863886</v>
      </c>
      <c r="AB90" s="186" t="n">
        <v>12863886</v>
      </c>
      <c r="AC90" s="182" t="n">
        <v>12965056</v>
      </c>
      <c r="AD90" s="185" t="n">
        <v>12965056</v>
      </c>
      <c r="AE90" s="182" t="n">
        <v>12965056</v>
      </c>
      <c r="AF90" s="183" t="n">
        <v>12965056</v>
      </c>
      <c r="AG90" s="240" t="n">
        <v>12965056</v>
      </c>
      <c r="AH90" s="237" t="n">
        <v>12576130</v>
      </c>
      <c r="AI90" s="184" t="n">
        <v>12576130</v>
      </c>
      <c r="AJ90" s="239" t="n">
        <v>12576130</v>
      </c>
      <c r="AK90" s="237" t="n">
        <v>12576130</v>
      </c>
      <c r="AL90" s="183" t="n">
        <v>12576130</v>
      </c>
      <c r="AM90" s="186" t="n">
        <v>12576130</v>
      </c>
      <c r="AN90" s="238" t="n">
        <v>12447609</v>
      </c>
      <c r="AO90" s="239" t="n">
        <v>12447609</v>
      </c>
      <c r="AP90" s="182" t="n">
        <v>12447609</v>
      </c>
      <c r="AQ90" s="183" t="n">
        <v>12447609</v>
      </c>
    </row>
    <row r="91" customFormat="false" ht="12.8" hidden="false" customHeight="false" outlineLevel="0" collapsed="false">
      <c r="A91" s="1" t="s">
        <v>266</v>
      </c>
      <c r="B91" s="203" t="s">
        <v>44</v>
      </c>
      <c r="C91" s="44" t="s">
        <v>49</v>
      </c>
      <c r="D91" s="23" t="s">
        <v>42</v>
      </c>
      <c r="E91" s="28" t="s">
        <v>41</v>
      </c>
      <c r="F91" s="23" t="s">
        <v>40</v>
      </c>
      <c r="G91" s="28" t="s">
        <v>38</v>
      </c>
      <c r="H91" s="23" t="s">
        <v>37</v>
      </c>
      <c r="I91" s="45" t="s">
        <v>36</v>
      </c>
      <c r="J91" s="46" t="s">
        <v>35</v>
      </c>
      <c r="K91" s="24" t="s">
        <v>34</v>
      </c>
      <c r="L91" s="23" t="s">
        <v>33</v>
      </c>
      <c r="M91" s="19" t="s">
        <v>32</v>
      </c>
      <c r="N91" s="19" t="s">
        <v>50</v>
      </c>
      <c r="O91" s="23" t="s">
        <v>51</v>
      </c>
      <c r="P91" s="47" t="s">
        <v>52</v>
      </c>
      <c r="Q91" s="46" t="s">
        <v>53</v>
      </c>
      <c r="R91" s="23" t="s">
        <v>54</v>
      </c>
      <c r="S91" s="19" t="s">
        <v>55</v>
      </c>
      <c r="T91" s="23" t="s">
        <v>56</v>
      </c>
      <c r="U91" s="23" t="s">
        <v>57</v>
      </c>
      <c r="V91" s="28" t="s">
        <v>58</v>
      </c>
      <c r="W91" s="28" t="s">
        <v>59</v>
      </c>
      <c r="X91" s="45" t="s">
        <v>60</v>
      </c>
      <c r="Y91" s="46" t="s">
        <v>61</v>
      </c>
      <c r="Z91" s="23" t="s">
        <v>62</v>
      </c>
      <c r="AA91" s="19" t="s">
        <v>63</v>
      </c>
      <c r="AB91" s="23" t="s">
        <v>64</v>
      </c>
      <c r="AC91" s="23" t="s">
        <v>65</v>
      </c>
      <c r="AD91" s="46" t="s">
        <v>66</v>
      </c>
      <c r="AE91" s="23" t="s">
        <v>67</v>
      </c>
      <c r="AF91" s="19" t="s">
        <v>68</v>
      </c>
      <c r="AG91" s="23" t="s">
        <v>69</v>
      </c>
      <c r="AH91" s="23" t="s">
        <v>70</v>
      </c>
      <c r="AI91" s="45" t="s">
        <v>71</v>
      </c>
      <c r="AJ91" s="46" t="s">
        <v>72</v>
      </c>
      <c r="AK91" s="23" t="s">
        <v>73</v>
      </c>
      <c r="AL91" s="24" t="s">
        <v>74</v>
      </c>
      <c r="AM91" s="23" t="s">
        <v>75</v>
      </c>
      <c r="AN91" s="47" t="s">
        <v>76</v>
      </c>
      <c r="AO91" s="46" t="s">
        <v>77</v>
      </c>
      <c r="AP91" s="23" t="s">
        <v>78</v>
      </c>
      <c r="AQ91" s="24" t="s">
        <v>79</v>
      </c>
    </row>
    <row r="92" customFormat="false" ht="12.8" hidden="false" customHeight="false" outlineLevel="0" collapsed="false">
      <c r="A92" s="16" t="s">
        <v>267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</row>
    <row r="93" s="1" customFormat="true" ht="12.8" hidden="false" customHeight="false" outlineLevel="0" collapsed="false">
      <c r="A93" s="139" t="s">
        <v>24</v>
      </c>
      <c r="B93" s="181" t="n">
        <v>76980780</v>
      </c>
      <c r="C93" s="181" t="n">
        <v>76980780</v>
      </c>
      <c r="D93" s="187" t="n">
        <v>76980780</v>
      </c>
      <c r="E93" s="181" t="n">
        <v>76980780</v>
      </c>
      <c r="F93" s="187" t="n">
        <v>76980780</v>
      </c>
      <c r="G93" s="181" t="n">
        <v>76980780</v>
      </c>
      <c r="H93" s="186" t="n">
        <v>76980780</v>
      </c>
      <c r="I93" s="238" t="n">
        <v>46753772</v>
      </c>
      <c r="J93" s="185" t="n">
        <v>46753772</v>
      </c>
      <c r="K93" s="183" t="n">
        <v>46753772</v>
      </c>
      <c r="L93" s="182" t="n">
        <v>46753772</v>
      </c>
      <c r="M93" s="183" t="n">
        <v>46753772</v>
      </c>
      <c r="N93" s="183" t="n">
        <v>46753772</v>
      </c>
      <c r="O93" s="182" t="n">
        <v>46753772</v>
      </c>
      <c r="P93" s="186" t="n">
        <v>46753772</v>
      </c>
      <c r="Q93" s="185" t="n">
        <v>50033414</v>
      </c>
      <c r="R93" s="182" t="n">
        <v>50033414</v>
      </c>
      <c r="S93" s="183" t="n">
        <v>50033414</v>
      </c>
      <c r="T93" s="182" t="n">
        <v>50033414</v>
      </c>
      <c r="U93" s="186" t="n">
        <v>50033414</v>
      </c>
      <c r="V93" s="183" t="n">
        <v>43423723</v>
      </c>
      <c r="W93" s="183" t="n">
        <v>43423723</v>
      </c>
      <c r="X93" s="184" t="n">
        <v>43423723</v>
      </c>
      <c r="Y93" s="185" t="n">
        <v>43423723</v>
      </c>
      <c r="Z93" s="182" t="n">
        <v>43423723</v>
      </c>
      <c r="AA93" s="183" t="n">
        <v>43423723</v>
      </c>
      <c r="AB93" s="182" t="n">
        <v>43423723</v>
      </c>
      <c r="AC93" s="237" t="n">
        <v>43423723</v>
      </c>
      <c r="AD93" s="185" t="n">
        <v>43677219</v>
      </c>
      <c r="AE93" s="237" t="n">
        <v>43677219</v>
      </c>
      <c r="AF93" s="183" t="n">
        <v>43677219</v>
      </c>
      <c r="AG93" s="238" t="n">
        <v>43677219</v>
      </c>
      <c r="AH93" s="237" t="n">
        <v>44071593</v>
      </c>
      <c r="AI93" s="184" t="n">
        <v>44071593</v>
      </c>
      <c r="AJ93" s="239" t="n">
        <v>44071593</v>
      </c>
      <c r="AK93" s="237" t="n">
        <v>44071593</v>
      </c>
      <c r="AL93" s="183" t="n">
        <v>44071593</v>
      </c>
      <c r="AM93" s="238" t="n">
        <v>44071593</v>
      </c>
      <c r="AN93" s="237" t="n">
        <v>26192764</v>
      </c>
      <c r="AO93" s="237" t="n">
        <v>26192764</v>
      </c>
      <c r="AP93" s="237" t="n">
        <v>26192764</v>
      </c>
      <c r="AQ93" s="183" t="n">
        <v>26192764</v>
      </c>
    </row>
    <row r="94" customFormat="false" ht="12.8" hidden="false" customHeight="false" outlineLevel="0" collapsed="false">
      <c r="A94" s="139" t="s">
        <v>180</v>
      </c>
      <c r="B94" s="181" t="n">
        <v>80801544</v>
      </c>
      <c r="C94" s="181" t="n">
        <v>80801544</v>
      </c>
      <c r="D94" s="182" t="n">
        <v>80801544</v>
      </c>
      <c r="E94" s="183" t="n">
        <v>80801544</v>
      </c>
      <c r="F94" s="186" t="n">
        <v>80801544</v>
      </c>
      <c r="G94" s="183" t="n">
        <v>72298276</v>
      </c>
      <c r="H94" s="182" t="n">
        <v>72298276</v>
      </c>
      <c r="I94" s="184" t="n">
        <v>72298276</v>
      </c>
      <c r="J94" s="185" t="n">
        <v>72298276</v>
      </c>
      <c r="K94" s="183" t="n">
        <v>72298276</v>
      </c>
      <c r="L94" s="182" t="n">
        <v>72298276</v>
      </c>
      <c r="M94" s="183" t="n">
        <v>72298276</v>
      </c>
      <c r="N94" s="183" t="n">
        <v>72298276</v>
      </c>
      <c r="O94" s="186" t="n">
        <v>72298276</v>
      </c>
      <c r="P94" s="186" t="n">
        <v>76306390</v>
      </c>
      <c r="Q94" s="185" t="n">
        <v>76306390</v>
      </c>
      <c r="R94" s="182" t="n">
        <v>76306390</v>
      </c>
      <c r="S94" s="183" t="n">
        <v>76306390</v>
      </c>
      <c r="T94" s="186" t="n">
        <v>76306390</v>
      </c>
      <c r="U94" s="182" t="n">
        <v>73742991</v>
      </c>
      <c r="V94" s="183" t="n">
        <v>73742991</v>
      </c>
      <c r="W94" s="183" t="n">
        <v>73742991</v>
      </c>
      <c r="X94" s="184" t="n">
        <v>73742991</v>
      </c>
      <c r="Y94" s="185" t="n">
        <v>73742991</v>
      </c>
      <c r="Z94" s="182" t="n">
        <v>73742991</v>
      </c>
      <c r="AA94" s="184" t="n">
        <v>73742991</v>
      </c>
      <c r="AB94" s="182" t="n">
        <v>71292975</v>
      </c>
      <c r="AC94" s="182" t="n">
        <v>71292975</v>
      </c>
      <c r="AD94" s="239" t="n">
        <v>71292975</v>
      </c>
      <c r="AE94" s="182" t="n">
        <v>71292975</v>
      </c>
      <c r="AF94" s="184" t="n">
        <v>71292975</v>
      </c>
      <c r="AG94" s="182" t="n">
        <v>68383235</v>
      </c>
      <c r="AH94" s="182" t="n">
        <v>68383235</v>
      </c>
      <c r="AI94" s="184" t="n">
        <v>68383235</v>
      </c>
      <c r="AJ94" s="182" t="n">
        <v>68383235</v>
      </c>
      <c r="AK94" s="182" t="n">
        <v>68383235</v>
      </c>
      <c r="AL94" s="183" t="n">
        <v>68383235</v>
      </c>
      <c r="AM94" s="186" t="n">
        <v>68383235</v>
      </c>
      <c r="AN94" s="186" t="n">
        <v>66169203</v>
      </c>
      <c r="AO94" s="185" t="n">
        <v>66169203</v>
      </c>
      <c r="AP94" s="182" t="n">
        <v>66169203</v>
      </c>
      <c r="AQ94" s="183" t="n">
        <v>66169203</v>
      </c>
    </row>
    <row r="95" s="1" customFormat="true" ht="12.8" hidden="false" customHeight="false" outlineLevel="0" collapsed="false">
      <c r="A95" s="139" t="s">
        <v>181</v>
      </c>
      <c r="B95" s="181" t="n">
        <v>69809398</v>
      </c>
      <c r="C95" s="181" t="n">
        <v>69809398</v>
      </c>
      <c r="D95" s="182" t="n">
        <v>69809398</v>
      </c>
      <c r="E95" s="183" t="n">
        <v>69809398</v>
      </c>
      <c r="F95" s="186" t="n">
        <v>69809398</v>
      </c>
      <c r="G95" s="183" t="n">
        <v>52473951</v>
      </c>
      <c r="H95" s="182" t="n">
        <v>52473951</v>
      </c>
      <c r="I95" s="184" t="n">
        <v>52473951</v>
      </c>
      <c r="J95" s="185" t="n">
        <v>52473951</v>
      </c>
      <c r="K95" s="183" t="n">
        <v>52473951</v>
      </c>
      <c r="L95" s="182" t="n">
        <v>52473951</v>
      </c>
      <c r="M95" s="183" t="n">
        <v>52473951</v>
      </c>
      <c r="N95" s="183" t="n">
        <v>52473951</v>
      </c>
      <c r="O95" s="186" t="n">
        <v>52473951</v>
      </c>
      <c r="P95" s="186" t="n">
        <v>48619073</v>
      </c>
      <c r="Q95" s="185" t="n">
        <v>48619073</v>
      </c>
      <c r="R95" s="182" t="n">
        <v>48619073</v>
      </c>
      <c r="S95" s="183" t="n">
        <v>48619073</v>
      </c>
      <c r="T95" s="186" t="n">
        <v>48619073</v>
      </c>
      <c r="U95" s="182" t="n">
        <v>40157300</v>
      </c>
      <c r="V95" s="183" t="n">
        <v>40157300</v>
      </c>
      <c r="W95" s="183" t="n">
        <v>40157300</v>
      </c>
      <c r="X95" s="184" t="n">
        <v>40157300</v>
      </c>
      <c r="Y95" s="185" t="n">
        <v>40157300</v>
      </c>
      <c r="Z95" s="182" t="n">
        <v>40157300</v>
      </c>
      <c r="AA95" s="183" t="n">
        <v>40157300</v>
      </c>
      <c r="AB95" s="186" t="n">
        <v>40157300</v>
      </c>
      <c r="AC95" s="182" t="n">
        <v>44456341</v>
      </c>
      <c r="AD95" s="185" t="n">
        <v>44456341</v>
      </c>
      <c r="AE95" s="182" t="n">
        <v>44456341</v>
      </c>
      <c r="AF95" s="183" t="n">
        <v>44456341</v>
      </c>
      <c r="AG95" s="186" t="n">
        <v>44456341</v>
      </c>
      <c r="AH95" s="182" t="n">
        <v>50579772</v>
      </c>
      <c r="AI95" s="184" t="n">
        <v>50579772</v>
      </c>
      <c r="AJ95" s="185" t="n">
        <v>50579772</v>
      </c>
      <c r="AK95" s="182" t="n">
        <v>50579772</v>
      </c>
      <c r="AL95" s="183" t="n">
        <v>50579772</v>
      </c>
      <c r="AM95" s="186" t="n">
        <v>50579772</v>
      </c>
      <c r="AN95" s="186" t="n">
        <v>51817886</v>
      </c>
      <c r="AO95" s="185" t="n">
        <v>51817886</v>
      </c>
      <c r="AP95" s="182" t="n">
        <v>51817886</v>
      </c>
      <c r="AQ95" s="183" t="n">
        <v>51817886</v>
      </c>
    </row>
    <row r="96" s="1" customFormat="true" ht="12.8" hidden="false" customHeight="false" outlineLevel="0" collapsed="false">
      <c r="A96" s="242" t="s">
        <v>30</v>
      </c>
      <c r="B96" s="181" t="n">
        <v>44715121</v>
      </c>
      <c r="C96" s="181" t="n">
        <v>44715121</v>
      </c>
      <c r="D96" s="182" t="n">
        <v>44715121</v>
      </c>
      <c r="E96" s="183" t="n">
        <v>44715121</v>
      </c>
      <c r="F96" s="182" t="n">
        <v>44715121</v>
      </c>
      <c r="G96" s="184" t="n">
        <v>44715121</v>
      </c>
      <c r="H96" s="237" t="n">
        <v>41263365</v>
      </c>
      <c r="I96" s="184" t="n">
        <v>41263365</v>
      </c>
      <c r="J96" s="239" t="n">
        <v>41263365</v>
      </c>
      <c r="K96" s="183" t="n">
        <v>41263365</v>
      </c>
      <c r="L96" s="237" t="n">
        <v>41263365</v>
      </c>
      <c r="M96" s="183" t="n">
        <v>41263365</v>
      </c>
      <c r="N96" s="183" t="n">
        <v>41263365</v>
      </c>
      <c r="O96" s="186" t="n">
        <v>41263365</v>
      </c>
      <c r="P96" s="238" t="n">
        <v>37127382</v>
      </c>
      <c r="Q96" s="239" t="n">
        <v>37127382</v>
      </c>
      <c r="R96" s="237" t="n">
        <v>37127382</v>
      </c>
      <c r="S96" s="183" t="n">
        <v>37127382</v>
      </c>
      <c r="T96" s="186" t="n">
        <v>37127382</v>
      </c>
      <c r="U96" s="237" t="n">
        <v>33786926</v>
      </c>
      <c r="V96" s="183" t="n">
        <v>33786926</v>
      </c>
      <c r="W96" s="183" t="n">
        <v>33786926</v>
      </c>
      <c r="X96" s="184" t="n">
        <v>33786926</v>
      </c>
      <c r="Y96" s="239" t="n">
        <v>33786926</v>
      </c>
      <c r="Z96" s="237" t="n">
        <v>33786926</v>
      </c>
      <c r="AA96" s="183" t="n">
        <v>33786926</v>
      </c>
      <c r="AB96" s="186" t="n">
        <v>33786926</v>
      </c>
      <c r="AC96" s="182" t="n">
        <v>30208113</v>
      </c>
      <c r="AD96" s="185" t="n">
        <v>30208113</v>
      </c>
      <c r="AE96" s="182" t="n">
        <v>30208113</v>
      </c>
      <c r="AF96" s="183" t="n">
        <v>30208113</v>
      </c>
      <c r="AG96" s="186" t="n">
        <v>30208113</v>
      </c>
      <c r="AH96" s="237" t="n">
        <v>25292406</v>
      </c>
      <c r="AI96" s="184" t="n">
        <v>25292406</v>
      </c>
      <c r="AJ96" s="239" t="n">
        <v>25292406</v>
      </c>
      <c r="AK96" s="237" t="n">
        <v>25292406</v>
      </c>
      <c r="AL96" s="183" t="n">
        <v>25292406</v>
      </c>
      <c r="AM96" s="186" t="n">
        <v>25292406</v>
      </c>
      <c r="AN96" s="186" t="n">
        <v>22980569.1056911</v>
      </c>
      <c r="AO96" s="185" t="n">
        <v>22980569.1056911</v>
      </c>
      <c r="AP96" s="182" t="n">
        <v>22980569.1056911</v>
      </c>
      <c r="AQ96" s="183" t="n">
        <v>22980569.1056911</v>
      </c>
    </row>
    <row r="97" s="1" customFormat="true" ht="12.8" hidden="false" customHeight="false" outlineLevel="0" collapsed="false">
      <c r="A97" s="139" t="s">
        <v>182</v>
      </c>
      <c r="B97" s="181" t="n">
        <v>72937317</v>
      </c>
      <c r="C97" s="181" t="n">
        <v>72937317</v>
      </c>
      <c r="D97" s="182" t="n">
        <v>72937317</v>
      </c>
      <c r="E97" s="183" t="n">
        <v>72937317</v>
      </c>
      <c r="F97" s="186" t="n">
        <v>72937317</v>
      </c>
      <c r="G97" s="183" t="n">
        <v>48181073</v>
      </c>
      <c r="H97" s="182" t="n">
        <v>48181073</v>
      </c>
      <c r="I97" s="184" t="n">
        <v>48181073</v>
      </c>
      <c r="J97" s="185" t="n">
        <v>48181073</v>
      </c>
      <c r="K97" s="183" t="n">
        <v>48181073</v>
      </c>
      <c r="L97" s="182" t="n">
        <v>48181073</v>
      </c>
      <c r="M97" s="183" t="n">
        <v>48181073</v>
      </c>
      <c r="N97" s="183" t="n">
        <v>48181073</v>
      </c>
      <c r="O97" s="186" t="n">
        <v>48181073</v>
      </c>
      <c r="P97" s="186" t="n">
        <v>50764813</v>
      </c>
      <c r="Q97" s="185" t="n">
        <v>50764813</v>
      </c>
      <c r="R97" s="182" t="n">
        <v>50764813</v>
      </c>
      <c r="S97" s="183" t="n">
        <v>50764813</v>
      </c>
      <c r="T97" s="186" t="n">
        <v>50764813</v>
      </c>
      <c r="U97" s="182" t="n">
        <v>43395219</v>
      </c>
      <c r="V97" s="183" t="n">
        <v>43395219</v>
      </c>
      <c r="W97" s="183" t="n">
        <v>43395219</v>
      </c>
      <c r="X97" s="184" t="n">
        <v>43395219</v>
      </c>
      <c r="Y97" s="185" t="n">
        <v>43395219</v>
      </c>
      <c r="Z97" s="182" t="n">
        <v>43395219</v>
      </c>
      <c r="AA97" s="183" t="n">
        <v>43395219</v>
      </c>
      <c r="AB97" s="186" t="n">
        <v>43395219</v>
      </c>
      <c r="AC97" s="182" t="n">
        <v>54921723</v>
      </c>
      <c r="AD97" s="185" t="n">
        <v>54921723</v>
      </c>
      <c r="AE97" s="182" t="n">
        <v>54921723</v>
      </c>
      <c r="AF97" s="184" t="n">
        <v>54921723</v>
      </c>
      <c r="AG97" s="182" t="n">
        <v>63230439</v>
      </c>
      <c r="AH97" s="182" t="n">
        <v>63230439</v>
      </c>
      <c r="AI97" s="184" t="n">
        <v>63230439</v>
      </c>
      <c r="AJ97" s="185" t="n">
        <v>63230439</v>
      </c>
      <c r="AK97" s="182" t="n">
        <v>63230439</v>
      </c>
      <c r="AL97" s="183" t="n">
        <v>63230439</v>
      </c>
      <c r="AM97" s="186" t="n">
        <v>63230439</v>
      </c>
      <c r="AN97" s="186" t="n">
        <v>51607821</v>
      </c>
      <c r="AO97" s="185" t="n">
        <v>51607821</v>
      </c>
      <c r="AP97" s="182" t="n">
        <v>51607821</v>
      </c>
      <c r="AQ97" s="183" t="n">
        <v>51607821</v>
      </c>
    </row>
    <row r="98" s="1" customFormat="true" ht="12.8" hidden="false" customHeight="false" outlineLevel="0" collapsed="false">
      <c r="A98" s="242" t="s">
        <v>183</v>
      </c>
      <c r="B98" s="181" t="n">
        <v>31280000</v>
      </c>
      <c r="C98" s="181" t="n">
        <v>31280000</v>
      </c>
      <c r="D98" s="182" t="n">
        <v>31280000</v>
      </c>
      <c r="E98" s="183" t="n">
        <v>31280000</v>
      </c>
      <c r="F98" s="186" t="n">
        <v>31280000</v>
      </c>
      <c r="G98" s="183" t="n">
        <v>22233121</v>
      </c>
      <c r="H98" s="182" t="n">
        <v>22233121</v>
      </c>
      <c r="I98" s="184" t="n">
        <v>22233121</v>
      </c>
      <c r="J98" s="185" t="n">
        <v>22233121</v>
      </c>
      <c r="K98" s="183" t="n">
        <v>22233121</v>
      </c>
      <c r="L98" s="182" t="n">
        <v>22233121</v>
      </c>
      <c r="M98" s="183" t="n">
        <v>22233121</v>
      </c>
      <c r="N98" s="183" t="n">
        <v>22233121</v>
      </c>
      <c r="O98" s="186" t="n">
        <v>22233121</v>
      </c>
      <c r="P98" s="186" t="n">
        <v>24226682</v>
      </c>
      <c r="Q98" s="185" t="n">
        <v>24226682</v>
      </c>
      <c r="R98" s="182" t="n">
        <v>24226682</v>
      </c>
      <c r="S98" s="183" t="n">
        <v>24226682</v>
      </c>
      <c r="T98" s="186" t="n">
        <v>24226682</v>
      </c>
      <c r="U98" s="182" t="n">
        <v>30364991</v>
      </c>
      <c r="V98" s="183" t="n">
        <v>30364991</v>
      </c>
      <c r="W98" s="183" t="n">
        <v>30364991</v>
      </c>
      <c r="X98" s="184" t="n">
        <v>30364991</v>
      </c>
      <c r="Y98" s="185" t="n">
        <v>30364991</v>
      </c>
      <c r="Z98" s="182" t="n">
        <v>30364991</v>
      </c>
      <c r="AA98" s="183" t="n">
        <v>30364991</v>
      </c>
      <c r="AB98" s="186" t="n">
        <v>30364991</v>
      </c>
      <c r="AC98" s="238" t="n">
        <v>25274276</v>
      </c>
      <c r="AD98" s="182" t="n">
        <v>25274276</v>
      </c>
      <c r="AE98" s="182" t="n">
        <v>25274276</v>
      </c>
      <c r="AF98" s="183" t="n">
        <v>25274276</v>
      </c>
      <c r="AG98" s="186" t="n">
        <v>25274276</v>
      </c>
      <c r="AH98" s="182" t="n">
        <v>21079235</v>
      </c>
      <c r="AI98" s="184" t="n">
        <v>21079235</v>
      </c>
      <c r="AJ98" s="185" t="n">
        <v>21079235</v>
      </c>
      <c r="AK98" s="182" t="n">
        <v>21079235</v>
      </c>
      <c r="AL98" s="183" t="n">
        <v>21079235</v>
      </c>
      <c r="AM98" s="186" t="n">
        <v>21079235</v>
      </c>
      <c r="AN98" s="186" t="n">
        <v>22128422</v>
      </c>
      <c r="AO98" s="185" t="n">
        <v>22128422</v>
      </c>
      <c r="AP98" s="182" t="n">
        <v>22128422</v>
      </c>
      <c r="AQ98" s="183" t="n">
        <v>22128422</v>
      </c>
    </row>
    <row r="99" customFormat="false" ht="12.8" hidden="false" customHeight="false" outlineLevel="0" collapsed="false">
      <c r="A99" s="139" t="s">
        <v>27</v>
      </c>
      <c r="B99" s="181" t="n">
        <v>18423268</v>
      </c>
      <c r="C99" s="181" t="n">
        <v>18423268</v>
      </c>
      <c r="D99" s="237" t="n">
        <v>18423268</v>
      </c>
      <c r="E99" s="183" t="n">
        <v>18423268</v>
      </c>
      <c r="F99" s="186" t="n">
        <v>18423268</v>
      </c>
      <c r="G99" s="183" t="n">
        <v>28308276</v>
      </c>
      <c r="H99" s="237" t="n">
        <v>28308276</v>
      </c>
      <c r="I99" s="184" t="n">
        <v>28308276</v>
      </c>
      <c r="J99" s="237" t="n">
        <v>28308276</v>
      </c>
      <c r="K99" s="183" t="n">
        <v>28308276</v>
      </c>
      <c r="L99" s="237" t="n">
        <v>28308276</v>
      </c>
      <c r="M99" s="183" t="n">
        <v>28308276</v>
      </c>
      <c r="N99" s="183" t="n">
        <v>28308276</v>
      </c>
      <c r="O99" s="186" t="n">
        <v>28308276</v>
      </c>
      <c r="P99" s="238" t="n">
        <v>30241674</v>
      </c>
      <c r="Q99" s="239" t="n">
        <v>30241674</v>
      </c>
      <c r="R99" s="237" t="n">
        <v>30241674</v>
      </c>
      <c r="S99" s="183" t="n">
        <v>30241674</v>
      </c>
      <c r="T99" s="186" t="n">
        <v>30241674</v>
      </c>
      <c r="U99" s="187" t="n">
        <v>11361040</v>
      </c>
      <c r="V99" s="181" t="n">
        <v>11361040</v>
      </c>
      <c r="W99" s="181" t="n">
        <v>11361040</v>
      </c>
      <c r="X99" s="184" t="n">
        <v>11361040</v>
      </c>
      <c r="Y99" s="185" t="n">
        <v>11361040</v>
      </c>
      <c r="Z99" s="182" t="n">
        <v>11361040</v>
      </c>
      <c r="AA99" s="183" t="n">
        <v>11361040</v>
      </c>
      <c r="AB99" s="186" t="n">
        <v>11361040</v>
      </c>
      <c r="AC99" s="182" t="n">
        <v>21273837</v>
      </c>
      <c r="AD99" s="185" t="n">
        <v>21273837</v>
      </c>
      <c r="AE99" s="182" t="n">
        <v>21273837</v>
      </c>
      <c r="AF99" s="183" t="n">
        <v>21273837</v>
      </c>
      <c r="AG99" s="186" t="n">
        <v>21273837</v>
      </c>
      <c r="AH99" s="182" t="n">
        <v>19448308</v>
      </c>
      <c r="AI99" s="184" t="n">
        <v>19448308</v>
      </c>
      <c r="AJ99" s="185" t="n">
        <v>19448308</v>
      </c>
      <c r="AK99" s="182" t="n">
        <v>19448308</v>
      </c>
      <c r="AL99" s="183" t="n">
        <v>19448308</v>
      </c>
      <c r="AM99" s="186" t="n">
        <v>19448308</v>
      </c>
      <c r="AN99" s="186" t="n">
        <v>10635528</v>
      </c>
      <c r="AO99" s="185" t="n">
        <v>10635528</v>
      </c>
      <c r="AP99" s="182" t="n">
        <v>10635528</v>
      </c>
      <c r="AQ99" s="183" t="n">
        <v>10635528</v>
      </c>
    </row>
    <row r="100" s="1" customFormat="true" ht="12.8" hidden="false" customHeight="false" outlineLevel="0" collapsed="false">
      <c r="A100" s="242" t="s">
        <v>31</v>
      </c>
      <c r="B100" s="181" t="n">
        <v>7958195</v>
      </c>
      <c r="C100" s="181" t="n">
        <v>7958195</v>
      </c>
      <c r="D100" s="182" t="n">
        <v>7958195</v>
      </c>
      <c r="E100" s="183" t="n">
        <v>7958195</v>
      </c>
      <c r="F100" s="186" t="n">
        <v>7958195</v>
      </c>
      <c r="G100" s="183" t="n">
        <v>13075658</v>
      </c>
      <c r="H100" s="182" t="n">
        <v>13075658</v>
      </c>
      <c r="I100" s="184" t="n">
        <v>13075658</v>
      </c>
      <c r="J100" s="185" t="n">
        <v>13075658</v>
      </c>
      <c r="K100" s="183" t="n">
        <v>13075658</v>
      </c>
      <c r="L100" s="182" t="n">
        <v>13075658</v>
      </c>
      <c r="M100" s="183" t="n">
        <v>13075658</v>
      </c>
      <c r="N100" s="183" t="n">
        <v>13075658</v>
      </c>
      <c r="O100" s="186" t="n">
        <v>13075658</v>
      </c>
      <c r="P100" s="238" t="n">
        <v>10312065</v>
      </c>
      <c r="Q100" s="239" t="n">
        <v>10312065</v>
      </c>
      <c r="R100" s="237" t="n">
        <v>10312065</v>
      </c>
      <c r="S100" s="183" t="n">
        <v>10312065</v>
      </c>
      <c r="T100" s="186" t="n">
        <v>10312065</v>
      </c>
      <c r="U100" s="182" t="n">
        <v>3199674</v>
      </c>
      <c r="V100" s="183" t="n">
        <v>3199674</v>
      </c>
      <c r="W100" s="183" t="n">
        <v>3199674</v>
      </c>
      <c r="X100" s="184" t="n">
        <v>3199674</v>
      </c>
      <c r="Y100" s="185" t="n">
        <v>3199674</v>
      </c>
      <c r="Z100" s="182" t="n">
        <v>3199674</v>
      </c>
      <c r="AA100" s="183" t="n">
        <v>3199674</v>
      </c>
      <c r="AB100" s="186" t="n">
        <v>3199674</v>
      </c>
      <c r="AC100" s="182" t="n">
        <v>9338764</v>
      </c>
      <c r="AD100" s="185" t="n">
        <v>9338764</v>
      </c>
      <c r="AE100" s="182" t="n">
        <v>9338764</v>
      </c>
      <c r="AF100" s="183" t="n">
        <v>9338764</v>
      </c>
      <c r="AG100" s="186" t="n">
        <v>9338764</v>
      </c>
      <c r="AH100" s="182" t="n">
        <v>3894146</v>
      </c>
      <c r="AI100" s="184" t="n">
        <v>3894146</v>
      </c>
      <c r="AJ100" s="185" t="n">
        <v>3894146</v>
      </c>
      <c r="AK100" s="182" t="n">
        <v>3894146</v>
      </c>
      <c r="AL100" s="183" t="n">
        <v>3894146</v>
      </c>
      <c r="AM100" s="186" t="n">
        <v>3894146</v>
      </c>
      <c r="AN100" s="186" t="n">
        <v>8562325</v>
      </c>
      <c r="AO100" s="185" t="n">
        <v>8562325</v>
      </c>
      <c r="AP100" s="182" t="n">
        <v>8562325</v>
      </c>
      <c r="AQ100" s="183" t="n">
        <v>8562325</v>
      </c>
    </row>
    <row r="101" customFormat="false" ht="12.8" hidden="false" customHeight="false" outlineLevel="0" collapsed="false">
      <c r="A101" s="139" t="s">
        <v>184</v>
      </c>
      <c r="B101" s="181" t="n">
        <v>7103983</v>
      </c>
      <c r="C101" s="181" t="n">
        <v>7103983</v>
      </c>
      <c r="D101" s="182" t="n">
        <v>7103983</v>
      </c>
      <c r="E101" s="183" t="n">
        <v>7103983</v>
      </c>
      <c r="F101" s="186" t="n">
        <v>7103983</v>
      </c>
      <c r="G101" s="183" t="n">
        <v>5517365</v>
      </c>
      <c r="H101" s="182" t="n">
        <v>5517365</v>
      </c>
      <c r="I101" s="184" t="n">
        <v>5517365</v>
      </c>
      <c r="J101" s="185" t="n">
        <v>5517365</v>
      </c>
      <c r="K101" s="183" t="n">
        <v>5517365</v>
      </c>
      <c r="L101" s="182" t="n">
        <v>5517365</v>
      </c>
      <c r="M101" s="183" t="n">
        <v>5517365</v>
      </c>
      <c r="N101" s="183" t="n">
        <v>5517365</v>
      </c>
      <c r="O101" s="186" t="n">
        <v>5517365</v>
      </c>
      <c r="P101" s="186" t="n">
        <v>6876634</v>
      </c>
      <c r="Q101" s="185" t="n">
        <v>6876634</v>
      </c>
      <c r="R101" s="182" t="n">
        <v>6876634</v>
      </c>
      <c r="S101" s="183" t="n">
        <v>6876634</v>
      </c>
      <c r="T101" s="186" t="n">
        <v>6876634</v>
      </c>
      <c r="U101" s="182" t="n">
        <v>5990341</v>
      </c>
      <c r="V101" s="183" t="n">
        <v>5990341</v>
      </c>
      <c r="W101" s="183" t="n">
        <v>5990341</v>
      </c>
      <c r="X101" s="184" t="n">
        <v>5990341</v>
      </c>
      <c r="Y101" s="185" t="n">
        <v>5990341</v>
      </c>
      <c r="Z101" s="182" t="n">
        <v>5990341</v>
      </c>
      <c r="AA101" s="183" t="n">
        <v>5990341</v>
      </c>
      <c r="AB101" s="186" t="n">
        <v>5990341</v>
      </c>
      <c r="AC101" s="182" t="n">
        <v>5990341</v>
      </c>
      <c r="AD101" s="185" t="n">
        <v>5990341</v>
      </c>
      <c r="AE101" s="182" t="n">
        <v>5990341</v>
      </c>
      <c r="AF101" s="183" t="n">
        <v>5990341</v>
      </c>
      <c r="AG101" s="186" t="n">
        <v>5990341</v>
      </c>
      <c r="AH101" s="182" t="n">
        <v>5446276</v>
      </c>
      <c r="AI101" s="184" t="n">
        <v>5446276</v>
      </c>
      <c r="AJ101" s="185" t="n">
        <v>5446276</v>
      </c>
      <c r="AK101" s="182" t="n">
        <v>5446276</v>
      </c>
      <c r="AL101" s="183" t="n">
        <v>5446276</v>
      </c>
      <c r="AM101" s="186" t="n">
        <v>5446276</v>
      </c>
      <c r="AN101" s="186" t="n">
        <v>9883853</v>
      </c>
      <c r="AO101" s="185" t="n">
        <v>9883853</v>
      </c>
      <c r="AP101" s="182" t="n">
        <v>9883853</v>
      </c>
      <c r="AQ101" s="183" t="n">
        <v>9883853</v>
      </c>
    </row>
    <row r="102" s="1" customFormat="true" ht="12.8" hidden="false" customHeight="false" outlineLevel="0" collapsed="false">
      <c r="A102" s="139" t="s">
        <v>185</v>
      </c>
      <c r="B102" s="181" t="n">
        <v>13400130</v>
      </c>
      <c r="C102" s="181" t="n">
        <v>13400130</v>
      </c>
      <c r="D102" s="182" t="n">
        <v>13400130</v>
      </c>
      <c r="E102" s="183" t="n">
        <v>13400130</v>
      </c>
      <c r="F102" s="186" t="n">
        <v>13400130</v>
      </c>
      <c r="G102" s="183" t="n">
        <v>9337756</v>
      </c>
      <c r="H102" s="182" t="n">
        <v>9337756</v>
      </c>
      <c r="I102" s="184" t="n">
        <v>9337756</v>
      </c>
      <c r="J102" s="185" t="n">
        <v>9337756</v>
      </c>
      <c r="K102" s="183" t="n">
        <v>9337756</v>
      </c>
      <c r="L102" s="182" t="n">
        <v>9337756</v>
      </c>
      <c r="M102" s="183" t="n">
        <v>9337756</v>
      </c>
      <c r="N102" s="183" t="n">
        <v>9337756</v>
      </c>
      <c r="O102" s="186" t="n">
        <v>9337756</v>
      </c>
      <c r="P102" s="186" t="n">
        <v>8416292</v>
      </c>
      <c r="Q102" s="185" t="n">
        <v>8416292</v>
      </c>
      <c r="R102" s="182" t="n">
        <v>8416292</v>
      </c>
      <c r="S102" s="183" t="n">
        <v>8416292</v>
      </c>
      <c r="T102" s="186" t="n">
        <v>8416292</v>
      </c>
      <c r="U102" s="182" t="n">
        <v>11965317</v>
      </c>
      <c r="V102" s="183" t="n">
        <v>11965317</v>
      </c>
      <c r="W102" s="183" t="n">
        <v>11965317</v>
      </c>
      <c r="X102" s="184" t="n">
        <v>11965317</v>
      </c>
      <c r="Y102" s="185" t="n">
        <v>11965317</v>
      </c>
      <c r="Z102" s="182" t="n">
        <v>11965317</v>
      </c>
      <c r="AA102" s="183" t="n">
        <v>11965317</v>
      </c>
      <c r="AB102" s="186" t="n">
        <v>11965317</v>
      </c>
      <c r="AC102" s="182" t="n">
        <v>9939040</v>
      </c>
      <c r="AD102" s="185" t="n">
        <v>9939040</v>
      </c>
      <c r="AE102" s="182" t="n">
        <v>9939040</v>
      </c>
      <c r="AF102" s="183" t="n">
        <v>9939040</v>
      </c>
      <c r="AG102" s="186" t="n">
        <v>9939040</v>
      </c>
      <c r="AH102" s="182" t="n">
        <v>9133902</v>
      </c>
      <c r="AI102" s="184" t="n">
        <v>9133902</v>
      </c>
      <c r="AJ102" s="185" t="n">
        <v>9133902</v>
      </c>
      <c r="AK102" s="182" t="n">
        <v>9133902</v>
      </c>
      <c r="AL102" s="183" t="n">
        <v>9133902</v>
      </c>
      <c r="AM102" s="186" t="n">
        <v>9133902</v>
      </c>
      <c r="AN102" s="186" t="n">
        <v>7889934</v>
      </c>
      <c r="AO102" s="185" t="n">
        <v>7889934</v>
      </c>
      <c r="AP102" s="182" t="n">
        <v>7889934</v>
      </c>
      <c r="AQ102" s="183" t="n">
        <v>7889934</v>
      </c>
    </row>
    <row r="103" customFormat="false" ht="12.8" hidden="false" customHeight="false" outlineLevel="0" collapsed="false">
      <c r="A103" s="139" t="s">
        <v>29</v>
      </c>
      <c r="B103" s="181" t="n">
        <v>6113821</v>
      </c>
      <c r="C103" s="181" t="n">
        <v>6113821</v>
      </c>
      <c r="D103" s="182" t="n">
        <v>6113821</v>
      </c>
      <c r="E103" s="183" t="n">
        <v>6113821</v>
      </c>
      <c r="F103" s="186" t="n">
        <v>6113821</v>
      </c>
      <c r="G103" s="183" t="n">
        <v>2866861</v>
      </c>
      <c r="H103" s="182" t="n">
        <v>2866861</v>
      </c>
      <c r="I103" s="184" t="n">
        <v>2866861</v>
      </c>
      <c r="J103" s="185" t="n">
        <v>2866861</v>
      </c>
      <c r="K103" s="183" t="n">
        <v>2866861</v>
      </c>
      <c r="L103" s="182" t="n">
        <v>2866861</v>
      </c>
      <c r="M103" s="183" t="n">
        <v>2866861</v>
      </c>
      <c r="N103" s="183" t="n">
        <v>2866861</v>
      </c>
      <c r="O103" s="186" t="n">
        <v>2866861</v>
      </c>
      <c r="P103" s="186" t="n">
        <v>2855430</v>
      </c>
      <c r="Q103" s="185" t="n">
        <v>2855430</v>
      </c>
      <c r="R103" s="182" t="n">
        <v>2855430</v>
      </c>
      <c r="S103" s="183" t="n">
        <v>2855430</v>
      </c>
      <c r="T103" s="186" t="n">
        <v>2855430</v>
      </c>
      <c r="U103" s="182" t="n">
        <v>3318243</v>
      </c>
      <c r="V103" s="183" t="n">
        <v>3318243</v>
      </c>
      <c r="W103" s="183" t="n">
        <v>3318243</v>
      </c>
      <c r="X103" s="184" t="n">
        <v>3318243</v>
      </c>
      <c r="Y103" s="185" t="n">
        <v>3318243</v>
      </c>
      <c r="Z103" s="182" t="n">
        <v>3318243</v>
      </c>
      <c r="AA103" s="183" t="n">
        <v>3318243</v>
      </c>
      <c r="AB103" s="186" t="n">
        <v>3318243</v>
      </c>
      <c r="AC103" s="182" t="n">
        <v>2582552</v>
      </c>
      <c r="AD103" s="185" t="n">
        <v>2582552</v>
      </c>
      <c r="AE103" s="182" t="n">
        <v>2582552</v>
      </c>
      <c r="AF103" s="183" t="n">
        <v>2582552</v>
      </c>
      <c r="AG103" s="186" t="n">
        <v>2582552</v>
      </c>
      <c r="AH103" s="237" t="n">
        <v>1942650</v>
      </c>
      <c r="AI103" s="184" t="n">
        <v>1942650</v>
      </c>
      <c r="AJ103" s="239" t="n">
        <v>1942650</v>
      </c>
      <c r="AK103" s="237" t="n">
        <v>1942650</v>
      </c>
      <c r="AL103" s="183" t="n">
        <v>1942650</v>
      </c>
      <c r="AM103" s="186" t="n">
        <v>1942650</v>
      </c>
      <c r="AN103" s="186" t="n">
        <v>2329430</v>
      </c>
      <c r="AO103" s="185" t="n">
        <v>2329430</v>
      </c>
      <c r="AP103" s="182" t="n">
        <v>2329430</v>
      </c>
      <c r="AQ103" s="183" t="n">
        <v>2329430</v>
      </c>
    </row>
    <row r="104" customFormat="false" ht="12.8" hidden="false" customHeight="false" outlineLevel="0" collapsed="false">
      <c r="A104" s="139" t="s">
        <v>186</v>
      </c>
      <c r="B104" s="181" t="n">
        <v>3104894</v>
      </c>
      <c r="C104" s="181" t="n">
        <v>3104894</v>
      </c>
      <c r="D104" s="182" t="n">
        <v>3104894</v>
      </c>
      <c r="E104" s="183" t="n">
        <v>3104894</v>
      </c>
      <c r="F104" s="182" t="n">
        <v>3104894</v>
      </c>
      <c r="G104" s="184" t="n">
        <v>3104894</v>
      </c>
      <c r="H104" s="182" t="n">
        <v>1708081</v>
      </c>
      <c r="I104" s="184" t="n">
        <v>1708081</v>
      </c>
      <c r="J104" s="185" t="n">
        <v>1708081</v>
      </c>
      <c r="K104" s="183" t="n">
        <v>1708081</v>
      </c>
      <c r="L104" s="182" t="n">
        <v>1708081</v>
      </c>
      <c r="M104" s="183" t="n">
        <v>1708081</v>
      </c>
      <c r="N104" s="183" t="n">
        <v>1708081</v>
      </c>
      <c r="O104" s="186" t="n">
        <v>1708081</v>
      </c>
      <c r="P104" s="186" t="n">
        <v>1242162</v>
      </c>
      <c r="Q104" s="185" t="n">
        <v>1242162</v>
      </c>
      <c r="R104" s="182" t="n">
        <v>1242162</v>
      </c>
      <c r="S104" s="183" t="n">
        <v>1242162</v>
      </c>
      <c r="T104" s="186" t="n">
        <v>1242162</v>
      </c>
      <c r="U104" s="182" t="n">
        <v>314504</v>
      </c>
      <c r="V104" s="183" t="n">
        <v>314504</v>
      </c>
      <c r="W104" s="183" t="n">
        <v>314504</v>
      </c>
      <c r="X104" s="184" t="n">
        <v>314504</v>
      </c>
      <c r="Y104" s="185" t="n">
        <v>314504</v>
      </c>
      <c r="Z104" s="182" t="n">
        <v>314504</v>
      </c>
      <c r="AA104" s="183" t="n">
        <v>314504</v>
      </c>
      <c r="AB104" s="186" t="n">
        <v>314504</v>
      </c>
      <c r="AC104" s="182" t="n">
        <v>2653544</v>
      </c>
      <c r="AD104" s="185" t="n">
        <v>2653544</v>
      </c>
      <c r="AE104" s="182" t="n">
        <v>2653544</v>
      </c>
      <c r="AF104" s="183" t="n">
        <v>2653544</v>
      </c>
      <c r="AG104" s="186" t="n">
        <v>2653544</v>
      </c>
      <c r="AH104" s="182" t="n">
        <v>2889593</v>
      </c>
      <c r="AI104" s="184" t="n">
        <v>2889593</v>
      </c>
      <c r="AJ104" s="185" t="n">
        <v>2889593</v>
      </c>
      <c r="AK104" s="182" t="n">
        <v>2889593</v>
      </c>
      <c r="AL104" s="183" t="n">
        <v>2889593</v>
      </c>
      <c r="AM104" s="186" t="n">
        <v>2889593</v>
      </c>
      <c r="AN104" s="186" t="n">
        <v>2877739</v>
      </c>
      <c r="AO104" s="185" t="n">
        <v>2877739</v>
      </c>
      <c r="AP104" s="182" t="n">
        <v>2877739</v>
      </c>
      <c r="AQ104" s="183" t="n">
        <v>2877739</v>
      </c>
    </row>
    <row r="105" s="1" customFormat="true" ht="12.8" hidden="false" customHeight="false" outlineLevel="0" collapsed="false">
      <c r="A105" s="242" t="s">
        <v>187</v>
      </c>
      <c r="B105" s="181" t="n">
        <v>14510796</v>
      </c>
      <c r="C105" s="181" t="n">
        <v>14510796</v>
      </c>
      <c r="D105" s="182" t="n">
        <v>14510796</v>
      </c>
      <c r="E105" s="183" t="n">
        <v>14510796</v>
      </c>
      <c r="F105" s="186" t="n">
        <v>14510796</v>
      </c>
      <c r="G105" s="183" t="n">
        <v>27240178</v>
      </c>
      <c r="H105" s="182" t="n">
        <v>27240178</v>
      </c>
      <c r="I105" s="184" t="n">
        <v>27240178</v>
      </c>
      <c r="J105" s="185" t="n">
        <v>27240178</v>
      </c>
      <c r="K105" s="183" t="n">
        <v>27240178</v>
      </c>
      <c r="L105" s="182" t="n">
        <v>27240178</v>
      </c>
      <c r="M105" s="183" t="n">
        <v>27240178</v>
      </c>
      <c r="N105" s="183" t="n">
        <v>27240178</v>
      </c>
      <c r="O105" s="186" t="n">
        <v>27240178</v>
      </c>
      <c r="P105" s="186" t="n">
        <v>21534243</v>
      </c>
      <c r="Q105" s="185" t="n">
        <v>21534243</v>
      </c>
      <c r="R105" s="182" t="n">
        <v>21534243</v>
      </c>
      <c r="S105" s="183" t="n">
        <v>21534243</v>
      </c>
      <c r="T105" s="186" t="n">
        <v>21534243</v>
      </c>
      <c r="U105" s="182" t="n">
        <v>6754016</v>
      </c>
      <c r="V105" s="183" t="n">
        <v>6754016</v>
      </c>
      <c r="W105" s="183" t="n">
        <v>6754016</v>
      </c>
      <c r="X105" s="184" t="n">
        <v>6754016</v>
      </c>
      <c r="Y105" s="185" t="n">
        <v>6754016</v>
      </c>
      <c r="Z105" s="182" t="n">
        <v>6754016</v>
      </c>
      <c r="AA105" s="183" t="n">
        <v>6754016</v>
      </c>
      <c r="AB105" s="186" t="n">
        <v>6754016</v>
      </c>
      <c r="AC105" s="182" t="n">
        <v>6088406</v>
      </c>
      <c r="AD105" s="185" t="n">
        <v>6088406</v>
      </c>
      <c r="AE105" s="182" t="n">
        <v>6088406</v>
      </c>
      <c r="AF105" s="184" t="n">
        <v>6088406</v>
      </c>
      <c r="AG105" s="182" t="n">
        <v>5319967</v>
      </c>
      <c r="AH105" s="182" t="n">
        <v>5319967</v>
      </c>
      <c r="AI105" s="184" t="n">
        <v>5319967</v>
      </c>
      <c r="AJ105" s="185" t="n">
        <v>5319967</v>
      </c>
      <c r="AK105" s="187" t="n">
        <v>5319967</v>
      </c>
      <c r="AL105" s="184" t="n">
        <v>5319967</v>
      </c>
      <c r="AM105" s="182" t="n">
        <v>5626666</v>
      </c>
      <c r="AN105" s="186" t="n">
        <v>5626666</v>
      </c>
      <c r="AO105" s="185" t="n">
        <v>5626666</v>
      </c>
      <c r="AP105" s="182" t="n">
        <v>5626666</v>
      </c>
      <c r="AQ105" s="183" t="n">
        <v>5626666</v>
      </c>
    </row>
    <row r="106" s="1" customFormat="true" ht="12.8" hidden="false" customHeight="false" outlineLevel="0" collapsed="false">
      <c r="A106" s="242" t="s">
        <v>188</v>
      </c>
      <c r="B106" s="181" t="n">
        <v>7711056</v>
      </c>
      <c r="C106" s="181" t="n">
        <v>7711056</v>
      </c>
      <c r="D106" s="182" t="n">
        <v>7711056</v>
      </c>
      <c r="E106" s="183" t="n">
        <v>7711056</v>
      </c>
      <c r="F106" s="186" t="n">
        <v>7711056</v>
      </c>
      <c r="G106" s="183" t="n">
        <v>5863869</v>
      </c>
      <c r="H106" s="182" t="n">
        <v>5863869</v>
      </c>
      <c r="I106" s="184" t="n">
        <v>5863869</v>
      </c>
      <c r="J106" s="185" t="n">
        <v>5863869</v>
      </c>
      <c r="K106" s="183" t="n">
        <v>5863869</v>
      </c>
      <c r="L106" s="182" t="n">
        <v>5863869</v>
      </c>
      <c r="M106" s="183" t="n">
        <v>5863869</v>
      </c>
      <c r="N106" s="183" t="n">
        <v>5863869</v>
      </c>
      <c r="O106" s="186" t="n">
        <v>5863869</v>
      </c>
      <c r="P106" s="186" t="n">
        <v>4592926</v>
      </c>
      <c r="Q106" s="185" t="n">
        <v>4592926</v>
      </c>
      <c r="R106" s="182" t="n">
        <v>4592926</v>
      </c>
      <c r="S106" s="183" t="n">
        <v>4592926</v>
      </c>
      <c r="T106" s="186" t="n">
        <v>4592926</v>
      </c>
      <c r="U106" s="182" t="n">
        <v>2934878</v>
      </c>
      <c r="V106" s="183" t="n">
        <v>2934878</v>
      </c>
      <c r="W106" s="183" t="n">
        <v>2934878</v>
      </c>
      <c r="X106" s="184" t="n">
        <v>2934878</v>
      </c>
      <c r="Y106" s="185" t="n">
        <v>2934878</v>
      </c>
      <c r="Z106" s="182" t="n">
        <v>2934878</v>
      </c>
      <c r="AA106" s="183" t="n">
        <v>2934878</v>
      </c>
      <c r="AB106" s="186" t="n">
        <v>2934878</v>
      </c>
      <c r="AC106" s="182" t="n">
        <v>4433642</v>
      </c>
      <c r="AD106" s="185" t="n">
        <v>4433642</v>
      </c>
      <c r="AE106" s="182" t="n">
        <v>4433642</v>
      </c>
      <c r="AF106" s="184" t="n">
        <v>4433642</v>
      </c>
      <c r="AG106" s="182" t="n">
        <v>4432211</v>
      </c>
      <c r="AH106" s="182" t="n">
        <v>4432211</v>
      </c>
      <c r="AI106" s="184" t="n">
        <v>4432211</v>
      </c>
      <c r="AJ106" s="185" t="n">
        <v>4432211</v>
      </c>
      <c r="AK106" s="187" t="n">
        <v>4432211</v>
      </c>
      <c r="AL106" s="184" t="n">
        <v>4432211</v>
      </c>
      <c r="AM106" s="182" t="n">
        <v>3658585</v>
      </c>
      <c r="AN106" s="186" t="n">
        <v>3658585</v>
      </c>
      <c r="AO106" s="185" t="n">
        <v>3658585</v>
      </c>
      <c r="AP106" s="182" t="n">
        <v>3658585</v>
      </c>
      <c r="AQ106" s="183" t="n">
        <v>3658585</v>
      </c>
    </row>
    <row r="107" s="1" customFormat="true" ht="12.8" hidden="false" customHeight="false" outlineLevel="0" collapsed="false">
      <c r="A107" s="139" t="s">
        <v>189</v>
      </c>
      <c r="B107" s="181" t="n">
        <v>3315268</v>
      </c>
      <c r="C107" s="181" t="n">
        <v>3315268</v>
      </c>
      <c r="D107" s="182" t="n">
        <v>3315268</v>
      </c>
      <c r="E107" s="183" t="n">
        <v>3315268</v>
      </c>
      <c r="F107" s="182" t="n">
        <v>3315268</v>
      </c>
      <c r="G107" s="183" t="n">
        <v>3315268</v>
      </c>
      <c r="H107" s="186" t="n">
        <v>3315268</v>
      </c>
      <c r="I107" s="184" t="n">
        <v>2184829</v>
      </c>
      <c r="J107" s="185" t="n">
        <v>2184829</v>
      </c>
      <c r="K107" s="183" t="n">
        <v>2184829</v>
      </c>
      <c r="L107" s="182" t="n">
        <v>2184829</v>
      </c>
      <c r="M107" s="183" t="n">
        <v>2184829</v>
      </c>
      <c r="N107" s="183" t="n">
        <v>2184829</v>
      </c>
      <c r="O107" s="182" t="n">
        <v>2184829</v>
      </c>
      <c r="P107" s="186" t="n">
        <v>2184829</v>
      </c>
      <c r="Q107" s="185" t="n">
        <v>2004764</v>
      </c>
      <c r="R107" s="182" t="n">
        <v>2004764</v>
      </c>
      <c r="S107" s="183" t="n">
        <v>2004764</v>
      </c>
      <c r="T107" s="182" t="n">
        <v>2004764</v>
      </c>
      <c r="U107" s="186" t="n">
        <v>2004764</v>
      </c>
      <c r="V107" s="183" t="n">
        <v>2875317</v>
      </c>
      <c r="W107" s="183" t="n">
        <v>2875317</v>
      </c>
      <c r="X107" s="184" t="n">
        <v>2875317</v>
      </c>
      <c r="Y107" s="185" t="n">
        <v>2875317</v>
      </c>
      <c r="Z107" s="182" t="n">
        <v>2875317</v>
      </c>
      <c r="AA107" s="183" t="n">
        <v>2875317</v>
      </c>
      <c r="AB107" s="182" t="n">
        <v>2875317</v>
      </c>
      <c r="AC107" s="182" t="n">
        <v>2875317</v>
      </c>
      <c r="AD107" s="185" t="n">
        <v>3333788</v>
      </c>
      <c r="AE107" s="182" t="n">
        <v>3333788</v>
      </c>
      <c r="AF107" s="183" t="n">
        <v>3333788</v>
      </c>
      <c r="AG107" s="182" t="n">
        <v>3333788</v>
      </c>
      <c r="AH107" s="182" t="n">
        <v>3333788</v>
      </c>
      <c r="AI107" s="184" t="n">
        <v>3333788</v>
      </c>
      <c r="AJ107" s="185" t="n">
        <v>3312813</v>
      </c>
      <c r="AK107" s="182" t="n">
        <v>3312813</v>
      </c>
      <c r="AL107" s="183" t="n">
        <v>3312813</v>
      </c>
      <c r="AM107" s="182" t="n">
        <v>3312813</v>
      </c>
      <c r="AN107" s="186" t="n">
        <v>3312813</v>
      </c>
      <c r="AO107" s="185" t="n">
        <v>3293674</v>
      </c>
      <c r="AP107" s="237" t="n">
        <v>3293674</v>
      </c>
      <c r="AQ107" s="183" t="n">
        <v>3293674</v>
      </c>
    </row>
    <row r="108" customFormat="false" ht="12.8" hidden="false" customHeight="false" outlineLevel="0" collapsed="false">
      <c r="A108" s="139" t="s">
        <v>190</v>
      </c>
      <c r="B108" s="181" t="n">
        <v>4744585</v>
      </c>
      <c r="C108" s="181" t="n">
        <v>4744585</v>
      </c>
      <c r="D108" s="182" t="n">
        <v>4744585</v>
      </c>
      <c r="E108" s="183" t="n">
        <v>4744585</v>
      </c>
      <c r="F108" s="186" t="n">
        <v>4744585</v>
      </c>
      <c r="G108" s="183" t="n">
        <v>3760292</v>
      </c>
      <c r="H108" s="182" t="n">
        <v>3760292</v>
      </c>
      <c r="I108" s="184" t="n">
        <v>3760292</v>
      </c>
      <c r="J108" s="185" t="n">
        <v>3760292</v>
      </c>
      <c r="K108" s="183" t="n">
        <v>3760292</v>
      </c>
      <c r="L108" s="182" t="n">
        <v>3760292</v>
      </c>
      <c r="M108" s="183" t="n">
        <v>3760292</v>
      </c>
      <c r="N108" s="183" t="n">
        <v>3760292</v>
      </c>
      <c r="O108" s="186" t="n">
        <v>3760292</v>
      </c>
      <c r="P108" s="186" t="n">
        <v>4173008</v>
      </c>
      <c r="Q108" s="185" t="n">
        <v>4173008</v>
      </c>
      <c r="R108" s="182" t="n">
        <v>4173008</v>
      </c>
      <c r="S108" s="183" t="n">
        <v>4173008</v>
      </c>
      <c r="T108" s="186" t="n">
        <v>4173008</v>
      </c>
      <c r="U108" s="182" t="n">
        <v>4483691</v>
      </c>
      <c r="V108" s="183" t="n">
        <v>4483691</v>
      </c>
      <c r="W108" s="183" t="n">
        <v>4483691</v>
      </c>
      <c r="X108" s="184" t="n">
        <v>4483691</v>
      </c>
      <c r="Y108" s="185" t="n">
        <v>4483691</v>
      </c>
      <c r="Z108" s="182" t="n">
        <v>4483691</v>
      </c>
      <c r="AA108" s="183" t="n">
        <v>4483691</v>
      </c>
      <c r="AB108" s="186" t="n">
        <v>4483691</v>
      </c>
      <c r="AC108" s="182" t="n">
        <v>3595154</v>
      </c>
      <c r="AD108" s="185" t="n">
        <v>3595154</v>
      </c>
      <c r="AE108" s="182" t="n">
        <v>3595154</v>
      </c>
      <c r="AF108" s="183" t="n">
        <v>3595154</v>
      </c>
      <c r="AG108" s="186" t="n">
        <v>3595154</v>
      </c>
      <c r="AH108" s="182" t="n">
        <v>3350032</v>
      </c>
      <c r="AI108" s="184" t="n">
        <v>3350032</v>
      </c>
      <c r="AJ108" s="185" t="n">
        <v>3350032</v>
      </c>
      <c r="AK108" s="187" t="n">
        <v>3350032</v>
      </c>
      <c r="AL108" s="181" t="n">
        <v>3350032</v>
      </c>
      <c r="AM108" s="186" t="n">
        <v>3350032</v>
      </c>
      <c r="AN108" s="186" t="n">
        <v>5531804</v>
      </c>
      <c r="AO108" s="185" t="n">
        <v>5531804</v>
      </c>
      <c r="AP108" s="182" t="n">
        <v>5531804</v>
      </c>
      <c r="AQ108" s="183" t="n">
        <v>5531804</v>
      </c>
    </row>
    <row r="109" s="1" customFormat="true" ht="12.8" hidden="false" customHeight="false" outlineLevel="0" collapsed="false">
      <c r="A109" s="139" t="s">
        <v>26</v>
      </c>
      <c r="B109" s="181" t="n">
        <v>3236975</v>
      </c>
      <c r="C109" s="181" t="n">
        <v>3236975</v>
      </c>
      <c r="D109" s="182" t="n">
        <v>3236975</v>
      </c>
      <c r="E109" s="183" t="n">
        <v>3236975</v>
      </c>
      <c r="F109" s="186" t="n">
        <v>3236975</v>
      </c>
      <c r="G109" s="183" t="n">
        <v>3418357</v>
      </c>
      <c r="H109" s="182" t="n">
        <v>3418357</v>
      </c>
      <c r="I109" s="184" t="n">
        <v>3418357</v>
      </c>
      <c r="J109" s="185" t="n">
        <v>3418357</v>
      </c>
      <c r="K109" s="183" t="n">
        <v>3418357</v>
      </c>
      <c r="L109" s="182" t="n">
        <v>3418357</v>
      </c>
      <c r="M109" s="183" t="n">
        <v>3418357</v>
      </c>
      <c r="N109" s="183" t="n">
        <v>3418357</v>
      </c>
      <c r="O109" s="186" t="n">
        <v>3418357</v>
      </c>
      <c r="P109" s="186" t="n">
        <v>9075333</v>
      </c>
      <c r="Q109" s="185" t="n">
        <v>9075333</v>
      </c>
      <c r="R109" s="182" t="n">
        <v>9075333</v>
      </c>
      <c r="S109" s="183" t="n">
        <v>9075333</v>
      </c>
      <c r="T109" s="186" t="n">
        <v>9075333</v>
      </c>
      <c r="U109" s="182" t="n">
        <v>4325382</v>
      </c>
      <c r="V109" s="183" t="n">
        <v>4325382</v>
      </c>
      <c r="W109" s="183" t="n">
        <v>4325382</v>
      </c>
      <c r="X109" s="184" t="n">
        <v>4325382</v>
      </c>
      <c r="Y109" s="185" t="n">
        <v>4325382</v>
      </c>
      <c r="Z109" s="182" t="n">
        <v>4325382</v>
      </c>
      <c r="AA109" s="183" t="n">
        <v>4325382</v>
      </c>
      <c r="AB109" s="186" t="n">
        <v>4325382</v>
      </c>
      <c r="AC109" s="182" t="n">
        <v>3687886</v>
      </c>
      <c r="AD109" s="185" t="n">
        <v>3687886</v>
      </c>
      <c r="AE109" s="182" t="n">
        <v>3687886</v>
      </c>
      <c r="AF109" s="183" t="n">
        <v>3687886</v>
      </c>
      <c r="AG109" s="186" t="n">
        <v>3687886</v>
      </c>
      <c r="AH109" s="182" t="n">
        <v>3376130</v>
      </c>
      <c r="AI109" s="184" t="n">
        <v>3376130</v>
      </c>
      <c r="AJ109" s="185" t="n">
        <v>3376130</v>
      </c>
      <c r="AK109" s="182" t="n">
        <v>3376130</v>
      </c>
      <c r="AL109" s="183" t="n">
        <v>3376130</v>
      </c>
      <c r="AM109" s="186" t="n">
        <v>3376130</v>
      </c>
      <c r="AN109" s="186" t="n">
        <v>3737821</v>
      </c>
      <c r="AO109" s="185" t="n">
        <v>3737821</v>
      </c>
      <c r="AP109" s="182" t="n">
        <v>3737821</v>
      </c>
      <c r="AQ109" s="183" t="n">
        <v>3737821</v>
      </c>
    </row>
    <row r="110" s="1" customFormat="true" ht="12.8" hidden="false" customHeight="false" outlineLevel="0" collapsed="false">
      <c r="A110" s="242" t="s">
        <v>191</v>
      </c>
      <c r="B110" s="181" t="n">
        <v>859495</v>
      </c>
      <c r="C110" s="181" t="n">
        <v>859495</v>
      </c>
      <c r="D110" s="182" t="n">
        <v>859495</v>
      </c>
      <c r="E110" s="183" t="n">
        <v>859495</v>
      </c>
      <c r="F110" s="182" t="n">
        <v>859495</v>
      </c>
      <c r="G110" s="183" t="n">
        <v>859495</v>
      </c>
      <c r="H110" s="182" t="n">
        <v>859495</v>
      </c>
      <c r="I110" s="184" t="n">
        <v>859495</v>
      </c>
      <c r="J110" s="185" t="n">
        <v>1232243</v>
      </c>
      <c r="K110" s="183" t="n">
        <v>1232243</v>
      </c>
      <c r="L110" s="182" t="n">
        <v>1232243</v>
      </c>
      <c r="M110" s="183" t="n">
        <v>1232243</v>
      </c>
      <c r="N110" s="183" t="n">
        <v>1232243</v>
      </c>
      <c r="O110" s="182" t="n">
        <v>1232243</v>
      </c>
      <c r="P110" s="186" t="n">
        <v>1232243</v>
      </c>
      <c r="Q110" s="185" t="n">
        <v>519918</v>
      </c>
      <c r="R110" s="182" t="n">
        <v>519918</v>
      </c>
      <c r="S110" s="183" t="n">
        <v>519918</v>
      </c>
      <c r="T110" s="182" t="n">
        <v>519918</v>
      </c>
      <c r="U110" s="182" t="n">
        <v>519918</v>
      </c>
      <c r="V110" s="184" t="n">
        <v>519918</v>
      </c>
      <c r="W110" s="183" t="n">
        <v>831577</v>
      </c>
      <c r="X110" s="184" t="n">
        <v>831577</v>
      </c>
      <c r="Y110" s="185" t="n">
        <v>831577</v>
      </c>
      <c r="Z110" s="182" t="n">
        <v>831577</v>
      </c>
      <c r="AA110" s="183" t="n">
        <v>831577</v>
      </c>
      <c r="AB110" s="182" t="n">
        <v>831577</v>
      </c>
      <c r="AC110" s="186" t="n">
        <v>831577</v>
      </c>
      <c r="AD110" s="185" t="n">
        <v>58504</v>
      </c>
      <c r="AE110" s="182" t="n">
        <v>58504</v>
      </c>
      <c r="AF110" s="183" t="n">
        <v>58504</v>
      </c>
      <c r="AG110" s="186" t="n">
        <v>58504</v>
      </c>
      <c r="AH110" s="182" t="n">
        <v>37414</v>
      </c>
      <c r="AI110" s="184" t="n">
        <v>37414</v>
      </c>
      <c r="AJ110" s="185" t="n">
        <v>37414</v>
      </c>
      <c r="AK110" s="182" t="n">
        <v>37414</v>
      </c>
      <c r="AL110" s="183" t="n">
        <v>37414</v>
      </c>
      <c r="AM110" s="186" t="n">
        <v>37414</v>
      </c>
      <c r="AN110" s="186" t="n">
        <v>37772</v>
      </c>
      <c r="AO110" s="185" t="n">
        <v>37772</v>
      </c>
      <c r="AP110" s="182" t="n">
        <v>37772</v>
      </c>
      <c r="AQ110" s="183" t="n">
        <v>37772</v>
      </c>
    </row>
    <row r="111" customFormat="false" ht="12.8" hidden="false" customHeight="false" outlineLevel="0" collapsed="false">
      <c r="A111" s="139" t="s">
        <v>192</v>
      </c>
      <c r="B111" s="181" t="n">
        <v>4099040</v>
      </c>
      <c r="C111" s="181" t="n">
        <v>4099040</v>
      </c>
      <c r="D111" s="182" t="n">
        <v>4099040</v>
      </c>
      <c r="E111" s="183" t="n">
        <v>4099040</v>
      </c>
      <c r="F111" s="186" t="n">
        <v>4099040</v>
      </c>
      <c r="G111" s="183" t="n">
        <v>3123414</v>
      </c>
      <c r="H111" s="182" t="n">
        <v>3123414</v>
      </c>
      <c r="I111" s="184" t="n">
        <v>3123414</v>
      </c>
      <c r="J111" s="185" t="n">
        <v>3123414</v>
      </c>
      <c r="K111" s="183" t="n">
        <v>3123414</v>
      </c>
      <c r="L111" s="182" t="n">
        <v>3123414</v>
      </c>
      <c r="M111" s="183" t="n">
        <v>3123414</v>
      </c>
      <c r="N111" s="183" t="n">
        <v>3123414</v>
      </c>
      <c r="O111" s="186" t="n">
        <v>3123414</v>
      </c>
      <c r="P111" s="186" t="n">
        <v>2609414</v>
      </c>
      <c r="Q111" s="185" t="n">
        <v>2609414</v>
      </c>
      <c r="R111" s="182" t="n">
        <v>2609414</v>
      </c>
      <c r="S111" s="183" t="n">
        <v>2609414</v>
      </c>
      <c r="T111" s="186" t="n">
        <v>2609414</v>
      </c>
      <c r="U111" s="182" t="n">
        <v>1290065</v>
      </c>
      <c r="V111" s="183" t="n">
        <v>1290065</v>
      </c>
      <c r="W111" s="183" t="n">
        <v>1290065</v>
      </c>
      <c r="X111" s="184" t="n">
        <v>1290065</v>
      </c>
      <c r="Y111" s="185" t="n">
        <v>1290065</v>
      </c>
      <c r="Z111" s="182" t="n">
        <v>1290065</v>
      </c>
      <c r="AA111" s="183" t="n">
        <v>1290065</v>
      </c>
      <c r="AB111" s="186" t="n">
        <v>1290065</v>
      </c>
      <c r="AC111" s="182" t="n">
        <v>2181203</v>
      </c>
      <c r="AD111" s="185" t="n">
        <v>2181203</v>
      </c>
      <c r="AE111" s="182" t="n">
        <v>2181203</v>
      </c>
      <c r="AF111" s="183" t="n">
        <v>2181203</v>
      </c>
      <c r="AG111" s="186" t="n">
        <v>2181203</v>
      </c>
      <c r="AH111" s="182" t="n">
        <v>1871121</v>
      </c>
      <c r="AI111" s="184" t="n">
        <v>1871121</v>
      </c>
      <c r="AJ111" s="185" t="n">
        <v>1871121</v>
      </c>
      <c r="AK111" s="182" t="n">
        <v>1871121</v>
      </c>
      <c r="AL111" s="183" t="n">
        <v>1871121</v>
      </c>
      <c r="AM111" s="186" t="n">
        <v>1871121</v>
      </c>
      <c r="AN111" s="186" t="n">
        <v>3504178</v>
      </c>
      <c r="AO111" s="185" t="n">
        <v>3504178</v>
      </c>
      <c r="AP111" s="182" t="n">
        <v>3504178</v>
      </c>
      <c r="AQ111" s="183" t="n">
        <v>3504178</v>
      </c>
    </row>
    <row r="112" s="1" customFormat="true" ht="12.8" hidden="false" customHeight="false" outlineLevel="0" collapsed="false">
      <c r="A112" s="139" t="s">
        <v>193</v>
      </c>
      <c r="B112" s="181" t="n">
        <v>1124341</v>
      </c>
      <c r="C112" s="181" t="n">
        <v>1124341</v>
      </c>
      <c r="D112" s="182" t="n">
        <v>1124341</v>
      </c>
      <c r="E112" s="183" t="n">
        <v>1124341</v>
      </c>
      <c r="F112" s="186" t="n">
        <v>1124341</v>
      </c>
      <c r="G112" s="183" t="n">
        <v>1179365</v>
      </c>
      <c r="H112" s="182" t="n">
        <v>1179365</v>
      </c>
      <c r="I112" s="184" t="n">
        <v>1179365</v>
      </c>
      <c r="J112" s="185" t="n">
        <v>1179365</v>
      </c>
      <c r="K112" s="183" t="n">
        <v>1179365</v>
      </c>
      <c r="L112" s="182" t="n">
        <v>1179365</v>
      </c>
      <c r="M112" s="183" t="n">
        <v>1179365</v>
      </c>
      <c r="N112" s="183" t="n">
        <v>1179365</v>
      </c>
      <c r="O112" s="186" t="n">
        <v>1179365</v>
      </c>
      <c r="P112" s="186" t="n">
        <v>1462747</v>
      </c>
      <c r="Q112" s="185" t="n">
        <v>1462747</v>
      </c>
      <c r="R112" s="182" t="n">
        <v>1462747</v>
      </c>
      <c r="S112" s="183" t="n">
        <v>1462747</v>
      </c>
      <c r="T112" s="186" t="n">
        <v>1462747</v>
      </c>
      <c r="U112" s="182" t="n">
        <v>1389040</v>
      </c>
      <c r="V112" s="183" t="n">
        <v>1389040</v>
      </c>
      <c r="W112" s="183" t="n">
        <v>1389040</v>
      </c>
      <c r="X112" s="184" t="n">
        <v>1389040</v>
      </c>
      <c r="Y112" s="185" t="n">
        <v>1389040</v>
      </c>
      <c r="Z112" s="182" t="n">
        <v>1389040</v>
      </c>
      <c r="AA112" s="183" t="n">
        <v>1389040</v>
      </c>
      <c r="AB112" s="186" t="n">
        <v>1389040</v>
      </c>
      <c r="AC112" s="182" t="n">
        <v>1934601</v>
      </c>
      <c r="AD112" s="185" t="n">
        <v>1934601</v>
      </c>
      <c r="AE112" s="182" t="n">
        <v>1934601</v>
      </c>
      <c r="AF112" s="183" t="n">
        <v>1934601</v>
      </c>
      <c r="AG112" s="186" t="n">
        <v>1934601</v>
      </c>
      <c r="AH112" s="182" t="n">
        <v>1971121</v>
      </c>
      <c r="AI112" s="184" t="n">
        <v>1971121</v>
      </c>
      <c r="AJ112" s="185" t="n">
        <v>1971121</v>
      </c>
      <c r="AK112" s="182" t="n">
        <v>1971121</v>
      </c>
      <c r="AL112" s="183" t="n">
        <v>1971121</v>
      </c>
      <c r="AM112" s="186" t="n">
        <v>1971121</v>
      </c>
      <c r="AN112" s="186" t="n">
        <v>2132894</v>
      </c>
      <c r="AO112" s="185" t="n">
        <v>2132894</v>
      </c>
      <c r="AP112" s="182" t="n">
        <v>2132894</v>
      </c>
      <c r="AQ112" s="183" t="n">
        <v>2132894</v>
      </c>
    </row>
    <row r="113" customFormat="false" ht="12.8" hidden="false" customHeight="false" outlineLevel="0" collapsed="false">
      <c r="A113" s="139" t="s">
        <v>194</v>
      </c>
      <c r="B113" s="181" t="n">
        <v>1310504</v>
      </c>
      <c r="C113" s="181" t="n">
        <v>1310504</v>
      </c>
      <c r="D113" s="182" t="n">
        <v>1310504</v>
      </c>
      <c r="E113" s="184" t="n">
        <v>1310504</v>
      </c>
      <c r="F113" s="186" t="n">
        <v>1494178</v>
      </c>
      <c r="G113" s="183" t="n">
        <v>1494178</v>
      </c>
      <c r="H113" s="182" t="n">
        <v>1494178</v>
      </c>
      <c r="I113" s="184" t="n">
        <v>1494178</v>
      </c>
      <c r="J113" s="185" t="n">
        <v>1494178</v>
      </c>
      <c r="K113" s="183" t="n">
        <v>1494178</v>
      </c>
      <c r="L113" s="182" t="n">
        <v>1494178</v>
      </c>
      <c r="M113" s="183" t="n">
        <v>1494178</v>
      </c>
      <c r="N113" s="183" t="n">
        <v>1494178</v>
      </c>
      <c r="O113" s="186" t="n">
        <v>1494178</v>
      </c>
      <c r="P113" s="186" t="n">
        <v>1816699</v>
      </c>
      <c r="Q113" s="185" t="n">
        <v>1816699</v>
      </c>
      <c r="R113" s="182" t="n">
        <v>1816699</v>
      </c>
      <c r="S113" s="183" t="n">
        <v>1816699</v>
      </c>
      <c r="T113" s="186" t="n">
        <v>1816699</v>
      </c>
      <c r="U113" s="182" t="n">
        <v>2108959</v>
      </c>
      <c r="V113" s="183" t="n">
        <v>2108959</v>
      </c>
      <c r="W113" s="183" t="n">
        <v>2108959</v>
      </c>
      <c r="X113" s="184" t="n">
        <v>2108959</v>
      </c>
      <c r="Y113" s="185" t="n">
        <v>2108959</v>
      </c>
      <c r="Z113" s="182" t="n">
        <v>2108959</v>
      </c>
      <c r="AA113" s="183" t="n">
        <v>2108959</v>
      </c>
      <c r="AB113" s="167" t="n">
        <v>2108959</v>
      </c>
      <c r="AC113" s="182" t="n">
        <v>2117219</v>
      </c>
      <c r="AD113" s="185" t="n">
        <v>2117219</v>
      </c>
      <c r="AE113" s="182" t="n">
        <v>2117219</v>
      </c>
      <c r="AF113" s="183" t="n">
        <v>2117219</v>
      </c>
      <c r="AG113" s="186" t="n">
        <v>2117219</v>
      </c>
      <c r="AH113" s="182" t="n">
        <v>2489008</v>
      </c>
      <c r="AI113" s="184" t="n">
        <v>2489008</v>
      </c>
      <c r="AJ113" s="185" t="n">
        <v>2489008</v>
      </c>
      <c r="AK113" s="182" t="n">
        <v>2489008</v>
      </c>
      <c r="AL113" s="183" t="n">
        <v>2489008</v>
      </c>
      <c r="AM113" s="186" t="n">
        <v>2489008</v>
      </c>
      <c r="AN113" s="186" t="n">
        <v>1584130</v>
      </c>
      <c r="AO113" s="185" t="n">
        <v>1584130</v>
      </c>
      <c r="AP113" s="182" t="n">
        <v>1584130</v>
      </c>
      <c r="AQ113" s="183" t="n">
        <v>1584130</v>
      </c>
    </row>
    <row r="114" customFormat="false" ht="12.8" hidden="false" customHeight="false" outlineLevel="0" collapsed="false">
      <c r="A114" s="139" t="s">
        <v>195</v>
      </c>
      <c r="B114" s="181" t="n">
        <v>5158130</v>
      </c>
      <c r="C114" s="181" t="n">
        <v>5158130</v>
      </c>
      <c r="D114" s="182" t="n">
        <v>5158130</v>
      </c>
      <c r="E114" s="183" t="n">
        <v>5158130</v>
      </c>
      <c r="F114" s="186" t="n">
        <v>5158130</v>
      </c>
      <c r="G114" s="183" t="n">
        <v>4064325</v>
      </c>
      <c r="H114" s="182" t="n">
        <v>4064325</v>
      </c>
      <c r="I114" s="184" t="n">
        <v>4064325</v>
      </c>
      <c r="J114" s="185" t="n">
        <v>4064325</v>
      </c>
      <c r="K114" s="183" t="n">
        <v>4064325</v>
      </c>
      <c r="L114" s="182" t="n">
        <v>4064325</v>
      </c>
      <c r="M114" s="183" t="n">
        <v>4064325</v>
      </c>
      <c r="N114" s="183" t="n">
        <v>4064325</v>
      </c>
      <c r="O114" s="186" t="n">
        <v>4064325</v>
      </c>
      <c r="P114" s="186" t="n">
        <v>3967918</v>
      </c>
      <c r="Q114" s="185" t="n">
        <v>3967918</v>
      </c>
      <c r="R114" s="182" t="n">
        <v>3967918</v>
      </c>
      <c r="S114" s="183" t="n">
        <v>3967918</v>
      </c>
      <c r="T114" s="186" t="n">
        <v>3967918</v>
      </c>
      <c r="U114" s="182" t="n">
        <v>3012634</v>
      </c>
      <c r="V114" s="183" t="n">
        <v>3012634</v>
      </c>
      <c r="W114" s="183" t="n">
        <v>3012634</v>
      </c>
      <c r="X114" s="184" t="n">
        <v>3012634</v>
      </c>
      <c r="Y114" s="185" t="n">
        <v>3012634</v>
      </c>
      <c r="Z114" s="182" t="n">
        <v>3012634</v>
      </c>
      <c r="AA114" s="183" t="n">
        <v>3012634</v>
      </c>
      <c r="AB114" s="167" t="n">
        <v>3012634</v>
      </c>
      <c r="AC114" s="182" t="n">
        <v>2601121</v>
      </c>
      <c r="AD114" s="185" t="n">
        <v>2601121</v>
      </c>
      <c r="AE114" s="182" t="n">
        <v>2601121</v>
      </c>
      <c r="AF114" s="183" t="n">
        <v>2601121</v>
      </c>
      <c r="AG114" s="186" t="n">
        <v>2601121</v>
      </c>
      <c r="AH114" s="182" t="n">
        <v>2819853</v>
      </c>
      <c r="AI114" s="184" t="n">
        <v>2819853</v>
      </c>
      <c r="AJ114" s="185" t="n">
        <v>2819853</v>
      </c>
      <c r="AK114" s="182" t="n">
        <v>2819853</v>
      </c>
      <c r="AL114" s="183" t="n">
        <v>2819853</v>
      </c>
      <c r="AM114" s="186" t="n">
        <v>2819853</v>
      </c>
      <c r="AN114" s="186" t="n">
        <v>2337040</v>
      </c>
      <c r="AO114" s="185" t="n">
        <v>2337040</v>
      </c>
      <c r="AP114" s="182" t="n">
        <v>2337040</v>
      </c>
      <c r="AQ114" s="183" t="n">
        <v>2337040</v>
      </c>
    </row>
    <row r="115" customFormat="false" ht="12.8" hidden="false" customHeight="false" outlineLevel="0" collapsed="false">
      <c r="A115" s="139" t="s">
        <v>196</v>
      </c>
      <c r="B115" s="181" t="n">
        <v>4516422</v>
      </c>
      <c r="C115" s="181" t="n">
        <v>4516422</v>
      </c>
      <c r="D115" s="186" t="n">
        <v>4516422</v>
      </c>
      <c r="E115" s="183" t="n">
        <v>6994260</v>
      </c>
      <c r="F115" s="182" t="n">
        <v>6994260</v>
      </c>
      <c r="G115" s="183" t="n">
        <v>6994260</v>
      </c>
      <c r="H115" s="182" t="n">
        <v>6994260</v>
      </c>
      <c r="I115" s="184" t="n">
        <v>6994260</v>
      </c>
      <c r="J115" s="185" t="n">
        <v>6994260</v>
      </c>
      <c r="K115" s="183" t="n">
        <v>6994260</v>
      </c>
      <c r="L115" s="182" t="n">
        <v>6994260</v>
      </c>
      <c r="M115" s="183" t="n">
        <v>6994260</v>
      </c>
      <c r="N115" s="183" t="n">
        <v>6994260</v>
      </c>
      <c r="O115" s="186" t="n">
        <v>6994260</v>
      </c>
      <c r="P115" s="186" t="n">
        <v>7274048</v>
      </c>
      <c r="Q115" s="185" t="n">
        <v>7274048</v>
      </c>
      <c r="R115" s="182" t="n">
        <v>7274048</v>
      </c>
      <c r="S115" s="183" t="n">
        <v>7274048</v>
      </c>
      <c r="T115" s="186" t="n">
        <v>7274048</v>
      </c>
      <c r="U115" s="182" t="n">
        <v>7016878</v>
      </c>
      <c r="V115" s="183" t="n">
        <v>7016878</v>
      </c>
      <c r="W115" s="183" t="n">
        <v>7016878</v>
      </c>
      <c r="X115" s="184" t="n">
        <v>7016878</v>
      </c>
      <c r="Y115" s="185" t="n">
        <v>7016878</v>
      </c>
      <c r="Z115" s="182" t="n">
        <v>7016878</v>
      </c>
      <c r="AA115" s="183" t="n">
        <v>7016878</v>
      </c>
      <c r="AB115" s="167" t="n">
        <v>7016878</v>
      </c>
      <c r="AC115" s="182" t="n">
        <v>4523853</v>
      </c>
      <c r="AD115" s="185" t="n">
        <v>4523853</v>
      </c>
      <c r="AE115" s="182" t="n">
        <v>4523853</v>
      </c>
      <c r="AF115" s="183" t="n">
        <v>4523853</v>
      </c>
      <c r="AG115" s="186" t="n">
        <v>4523853</v>
      </c>
      <c r="AH115" s="182" t="n">
        <v>6838569</v>
      </c>
      <c r="AI115" s="184" t="n">
        <v>6838569</v>
      </c>
      <c r="AJ115" s="185" t="n">
        <v>6838569</v>
      </c>
      <c r="AK115" s="182" t="n">
        <v>6838569</v>
      </c>
      <c r="AL115" s="183" t="n">
        <v>6838569</v>
      </c>
      <c r="AM115" s="186" t="n">
        <v>6838569</v>
      </c>
      <c r="AN115" s="186" t="n">
        <v>7775674</v>
      </c>
      <c r="AO115" s="185" t="n">
        <v>7775674</v>
      </c>
      <c r="AP115" s="182" t="n">
        <v>7775674</v>
      </c>
      <c r="AQ115" s="183" t="n">
        <v>7775674</v>
      </c>
    </row>
    <row r="116" customFormat="false" ht="12.8" hidden="false" customHeight="false" outlineLevel="0" collapsed="false">
      <c r="A116" s="139" t="s">
        <v>197</v>
      </c>
      <c r="B116" s="181" t="n">
        <v>3338552</v>
      </c>
      <c r="C116" s="181" t="n">
        <v>3338552</v>
      </c>
      <c r="D116" s="182" t="n">
        <v>3338552</v>
      </c>
      <c r="E116" s="183" t="n">
        <v>3338552</v>
      </c>
      <c r="F116" s="186" t="n">
        <v>3338552</v>
      </c>
      <c r="G116" s="183" t="n">
        <v>1583121</v>
      </c>
      <c r="H116" s="182" t="n">
        <v>1583121</v>
      </c>
      <c r="I116" s="184" t="n">
        <v>1583121</v>
      </c>
      <c r="J116" s="185" t="n">
        <v>1583121</v>
      </c>
      <c r="K116" s="183" t="n">
        <v>1583121</v>
      </c>
      <c r="L116" s="182" t="n">
        <v>1583121</v>
      </c>
      <c r="M116" s="183" t="n">
        <v>1583121</v>
      </c>
      <c r="N116" s="183" t="n">
        <v>1583121</v>
      </c>
      <c r="O116" s="186" t="n">
        <v>1583121</v>
      </c>
      <c r="P116" s="186" t="n">
        <v>1455869</v>
      </c>
      <c r="Q116" s="185" t="n">
        <v>1455869</v>
      </c>
      <c r="R116" s="182" t="n">
        <v>1455869</v>
      </c>
      <c r="S116" s="183" t="n">
        <v>1455869</v>
      </c>
      <c r="T116" s="186" t="n">
        <v>1455869</v>
      </c>
      <c r="U116" s="182" t="n">
        <v>1518243</v>
      </c>
      <c r="V116" s="183" t="n">
        <v>1518243</v>
      </c>
      <c r="W116" s="183" t="n">
        <v>1518243</v>
      </c>
      <c r="X116" s="184" t="n">
        <v>1518243</v>
      </c>
      <c r="Y116" s="185" t="n">
        <v>1518243</v>
      </c>
      <c r="Z116" s="182" t="n">
        <v>1518243</v>
      </c>
      <c r="AA116" s="183" t="n">
        <v>1518243</v>
      </c>
      <c r="AB116" s="167" t="n">
        <v>1518243</v>
      </c>
      <c r="AC116" s="182" t="n">
        <v>987918</v>
      </c>
      <c r="AD116" s="185" t="n">
        <v>987918</v>
      </c>
      <c r="AE116" s="182" t="n">
        <v>987918</v>
      </c>
      <c r="AF116" s="183" t="n">
        <v>987918</v>
      </c>
      <c r="AG116" s="167" t="n">
        <v>987918</v>
      </c>
      <c r="AH116" s="182" t="n">
        <v>469577</v>
      </c>
      <c r="AI116" s="184" t="n">
        <v>469577</v>
      </c>
      <c r="AJ116" s="185" t="n">
        <v>469577</v>
      </c>
      <c r="AK116" s="182" t="n">
        <v>469577</v>
      </c>
      <c r="AL116" s="183" t="n">
        <v>469577</v>
      </c>
      <c r="AM116" s="186" t="n">
        <v>469577</v>
      </c>
      <c r="AN116" s="186" t="n">
        <v>432162</v>
      </c>
      <c r="AO116" s="185" t="n">
        <v>432162</v>
      </c>
      <c r="AP116" s="182" t="n">
        <v>432162</v>
      </c>
      <c r="AQ116" s="183" t="n">
        <v>432162</v>
      </c>
    </row>
    <row r="117" customFormat="false" ht="12.8" hidden="false" customHeight="false" outlineLevel="0" collapsed="false">
      <c r="A117" s="139" t="s">
        <v>198</v>
      </c>
      <c r="B117" s="181" t="n">
        <v>468634</v>
      </c>
      <c r="C117" s="181" t="n">
        <v>468634</v>
      </c>
      <c r="D117" s="182" t="n">
        <v>468634</v>
      </c>
      <c r="E117" s="183" t="n">
        <v>468634</v>
      </c>
      <c r="F117" s="186" t="n">
        <v>468634</v>
      </c>
      <c r="G117" s="183" t="n">
        <v>148229</v>
      </c>
      <c r="H117" s="182" t="n">
        <v>148229</v>
      </c>
      <c r="I117" s="184" t="n">
        <v>148229</v>
      </c>
      <c r="J117" s="185" t="n">
        <v>148229</v>
      </c>
      <c r="K117" s="183" t="n">
        <v>148229</v>
      </c>
      <c r="L117" s="182" t="n">
        <v>148229</v>
      </c>
      <c r="M117" s="183" t="n">
        <v>148229</v>
      </c>
      <c r="N117" s="183" t="n">
        <v>148229</v>
      </c>
      <c r="O117" s="186" t="n">
        <v>148229</v>
      </c>
      <c r="P117" s="186" t="n">
        <v>651691</v>
      </c>
      <c r="Q117" s="185" t="n">
        <v>651691</v>
      </c>
      <c r="R117" s="182" t="n">
        <v>651691</v>
      </c>
      <c r="S117" s="183" t="n">
        <v>651691</v>
      </c>
      <c r="T117" s="186" t="n">
        <v>651691</v>
      </c>
      <c r="U117" s="182" t="n">
        <v>427382</v>
      </c>
      <c r="V117" s="183" t="n">
        <v>427382</v>
      </c>
      <c r="W117" s="183" t="n">
        <v>427382</v>
      </c>
      <c r="X117" s="184" t="n">
        <v>427382</v>
      </c>
      <c r="Y117" s="185" t="n">
        <v>427382</v>
      </c>
      <c r="Z117" s="182" t="n">
        <v>427382</v>
      </c>
      <c r="AA117" s="183" t="n">
        <v>427382</v>
      </c>
      <c r="AB117" s="167" t="n">
        <v>427382</v>
      </c>
      <c r="AC117" s="182" t="n">
        <v>373837</v>
      </c>
      <c r="AD117" s="185" t="n">
        <v>373837</v>
      </c>
      <c r="AE117" s="182" t="n">
        <v>373837</v>
      </c>
      <c r="AF117" s="183" t="n">
        <v>373837</v>
      </c>
      <c r="AG117" s="167" t="n">
        <v>373837</v>
      </c>
      <c r="AH117" s="182" t="n">
        <v>309902</v>
      </c>
      <c r="AI117" s="184" t="n">
        <v>309902</v>
      </c>
      <c r="AJ117" s="185" t="n">
        <v>309902</v>
      </c>
      <c r="AK117" s="182" t="n">
        <v>309902</v>
      </c>
      <c r="AL117" s="183" t="n">
        <v>309902</v>
      </c>
      <c r="AM117" s="186" t="n">
        <v>309902</v>
      </c>
      <c r="AN117" s="186" t="n">
        <v>1559772</v>
      </c>
      <c r="AO117" s="185" t="n">
        <v>1559772</v>
      </c>
      <c r="AP117" s="182" t="n">
        <v>1559772</v>
      </c>
      <c r="AQ117" s="183" t="n">
        <v>1559772</v>
      </c>
    </row>
    <row r="118" customFormat="false" ht="12.8" hidden="false" customHeight="false" outlineLevel="0" collapsed="false">
      <c r="A118" s="139" t="s">
        <v>28</v>
      </c>
      <c r="B118" s="181" t="n">
        <v>790341</v>
      </c>
      <c r="C118" s="181" t="n">
        <v>790341</v>
      </c>
      <c r="D118" s="182" t="n">
        <v>790341</v>
      </c>
      <c r="E118" s="183" t="n">
        <v>790341</v>
      </c>
      <c r="F118" s="186" t="n">
        <v>790341</v>
      </c>
      <c r="G118" s="183" t="n">
        <v>526000</v>
      </c>
      <c r="H118" s="182" t="n">
        <v>526000</v>
      </c>
      <c r="I118" s="184" t="n">
        <v>526000</v>
      </c>
      <c r="J118" s="185" t="n">
        <v>526000</v>
      </c>
      <c r="K118" s="183" t="n">
        <v>526000</v>
      </c>
      <c r="L118" s="182" t="n">
        <v>526000</v>
      </c>
      <c r="M118" s="183" t="n">
        <v>526000</v>
      </c>
      <c r="N118" s="183" t="n">
        <v>526000</v>
      </c>
      <c r="O118" s="186" t="n">
        <v>526000</v>
      </c>
      <c r="P118" s="186" t="n">
        <v>169577</v>
      </c>
      <c r="Q118" s="185" t="n">
        <v>169577</v>
      </c>
      <c r="R118" s="182" t="n">
        <v>169577</v>
      </c>
      <c r="S118" s="183" t="n">
        <v>169577</v>
      </c>
      <c r="T118" s="186" t="n">
        <v>169577</v>
      </c>
      <c r="U118" s="182" t="n">
        <v>828113</v>
      </c>
      <c r="V118" s="183" t="n">
        <v>828113</v>
      </c>
      <c r="W118" s="183" t="n">
        <v>828113</v>
      </c>
      <c r="X118" s="184" t="n">
        <v>828113</v>
      </c>
      <c r="Y118" s="185" t="n">
        <v>828113</v>
      </c>
      <c r="Z118" s="182" t="n">
        <v>828113</v>
      </c>
      <c r="AA118" s="183" t="n">
        <v>828113</v>
      </c>
      <c r="AB118" s="186" t="n">
        <v>828113</v>
      </c>
      <c r="AC118" s="182" t="n">
        <v>993252</v>
      </c>
      <c r="AD118" s="185" t="n">
        <v>993252</v>
      </c>
      <c r="AE118" s="182" t="n">
        <v>993252</v>
      </c>
      <c r="AF118" s="183" t="n">
        <v>993252</v>
      </c>
      <c r="AG118" s="167" t="n">
        <v>993252</v>
      </c>
      <c r="AH118" s="182" t="n">
        <v>858943</v>
      </c>
      <c r="AI118" s="184" t="n">
        <v>858943</v>
      </c>
      <c r="AJ118" s="185" t="n">
        <v>858943</v>
      </c>
      <c r="AK118" s="182" t="n">
        <v>858943</v>
      </c>
      <c r="AL118" s="183" t="n">
        <v>858943</v>
      </c>
      <c r="AM118" s="186" t="n">
        <v>858943</v>
      </c>
      <c r="AN118" s="186" t="n">
        <v>739951</v>
      </c>
      <c r="AO118" s="185" t="n">
        <v>739951</v>
      </c>
      <c r="AP118" s="182" t="n">
        <v>739951</v>
      </c>
      <c r="AQ118" s="183" t="n">
        <v>739951</v>
      </c>
    </row>
    <row r="119" customFormat="false" ht="12.8" hidden="false" customHeight="false" outlineLevel="0" collapsed="false">
      <c r="A119" s="139" t="s">
        <v>199</v>
      </c>
      <c r="B119" s="181" t="n">
        <v>967203</v>
      </c>
      <c r="C119" s="181" t="n">
        <v>967203</v>
      </c>
      <c r="D119" s="182" t="n">
        <v>967203</v>
      </c>
      <c r="E119" s="183" t="n">
        <v>967203</v>
      </c>
      <c r="F119" s="186" t="n">
        <v>967203</v>
      </c>
      <c r="G119" s="183" t="n">
        <v>1055528</v>
      </c>
      <c r="H119" s="182" t="n">
        <v>1055528</v>
      </c>
      <c r="I119" s="184" t="n">
        <v>1055528</v>
      </c>
      <c r="J119" s="185" t="n">
        <v>1055528</v>
      </c>
      <c r="K119" s="183" t="n">
        <v>1055528</v>
      </c>
      <c r="L119" s="182" t="n">
        <v>1055528</v>
      </c>
      <c r="M119" s="183" t="n">
        <v>1055528</v>
      </c>
      <c r="N119" s="183" t="n">
        <v>1055528</v>
      </c>
      <c r="O119" s="186" t="n">
        <v>1055528</v>
      </c>
      <c r="P119" s="186" t="n">
        <v>1027430</v>
      </c>
      <c r="Q119" s="185" t="n">
        <v>1027430</v>
      </c>
      <c r="R119" s="182" t="n">
        <v>1027430</v>
      </c>
      <c r="S119" s="183" t="n">
        <v>1027430</v>
      </c>
      <c r="T119" s="186" t="n">
        <v>1027430</v>
      </c>
      <c r="U119" s="182" t="n">
        <v>999284</v>
      </c>
      <c r="V119" s="183" t="n">
        <v>999284</v>
      </c>
      <c r="W119" s="183" t="n">
        <v>999284</v>
      </c>
      <c r="X119" s="184" t="n">
        <v>999284</v>
      </c>
      <c r="Y119" s="185" t="n">
        <v>999284</v>
      </c>
      <c r="Z119" s="182" t="n">
        <v>999284</v>
      </c>
      <c r="AA119" s="183" t="n">
        <v>999284</v>
      </c>
      <c r="AB119" s="186" t="n">
        <v>999284</v>
      </c>
      <c r="AC119" s="182" t="n">
        <v>565430</v>
      </c>
      <c r="AD119" s="185" t="n">
        <v>565430</v>
      </c>
      <c r="AE119" s="182" t="n">
        <v>565430</v>
      </c>
      <c r="AF119" s="26" t="n">
        <v>565430</v>
      </c>
      <c r="AG119" s="182" t="n">
        <v>1047414</v>
      </c>
      <c r="AH119" s="182" t="n">
        <v>1047414</v>
      </c>
      <c r="AI119" s="184" t="n">
        <v>1047414</v>
      </c>
      <c r="AJ119" s="185" t="n">
        <v>1047414</v>
      </c>
      <c r="AK119" s="182" t="n">
        <v>1047414</v>
      </c>
      <c r="AL119" s="183" t="n">
        <v>1047414</v>
      </c>
      <c r="AM119" s="186" t="n">
        <v>1047414</v>
      </c>
      <c r="AN119" s="186" t="n">
        <v>1021609</v>
      </c>
      <c r="AO119" s="185" t="n">
        <v>1021609</v>
      </c>
      <c r="AP119" s="182" t="n">
        <v>1021609</v>
      </c>
      <c r="AQ119" s="183" t="n">
        <v>1021609</v>
      </c>
    </row>
    <row r="120" s="1" customFormat="true" ht="12.8" hidden="false" customHeight="false" outlineLevel="0" collapsed="false">
      <c r="A120" s="139" t="s">
        <v>200</v>
      </c>
      <c r="B120" s="181" t="n">
        <v>325739</v>
      </c>
      <c r="C120" s="181" t="n">
        <v>325739</v>
      </c>
      <c r="D120" s="182" t="n">
        <v>325739</v>
      </c>
      <c r="E120" s="183" t="n">
        <v>325739</v>
      </c>
      <c r="F120" s="186" t="n">
        <v>325739</v>
      </c>
      <c r="G120" s="183" t="n">
        <v>3215869</v>
      </c>
      <c r="H120" s="182" t="n">
        <v>3215869</v>
      </c>
      <c r="I120" s="184" t="n">
        <v>3215869</v>
      </c>
      <c r="J120" s="185" t="n">
        <v>3215869</v>
      </c>
      <c r="K120" s="183" t="n">
        <v>3215869</v>
      </c>
      <c r="L120" s="182" t="n">
        <v>3215869</v>
      </c>
      <c r="M120" s="183" t="n">
        <v>3215869</v>
      </c>
      <c r="N120" s="183" t="n">
        <v>3215869</v>
      </c>
      <c r="O120" s="167" t="n">
        <v>3215869</v>
      </c>
      <c r="P120" s="186" t="n">
        <v>301056</v>
      </c>
      <c r="Q120" s="185" t="n">
        <v>301056</v>
      </c>
      <c r="R120" s="182" t="n">
        <v>301056</v>
      </c>
      <c r="S120" s="183" t="n">
        <v>301056</v>
      </c>
      <c r="T120" s="167" t="n">
        <v>301056</v>
      </c>
      <c r="U120" s="182" t="n">
        <v>268878</v>
      </c>
      <c r="V120" s="183" t="n">
        <v>268878</v>
      </c>
      <c r="W120" s="183" t="n">
        <v>268878</v>
      </c>
      <c r="X120" s="184" t="n">
        <v>268878</v>
      </c>
      <c r="Y120" s="185" t="n">
        <v>268878</v>
      </c>
      <c r="Z120" s="182" t="n">
        <v>268878</v>
      </c>
      <c r="AA120" s="183" t="n">
        <v>268878</v>
      </c>
      <c r="AB120" s="186" t="n">
        <v>268878</v>
      </c>
      <c r="AC120" s="182" t="n">
        <v>985365</v>
      </c>
      <c r="AD120" s="185" t="n">
        <v>985365</v>
      </c>
      <c r="AE120" s="182" t="n">
        <v>985365</v>
      </c>
      <c r="AF120" s="183" t="n">
        <v>985365</v>
      </c>
      <c r="AG120" s="167" t="n">
        <v>985365</v>
      </c>
      <c r="AH120" s="237" t="n">
        <v>306048</v>
      </c>
      <c r="AI120" s="184" t="n">
        <v>306048</v>
      </c>
      <c r="AJ120" s="239" t="n">
        <v>306048</v>
      </c>
      <c r="AK120" s="237" t="n">
        <v>306048</v>
      </c>
      <c r="AL120" s="183" t="n">
        <v>306048</v>
      </c>
      <c r="AM120" s="186" t="n">
        <v>306048</v>
      </c>
      <c r="AN120" s="238" t="n">
        <v>216455</v>
      </c>
      <c r="AO120" s="239" t="n">
        <v>216455</v>
      </c>
      <c r="AP120" s="182" t="n">
        <v>216455</v>
      </c>
      <c r="AQ120" s="183" t="n">
        <v>216455</v>
      </c>
    </row>
    <row r="121" customFormat="false" ht="12.8" hidden="false" customHeight="false" outlineLevel="0" collapsed="false">
      <c r="A121" s="1" t="s">
        <v>268</v>
      </c>
      <c r="B121" s="203" t="s">
        <v>44</v>
      </c>
      <c r="C121" s="44" t="s">
        <v>49</v>
      </c>
      <c r="D121" s="23" t="s">
        <v>42</v>
      </c>
      <c r="E121" s="28" t="s">
        <v>41</v>
      </c>
      <c r="F121" s="23" t="s">
        <v>40</v>
      </c>
      <c r="G121" s="28" t="s">
        <v>38</v>
      </c>
      <c r="H121" s="23" t="s">
        <v>37</v>
      </c>
      <c r="I121" s="45" t="s">
        <v>36</v>
      </c>
      <c r="J121" s="46" t="s">
        <v>35</v>
      </c>
      <c r="K121" s="24" t="s">
        <v>34</v>
      </c>
      <c r="L121" s="23" t="s">
        <v>33</v>
      </c>
      <c r="M121" s="19" t="s">
        <v>32</v>
      </c>
      <c r="N121" s="19" t="s">
        <v>50</v>
      </c>
      <c r="O121" s="23" t="s">
        <v>51</v>
      </c>
      <c r="P121" s="47" t="s">
        <v>52</v>
      </c>
      <c r="Q121" s="46" t="s">
        <v>53</v>
      </c>
      <c r="R121" s="23" t="s">
        <v>54</v>
      </c>
      <c r="S121" s="19" t="s">
        <v>55</v>
      </c>
      <c r="T121" s="23" t="s">
        <v>56</v>
      </c>
      <c r="U121" s="23" t="s">
        <v>57</v>
      </c>
      <c r="V121" s="28" t="s">
        <v>58</v>
      </c>
      <c r="W121" s="28" t="s">
        <v>59</v>
      </c>
      <c r="X121" s="45" t="s">
        <v>60</v>
      </c>
      <c r="Y121" s="46" t="s">
        <v>61</v>
      </c>
      <c r="Z121" s="23" t="s">
        <v>62</v>
      </c>
      <c r="AA121" s="19" t="s">
        <v>63</v>
      </c>
      <c r="AB121" s="23" t="s">
        <v>64</v>
      </c>
      <c r="AC121" s="23" t="s">
        <v>65</v>
      </c>
      <c r="AD121" s="46" t="s">
        <v>66</v>
      </c>
      <c r="AE121" s="23" t="s">
        <v>67</v>
      </c>
      <c r="AF121" s="19" t="s">
        <v>68</v>
      </c>
      <c r="AG121" s="23" t="s">
        <v>69</v>
      </c>
      <c r="AH121" s="23" t="s">
        <v>70</v>
      </c>
      <c r="AI121" s="45" t="s">
        <v>71</v>
      </c>
      <c r="AJ121" s="46" t="s">
        <v>72</v>
      </c>
      <c r="AK121" s="23" t="s">
        <v>73</v>
      </c>
      <c r="AL121" s="24" t="s">
        <v>74</v>
      </c>
      <c r="AM121" s="23" t="s">
        <v>75</v>
      </c>
      <c r="AN121" s="47" t="s">
        <v>76</v>
      </c>
      <c r="AO121" s="46" t="s">
        <v>77</v>
      </c>
      <c r="AP121" s="23" t="s">
        <v>78</v>
      </c>
      <c r="AQ121" s="24" t="s">
        <v>79</v>
      </c>
    </row>
    <row r="122" customFormat="false" ht="12.8" hidden="false" customHeight="false" outlineLevel="0" collapsed="false">
      <c r="A122" s="16" t="s">
        <v>269</v>
      </c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</row>
    <row r="123" customFormat="false" ht="12.8" hidden="false" customHeight="false" outlineLevel="0" collapsed="false">
      <c r="A123" s="139" t="s">
        <v>24</v>
      </c>
      <c r="B123" s="181" t="n">
        <f aca="false">Capitalization!C2+1352499658</f>
        <v>2241561841.8</v>
      </c>
      <c r="C123" s="181" t="n">
        <f aca="false">Capitalization!D2+1352499658</f>
        <v>2221878114.52</v>
      </c>
      <c r="D123" s="187" t="n">
        <f aca="false">Capitalization!E2+1352499658</f>
        <v>2252171917.78</v>
      </c>
      <c r="E123" s="181" t="n">
        <f aca="false">Capitalization!F2+1352499658</f>
        <v>2222185325.34</v>
      </c>
      <c r="F123" s="187" t="n">
        <f aca="false">Capitalization!G2+1352499658</f>
        <v>2156645658.28</v>
      </c>
      <c r="G123" s="181" t="n">
        <f aca="false">Capitalization!H2+1352499658</f>
        <v>2019746365.26</v>
      </c>
      <c r="H123" s="186" t="n">
        <f aca="false">Capitalization!I2+1352499658</f>
        <v>2017614789.1</v>
      </c>
      <c r="I123" s="184" t="n">
        <f aca="false">Capitalization!J2+1267207918</f>
        <v>1886411522.32</v>
      </c>
      <c r="J123" s="185" t="n">
        <f aca="false">Capitalization!K2+1267207918</f>
        <v>1794425784.14</v>
      </c>
      <c r="K123" s="183" t="n">
        <f aca="false">Capitalization!L2+1267207918</f>
        <v>1748341567.08</v>
      </c>
      <c r="L123" s="182" t="n">
        <f aca="false">Capitalization!M2+1267207918</f>
        <v>1730090502.08</v>
      </c>
      <c r="M123" s="183" t="n">
        <f aca="false">Capitalization!N2+1267207918</f>
        <v>1728212032.06</v>
      </c>
      <c r="N123" s="183" t="n">
        <f aca="false">Capitalization!O2+1267207918</f>
        <v>1723475278.5</v>
      </c>
      <c r="O123" s="182" t="n">
        <f aca="false">Capitalization!P2+1267207918</f>
        <v>1700786518</v>
      </c>
      <c r="P123" s="186" t="n">
        <f aca="false">Capitalization!Q2+1267207918</f>
        <v>1726522928.42</v>
      </c>
      <c r="Q123" s="185" t="n">
        <f aca="false">Capitalization!R2+1231771788</f>
        <v>1664544747.08</v>
      </c>
      <c r="R123" s="182" t="n">
        <f aca="false">Capitalization!S2+1231771788</f>
        <v>1642627163.56</v>
      </c>
      <c r="S123" s="183" t="n">
        <f aca="false">Capitalization!T2+1231771788</f>
        <v>1654153313.3</v>
      </c>
      <c r="T123" s="182" t="n">
        <f aca="false">Capitalization!U2+1231771788</f>
        <v>1663578274.44</v>
      </c>
      <c r="U123" s="186" t="n">
        <f aca="false">Capitalization!V2+1231771788</f>
        <v>1699008687.08</v>
      </c>
      <c r="V123" s="183" t="n">
        <f aca="false">Capitalization!W2+1120582406</f>
        <v>1570794489.3</v>
      </c>
      <c r="W123" s="183" t="n">
        <f aca="false">Capitalization!X2+1120582406</f>
        <v>1534981638.1</v>
      </c>
      <c r="X123" s="184" t="n">
        <f aca="false">Capitalization!Y2+1120582406</f>
        <v>1580982104.08</v>
      </c>
      <c r="Y123" s="185" t="n">
        <f aca="false">Capitalization!Z2+1120582406</f>
        <v>1555121919.94</v>
      </c>
      <c r="Z123" s="182" t="n">
        <f aca="false">Capitalization!AA2+1120582406</f>
        <v>1499962198.68</v>
      </c>
      <c r="AA123" s="183" t="n">
        <f aca="false">Capitalization!AB2+1120582406</f>
        <v>1515246770.78</v>
      </c>
      <c r="AB123" s="182" t="n">
        <f aca="false">Capitalization!AC2+1120582406</f>
        <v>1446646483.5</v>
      </c>
      <c r="AC123" s="237" t="n">
        <f aca="false">Capitalization!AD2+1120582406</f>
        <v>1416118103.1</v>
      </c>
      <c r="AD123" s="185" t="n">
        <f aca="false">Capitalization!AE2+991467918</f>
        <v>1261978347.7</v>
      </c>
      <c r="AE123" s="237" t="n">
        <f aca="false">Capitalization!AF2+991467918</f>
        <v>1247590949.78</v>
      </c>
      <c r="AF123" s="183" t="n">
        <f aca="false">Capitalization!AG2+991467918</f>
        <v>1253585451.86</v>
      </c>
      <c r="AG123" s="238" t="n">
        <f aca="false">Capitalization!AH2+991467918</f>
        <v>1206448046.44</v>
      </c>
      <c r="AH123" s="237" t="n">
        <f aca="false">Capitalization!AI2+863798406</f>
        <v>1087151789.54</v>
      </c>
      <c r="AI123" s="184" t="n">
        <f aca="false">Capitalization!AJ2+863798406</f>
        <v>1156973508.5</v>
      </c>
      <c r="AJ123" s="239" t="n">
        <f aca="false">Capitalization!AK2+863798406</f>
        <v>1110159990</v>
      </c>
      <c r="AK123" s="237" t="n">
        <f aca="false">Capitalization!AL2+863798406</f>
        <v>1073171288.46</v>
      </c>
      <c r="AL123" s="183" t="n">
        <f aca="false">Capitalization!AM2+863798406</f>
        <v>1067899787.96</v>
      </c>
      <c r="AM123" s="238" t="n">
        <f aca="false">Capitalization!AN2+863798406</f>
        <v>1060830233.3</v>
      </c>
      <c r="AN123" s="186" t="n">
        <f aca="false">Capitalization!AO2+920126796</f>
        <v>1129489302.22</v>
      </c>
      <c r="AO123" s="185" t="n">
        <f aca="false">Capitalization!AP2+920126796</f>
        <v>1107284519.2</v>
      </c>
      <c r="AP123" s="182" t="n">
        <f aca="false">Capitalization!AQ2+920126796</f>
        <v>1114924396.48</v>
      </c>
      <c r="AQ123" s="183" t="n">
        <f aca="false">Capitalization!AR2+920126796</f>
        <v>1111160786</v>
      </c>
    </row>
    <row r="124" customFormat="false" ht="12.8" hidden="false" customHeight="false" outlineLevel="0" collapsed="false">
      <c r="A124" s="139" t="s">
        <v>180</v>
      </c>
      <c r="B124" s="181" t="n">
        <f aca="false">Capitalization!C3+49753560</f>
        <v>686574981.902439</v>
      </c>
      <c r="C124" s="181" t="n">
        <f aca="false">Capitalization!D3+49753560</f>
        <v>690751371.014634</v>
      </c>
      <c r="D124" s="182" t="n">
        <f aca="false">Capitalization!E3+49753560</f>
        <v>699587239.02439</v>
      </c>
      <c r="E124" s="183" t="n">
        <f aca="false">Capitalization!F3+49753560</f>
        <v>702875366.273171</v>
      </c>
      <c r="F124" s="186" t="n">
        <f aca="false">Capitalization!G3+49753560</f>
        <v>704527221.668293</v>
      </c>
      <c r="G124" s="183" t="n">
        <f aca="false">Capitalization!H3+51501463</f>
        <v>706010204.463415</v>
      </c>
      <c r="H124" s="182" t="n">
        <f aca="false">Capitalization!I3+51501463</f>
        <v>706010204.463415</v>
      </c>
      <c r="I124" s="184" t="n">
        <f aca="false">Capitalization!J3+51501463</f>
        <v>706010204.463415</v>
      </c>
      <c r="J124" s="185" t="n">
        <f aca="false">Capitalization!K3+51501463</f>
        <v>649597784.365854</v>
      </c>
      <c r="K124" s="183" t="n">
        <f aca="false">Capitalization!L3+51501463</f>
        <v>691985017.146341</v>
      </c>
      <c r="L124" s="182" t="n">
        <f aca="false">Capitalization!M3+51501463</f>
        <v>674843121.536585</v>
      </c>
      <c r="M124" s="183" t="n">
        <f aca="false">Capitalization!N3+51501463</f>
        <v>674843121.536585</v>
      </c>
      <c r="N124" s="183" t="n">
        <f aca="false">Capitalization!O3+51501463</f>
        <v>673284767.390244</v>
      </c>
      <c r="O124" s="186" t="n">
        <f aca="false">Capitalization!P3+51501463</f>
        <v>677866328.580488</v>
      </c>
      <c r="P124" s="186" t="n">
        <f aca="false">Capitalization!Q3+37390699</f>
        <v>637357045.341463</v>
      </c>
      <c r="Q124" s="185" t="n">
        <f aca="false">Capitalization!R3+37390699</f>
        <v>606189962.414634</v>
      </c>
      <c r="R124" s="182" t="n">
        <f aca="false">Capitalization!S3+37390699</f>
        <v>582814650.219512</v>
      </c>
      <c r="S124" s="183" t="n">
        <f aca="false">Capitalization!T3+37390699</f>
        <v>611488366.512195</v>
      </c>
      <c r="T124" s="186" t="n">
        <f aca="false">Capitalization!U3+37390699</f>
        <v>616708852.902439</v>
      </c>
      <c r="U124" s="182" t="n">
        <f aca="false">Capitalization!V3+29982943</f>
        <v>590990435.682927</v>
      </c>
      <c r="V124" s="183" t="n">
        <f aca="false">Capitalization!W3+29982943</f>
        <v>589432081.536585</v>
      </c>
      <c r="W124" s="183" t="n">
        <f aca="false">Capitalization!X3+29982943</f>
        <v>575671814.42439</v>
      </c>
      <c r="X124" s="184" t="n">
        <f aca="false">Capitalization!Y3+29982943</f>
        <v>598782206.414634</v>
      </c>
      <c r="Y124" s="185" t="n">
        <f aca="false">Capitalization!Z3+29982943</f>
        <v>567615123.487805</v>
      </c>
      <c r="Z124" s="182" t="n">
        <f aca="false">Capitalization!AA3+29982943</f>
        <v>552841926.180488</v>
      </c>
      <c r="AA124" s="184" t="n">
        <f aca="false">Capitalization!AB3+29982943</f>
        <v>582216901.839024</v>
      </c>
      <c r="AB124" s="182" t="n">
        <f aca="false">Capitalization!AC3+41279365</f>
        <v>577353191.341463</v>
      </c>
      <c r="AC124" s="182" t="n">
        <f aca="false">Capitalization!AD3+41279365</f>
        <v>549676821.702439</v>
      </c>
      <c r="AD124" s="239" t="n">
        <f aca="false">Capitalization!AE3+41279365</f>
        <v>530602566.95122</v>
      </c>
      <c r="AE124" s="182" t="n">
        <f aca="false">Capitalization!AF3+41279365</f>
        <v>536835983.536585</v>
      </c>
      <c r="AF124" s="184" t="n">
        <f aca="false">Capitalization!AG3+41279365</f>
        <v>538628090.804878</v>
      </c>
      <c r="AG124" s="182" t="n">
        <f aca="false">Capitalization!AH3+56769382</f>
        <v>544362810.84878</v>
      </c>
      <c r="AH124" s="182" t="n">
        <f aca="false">Capitalization!AI3+56769382</f>
        <v>475701727.160976</v>
      </c>
      <c r="AI124" s="184" t="n">
        <f aca="false">Capitalization!AJ3+56769382</f>
        <v>555442708.829268</v>
      </c>
      <c r="AJ124" s="182" t="n">
        <f aca="false">Capitalization!AK3+56769382</f>
        <v>555442708.829268</v>
      </c>
      <c r="AK124" s="182" t="n">
        <f aca="false">Capitalization!AL3+56769382</f>
        <v>538300813.219512</v>
      </c>
      <c r="AL124" s="183" t="n">
        <f aca="false">Capitalization!AM3+56769382</f>
        <v>524275625.902439</v>
      </c>
      <c r="AM124" s="186" t="n">
        <f aca="false">Capitalization!AN3+56769382</f>
        <v>514925501.02439</v>
      </c>
      <c r="AN124" s="186" t="n">
        <f aca="false">Capitalization!AO3+60909739</f>
        <v>517320501.380488</v>
      </c>
      <c r="AO124" s="185" t="n">
        <f aca="false">Capitalization!AP3+60909739</f>
        <v>513938872.882927</v>
      </c>
      <c r="AP124" s="182" t="n">
        <f aca="false">Capitalization!AQ3+60909739</f>
        <v>510619578.551219</v>
      </c>
      <c r="AQ124" s="183" t="n">
        <f aca="false">Capitalization!AR3+60909739</f>
        <v>507721039.839024</v>
      </c>
    </row>
    <row r="125" customFormat="false" ht="12.8" hidden="false" customHeight="false" outlineLevel="0" collapsed="false">
      <c r="A125" s="139" t="s">
        <v>181</v>
      </c>
      <c r="B125" s="181" t="n">
        <f aca="false">Capitalization!C4+1255305934</f>
        <v>1881968123.93268</v>
      </c>
      <c r="C125" s="181" t="n">
        <f aca="false">Capitalization!D4+1255305934</f>
        <v>1854702330.66146</v>
      </c>
      <c r="D125" s="182" t="n">
        <f aca="false">Capitalization!E4+1255305934</f>
        <v>1870000715.68293</v>
      </c>
      <c r="E125" s="183" t="n">
        <f aca="false">Capitalization!F4+1255305934</f>
        <v>1829218816.88195</v>
      </c>
      <c r="F125" s="186" t="n">
        <f aca="false">Capitalization!G4+1255305934</f>
        <v>1795516875.46341</v>
      </c>
      <c r="G125" s="183" t="n">
        <f aca="false">Capitalization!H4+1240158211</f>
        <v>1768986532.97317</v>
      </c>
      <c r="H125" s="182" t="n">
        <f aca="false">Capitalization!I4+1240158211</f>
        <v>1792173247.58537</v>
      </c>
      <c r="I125" s="184" t="n">
        <f aca="false">Capitalization!J4+1240158211</f>
        <v>1705499248.89756</v>
      </c>
      <c r="J125" s="185" t="n">
        <f aca="false">Capitalization!K4+1240158211</f>
        <v>1650375791.13854</v>
      </c>
      <c r="K125" s="183" t="n">
        <f aca="false">Capitalization!L4+1240158211</f>
        <v>1639242168.61951</v>
      </c>
      <c r="L125" s="182" t="n">
        <f aca="false">Capitalization!M4+1240158211</f>
        <v>1631892105.76634</v>
      </c>
      <c r="M125" s="183" t="n">
        <f aca="false">Capitalization!N4+1240158211</f>
        <v>1633165142.70732</v>
      </c>
      <c r="N125" s="183" t="n">
        <f aca="false">Capitalization!O4+1240158211</f>
        <v>1628540159.36683</v>
      </c>
      <c r="O125" s="186" t="n">
        <f aca="false">Capitalization!P4+1240158211</f>
        <v>1602891110.5122</v>
      </c>
      <c r="P125" s="186" t="n">
        <f aca="false">Capitalization!Q4+1202195333</f>
        <v>1571377156.85659</v>
      </c>
      <c r="Q125" s="185" t="n">
        <f aca="false">Capitalization!R4+1202195333</f>
        <v>1531321279.34146</v>
      </c>
      <c r="R125" s="182" t="n">
        <f aca="false">Capitalization!S4+1202195333</f>
        <v>1517559093.14634</v>
      </c>
      <c r="S125" s="183" t="n">
        <f aca="false">Capitalization!T4+1202195333</f>
        <v>1549695950.42341</v>
      </c>
      <c r="T125" s="186" t="n">
        <f aca="false">Capitalization!U4+1202195333</f>
        <v>1546597167.14634</v>
      </c>
      <c r="U125" s="182" t="n">
        <f aca="false">Capitalization!AA4+1065834764</f>
        <v>1426915090.19512</v>
      </c>
      <c r="V125" s="183" t="n">
        <f aca="false">Capitalization!AB4+1065834764</f>
        <v>1440636864.72341</v>
      </c>
      <c r="W125" s="183" t="n">
        <f aca="false">Capitalization!AC4+1065834764</f>
        <v>1372615002.78878</v>
      </c>
      <c r="X125" s="184" t="n">
        <f aca="false">Capitalization!AD4+1065834764</f>
        <v>1323388176.59415</v>
      </c>
      <c r="Y125" s="185" t="n">
        <f aca="false">Capitalization!AE4+1065834764</f>
        <v>1321497577.17073</v>
      </c>
      <c r="Z125" s="182" t="n">
        <f aca="false">Capitalization!AF4+1065834764</f>
        <v>1310005943.39024</v>
      </c>
      <c r="AA125" s="183" t="n">
        <f aca="false">Capitalization!AG4+1065834764</f>
        <v>1307162822.92634</v>
      </c>
      <c r="AB125" s="186" t="n">
        <f aca="false">Capitalization!AH4+1065834764</f>
        <v>1288029495.70732</v>
      </c>
      <c r="AC125" s="182" t="n">
        <f aca="false">Capitalization!AD4+946009203</f>
        <v>1203562615.59415</v>
      </c>
      <c r="AD125" s="185" t="n">
        <f aca="false">Capitalization!AE4+946009203</f>
        <v>1201672016.17073</v>
      </c>
      <c r="AE125" s="182" t="n">
        <f aca="false">Capitalization!AF4+946009203</f>
        <v>1190180382.39024</v>
      </c>
      <c r="AF125" s="183" t="n">
        <f aca="false">Capitalization!AG4+946009203</f>
        <v>1187337261.92634</v>
      </c>
      <c r="AG125" s="186" t="n">
        <f aca="false">Capitalization!AH4+946009203</f>
        <v>1168203934.70732</v>
      </c>
      <c r="AH125" s="182" t="n">
        <f aca="false">Capitalization!AI4+853428422</f>
        <v>1046154577.41463</v>
      </c>
      <c r="AI125" s="184" t="n">
        <f aca="false">Capitalization!AJ4+853428422</f>
        <v>1112099057.47951</v>
      </c>
      <c r="AJ125" s="185" t="n">
        <f aca="false">Capitalization!AK4+853428422</f>
        <v>1092345668.08732</v>
      </c>
      <c r="AK125" s="182" t="n">
        <f aca="false">Capitalization!AL4+853428422</f>
        <v>1087427248.82927</v>
      </c>
      <c r="AL125" s="183" t="n">
        <f aca="false">Capitalization!AM4+853428422</f>
        <v>1089305627.54244</v>
      </c>
      <c r="AM125" s="238" t="n">
        <f aca="false">Capitalization!AN4+853428422</f>
        <v>1071233002.4239</v>
      </c>
      <c r="AN125" s="186" t="n">
        <f aca="false">Capitalization!AO4+798509463</f>
        <v>1010983175.19512</v>
      </c>
      <c r="AO125" s="185" t="n">
        <f aca="false">Capitalization!AP4+798509463</f>
        <v>994318570.317073</v>
      </c>
      <c r="AP125" s="182" t="n">
        <f aca="false">Capitalization!AQ4+798509463</f>
        <v>996768267.234146</v>
      </c>
      <c r="AQ125" s="183" t="n">
        <f aca="false">Capitalization!AR4+798509463</f>
        <v>992929853.243902</v>
      </c>
    </row>
    <row r="126" customFormat="false" ht="12.8" hidden="false" customHeight="false" outlineLevel="0" collapsed="false">
      <c r="A126" s="139" t="s">
        <v>30</v>
      </c>
      <c r="B126" s="181" t="n">
        <f aca="false">Capitalization!C5+92600341</f>
        <v>610890469.416098</v>
      </c>
      <c r="C126" s="181" t="n">
        <f aca="false">Capitalization!D5+92600341</f>
        <v>604882743.401626</v>
      </c>
      <c r="D126" s="182" t="n">
        <f aca="false">Capitalization!E5+92600341</f>
        <v>611586828.469106</v>
      </c>
      <c r="E126" s="183" t="n">
        <f aca="false">Capitalization!F5+92600341</f>
        <v>607620933.327642</v>
      </c>
      <c r="F126" s="182" t="n">
        <f aca="false">Capitalization!G5+92600341</f>
        <v>571789396.560976</v>
      </c>
      <c r="G126" s="184" t="n">
        <f aca="false">Capitalization!H5+92600341</f>
        <v>559891245.655935</v>
      </c>
      <c r="H126" s="237" t="n">
        <f aca="false">Capitalization!I5+77950260</f>
        <v>552629040.798862</v>
      </c>
      <c r="I126" s="184" t="n">
        <f aca="false">Capitalization!J5+77950260</f>
        <v>549184483.985854</v>
      </c>
      <c r="J126" s="239" t="n">
        <f aca="false">Capitalization!K5+77950260</f>
        <v>500479847.09187</v>
      </c>
      <c r="K126" s="183" t="n">
        <f aca="false">Capitalization!L5+77950260</f>
        <v>489930193.631057</v>
      </c>
      <c r="L126" s="237" t="n">
        <f aca="false">Capitalization!M5+77950260</f>
        <v>487282306.95122</v>
      </c>
      <c r="M126" s="183" t="n">
        <f aca="false">Capitalization!N5+77950260</f>
        <v>485574691.185203</v>
      </c>
      <c r="N126" s="183" t="n">
        <f aca="false">Capitalization!O5+77950260</f>
        <v>485118752.88813</v>
      </c>
      <c r="O126" s="186" t="n">
        <f aca="false">Capitalization!P5+77950260</f>
        <v>493356363.958374</v>
      </c>
      <c r="P126" s="238" t="n">
        <f aca="false">Capitalization!Q5+60479365</f>
        <v>477425278.949919</v>
      </c>
      <c r="Q126" s="239" t="n">
        <f aca="false">Capitalization!R5+60479365</f>
        <v>459798457.680325</v>
      </c>
      <c r="R126" s="237" t="n">
        <f aca="false">Capitalization!S5+60479365</f>
        <v>434499584.330732</v>
      </c>
      <c r="S126" s="183" t="n">
        <f aca="false">Capitalization!T5+60479365</f>
        <v>453102285.783902</v>
      </c>
      <c r="T126" s="186" t="n">
        <f aca="false">Capitalization!U5+60479365</f>
        <v>450375500.133821</v>
      </c>
      <c r="U126" s="237" t="n">
        <f aca="false">Capitalization!V5+50134569</f>
        <v>469067154.365854</v>
      </c>
      <c r="V126" s="183" t="n">
        <f aca="false">Capitalization!W5+50134569</f>
        <v>458256599.000488</v>
      </c>
      <c r="W126" s="183" t="n">
        <f aca="false">Capitalization!X5+50134569</f>
        <v>433550747.999512</v>
      </c>
      <c r="X126" s="184" t="n">
        <f aca="false">Capitalization!Y5+50134569</f>
        <v>473836003.629268</v>
      </c>
      <c r="Y126" s="239" t="n">
        <f aca="false">Capitalization!Z5+50134569</f>
        <v>479311685.260325</v>
      </c>
      <c r="Z126" s="237" t="n">
        <f aca="false">Capitalization!AA5+50134569</f>
        <v>448450783.619024</v>
      </c>
      <c r="AA126" s="183" t="n">
        <f aca="false">Capitalization!AB5+50134569</f>
        <v>467750309.605854</v>
      </c>
      <c r="AB126" s="186" t="n">
        <f aca="false">Capitalization!AC5+50134569</f>
        <v>410882073.065041</v>
      </c>
      <c r="AC126" s="182" t="n">
        <f aca="false">Capitalization!AD5+47823788</f>
        <v>380505601.729431</v>
      </c>
      <c r="AD126" s="185" t="n">
        <f aca="false">Capitalization!AE5+47823788</f>
        <v>355203470.015285</v>
      </c>
      <c r="AE126" s="182" t="n">
        <f aca="false">Capitalization!AF5+47823788</f>
        <v>338750358.205691</v>
      </c>
      <c r="AF126" s="183" t="n">
        <f aca="false">Capitalization!AG5+47823788</f>
        <v>346535987.56439</v>
      </c>
      <c r="AG126" s="186" t="n">
        <f aca="false">Capitalization!AH5+47823788</f>
        <v>324902308.856098</v>
      </c>
      <c r="AH126" s="237" t="n">
        <f aca="false">Capitalization!AI5+30548552</f>
        <v>256411400.593496</v>
      </c>
      <c r="AI126" s="184" t="n">
        <f aca="false">Capitalization!AJ5+30548552</f>
        <v>333889025.671382</v>
      </c>
      <c r="AJ126" s="239" t="n">
        <f aca="false">Capitalization!AK5+30548552</f>
        <v>307512564.616098</v>
      </c>
      <c r="AK126" s="237" t="n">
        <f aca="false">Capitalization!AL5+30548552</f>
        <v>291248670.690894</v>
      </c>
      <c r="AL126" s="183" t="n">
        <f aca="false">Capitalization!AM5+30548552</f>
        <v>263220451.547642</v>
      </c>
      <c r="AM126" s="186" t="n">
        <f aca="false">Capitalization!AN5+30548552</f>
        <v>241084984.698211</v>
      </c>
      <c r="AN126" s="186" t="n">
        <f aca="false">Capitalization!AO5+36212617</f>
        <v>234041893.422764</v>
      </c>
      <c r="AO126" s="185" t="n">
        <f aca="false">Capitalization!AP5+36212617</f>
        <v>227074579.04748</v>
      </c>
      <c r="AP126" s="182" t="n">
        <f aca="false">Capitalization!AQ5+36212617</f>
        <v>230605249.780813</v>
      </c>
      <c r="AQ126" s="183" t="n">
        <f aca="false">Capitalization!AR5+36212617</f>
        <v>223514117.55252</v>
      </c>
    </row>
    <row r="127" customFormat="false" ht="12.8" hidden="false" customHeight="false" outlineLevel="0" collapsed="false">
      <c r="A127" s="139" t="s">
        <v>182</v>
      </c>
      <c r="B127" s="181" t="n">
        <f aca="false">Capitalization!C6+1316807756</f>
        <v>1879601879.89268</v>
      </c>
      <c r="C127" s="181" t="n">
        <f aca="false">Capitalization!D6+1316807756</f>
        <v>1827837414.53659</v>
      </c>
      <c r="D127" s="182" t="n">
        <f aca="false">Capitalization!E6+1316807756</f>
        <v>1827837414.53659</v>
      </c>
      <c r="E127" s="183" t="n">
        <f aca="false">Capitalization!F6+1316807756</f>
        <v>1762280826.50732</v>
      </c>
      <c r="F127" s="186" t="n">
        <f aca="false">Capitalization!G6+1316807756</f>
        <v>1759700126.73171</v>
      </c>
      <c r="G127" s="183" t="n">
        <f aca="false">Capitalization!H6+1270330325</f>
        <v>1722375804.72683</v>
      </c>
      <c r="H127" s="182" t="n">
        <f aca="false">Capitalization!I6+1270330325</f>
        <v>1699691765.99512</v>
      </c>
      <c r="I127" s="184" t="n">
        <f aca="false">Capitalization!J6+1270330325</f>
        <v>1670636890.85366</v>
      </c>
      <c r="J127" s="185" t="n">
        <f aca="false">Capitalization!K6+1270330325</f>
        <v>1644455138.01463</v>
      </c>
      <c r="K127" s="183" t="n">
        <f aca="false">Capitalization!L6+1270330325</f>
        <v>1650550586.21951</v>
      </c>
      <c r="L127" s="182" t="n">
        <f aca="false">Capitalization!M6+1270330325</f>
        <v>1638498803.43902</v>
      </c>
      <c r="M127" s="183" t="n">
        <f aca="false">Capitalization!N6+1270330325</f>
        <v>1639123395.2439</v>
      </c>
      <c r="N127" s="183" t="n">
        <f aca="false">Capitalization!O6+1270330325</f>
        <v>1635390039.68293</v>
      </c>
      <c r="O127" s="186" t="n">
        <f aca="false">Capitalization!P6+1270330325</f>
        <v>1621237357.19512</v>
      </c>
      <c r="P127" s="186" t="n">
        <f aca="false">Capitalization!Q6+1194188016</f>
        <v>1567798960.30244</v>
      </c>
      <c r="Q127" s="185" t="n">
        <f aca="false">Capitalization!R6+1194188016</f>
        <v>1576324638.43902</v>
      </c>
      <c r="R127" s="182" t="n">
        <f aca="false">Capitalization!S6+1194188016</f>
        <v>1577460259.90244</v>
      </c>
      <c r="S127" s="183" t="n">
        <f aca="false">Capitalization!T6+1194188016</f>
        <v>1593219846.76098</v>
      </c>
      <c r="T127" s="186" t="n">
        <f aca="false">Capitalization!U6+1194188016</f>
        <v>1583010609.80488</v>
      </c>
      <c r="U127" s="182" t="n">
        <f aca="false">Capitalization!V6+1158549300</f>
        <v>1584407348.78049</v>
      </c>
      <c r="V127" s="183" t="n">
        <f aca="false">Capitalization!W6+1158549300</f>
        <v>1556584622.92683</v>
      </c>
      <c r="W127" s="183" t="n">
        <f aca="false">Capitalization!X6+1158549300</f>
        <v>1542766948.77073</v>
      </c>
      <c r="X127" s="184" t="n">
        <f aca="false">Capitalization!Y6+1158549300</f>
        <v>1584407348.78049</v>
      </c>
      <c r="Y127" s="185" t="n">
        <f aca="false">Capitalization!Z6+1158549300</f>
        <v>1548428021.76585</v>
      </c>
      <c r="Z127" s="182" t="n">
        <f aca="false">Capitalization!AA6+1158549300</f>
        <v>1530465329.26829</v>
      </c>
      <c r="AA127" s="183" t="n">
        <f aca="false">Capitalization!AB6+1158549300</f>
        <v>1540501383.95122</v>
      </c>
      <c r="AB127" s="186" t="n">
        <f aca="false">Capitalization!AC6+1158549300</f>
        <v>1499235739.02439</v>
      </c>
      <c r="AC127" s="182" t="n">
        <f aca="false">Capitalization!AE6+1017612682</f>
        <v>1342678647.79512</v>
      </c>
      <c r="AD127" s="185" t="n">
        <f aca="false">Capitalization!AF6+1017612682</f>
        <v>1340912756.41951</v>
      </c>
      <c r="AE127" s="182" t="n">
        <f aca="false">Capitalization!AG6+1017612682</f>
        <v>1353279674.1561</v>
      </c>
      <c r="AF127" s="184" t="n">
        <f aca="false">Capitalization!AH6+1017612682</f>
        <v>1315713316.14634</v>
      </c>
      <c r="AG127" s="186" t="n">
        <f aca="false">Capitalization!AH6+58349609</f>
        <v>356450243.146341</v>
      </c>
      <c r="AH127" s="182" t="n">
        <f aca="false">Capitalization!AI6+58349609</f>
        <v>309875567.878049</v>
      </c>
      <c r="AI127" s="184" t="n">
        <f aca="false">Capitalization!AJ6+58349609</f>
        <v>413231316.317073</v>
      </c>
      <c r="AJ127" s="185" t="n">
        <f aca="false">Capitalization!AK6+58349609</f>
        <v>399490296.609756</v>
      </c>
      <c r="AK127" s="182" t="n">
        <f aca="false">Capitalization!AL6+58349609</f>
        <v>399036048.02439</v>
      </c>
      <c r="AL127" s="183" t="n">
        <f aca="false">Capitalization!AM6+58349609</f>
        <v>399036048.02439</v>
      </c>
      <c r="AM127" s="186" t="n">
        <f aca="false">Capitalization!AN6+58349609</f>
        <v>352154754.960976</v>
      </c>
      <c r="AN127" s="186" t="n">
        <f aca="false">Capitalization!AO6+891318390</f>
        <v>1225872473.12195</v>
      </c>
      <c r="AO127" s="185" t="n">
        <f aca="false">Capitalization!AP6+891318390</f>
        <v>1232004829.02439</v>
      </c>
      <c r="AP127" s="182" t="n">
        <f aca="false">Capitalization!AQ6+891318390</f>
        <v>1219424982.26341</v>
      </c>
      <c r="AQ127" s="183" t="n">
        <f aca="false">Capitalization!AR6+891318390</f>
        <v>1213400510.4</v>
      </c>
    </row>
    <row r="128" customFormat="false" ht="12.8" hidden="false" customHeight="false" outlineLevel="0" collapsed="false">
      <c r="A128" s="139" t="s">
        <v>183</v>
      </c>
      <c r="B128" s="181" t="n">
        <f aca="false">Capitalization!C7+1749626</f>
        <v>334519694.292683</v>
      </c>
      <c r="C128" s="181" t="n">
        <f aca="false">Capitalization!D7+1749626</f>
        <v>342311830.878049</v>
      </c>
      <c r="D128" s="182" t="n">
        <f aca="false">Capitalization!E7+1749626</f>
        <v>342311830.878049</v>
      </c>
      <c r="E128" s="183" t="n">
        <f aca="false">Capitalization!F7+1749626</f>
        <v>342770191.853659</v>
      </c>
      <c r="F128" s="186" t="n">
        <f aca="false">Capitalization!G7+1749626</f>
        <v>342770191.853659</v>
      </c>
      <c r="G128" s="183" t="n">
        <f aca="false">Capitalization!H7+17831674</f>
        <v>304307283.756098</v>
      </c>
      <c r="H128" s="182" t="n">
        <f aca="false">Capitalization!I7+17831674</f>
        <v>304307283.756098</v>
      </c>
      <c r="I128" s="184" t="n">
        <f aca="false">Capitalization!J7+17831674</f>
        <v>297431869.121951</v>
      </c>
      <c r="J128" s="185" t="n">
        <f aca="false">Capitalization!K7+17831674</f>
        <v>296377638.878049</v>
      </c>
      <c r="K128" s="183" t="n">
        <f aca="false">Capitalization!L7+17831674</f>
        <v>282755150.682927</v>
      </c>
      <c r="L128" s="182" t="n">
        <f aca="false">Capitalization!M7+17831674</f>
        <v>282755150.682927</v>
      </c>
      <c r="M128" s="183" t="n">
        <f aca="false">Capitalization!N7+17831674</f>
        <v>282755150.682927</v>
      </c>
      <c r="N128" s="183" t="n">
        <f aca="false">Capitalization!O7+17831674</f>
        <v>282755150.682927</v>
      </c>
      <c r="O128" s="186" t="n">
        <f aca="false">Capitalization!P7+17831674</f>
        <v>285514483.756098</v>
      </c>
      <c r="P128" s="186" t="n">
        <f aca="false">Capitalization!Q7+4657284</f>
        <v>278298786.439024</v>
      </c>
      <c r="Q128" s="185" t="n">
        <f aca="false">Capitalization!R7+4657284</f>
        <v>270506649.853659</v>
      </c>
      <c r="R128" s="182" t="n">
        <f aca="false">Capitalization!S7+4657284</f>
        <v>265932207.317073</v>
      </c>
      <c r="S128" s="183" t="n">
        <f aca="false">Capitalization!T7+4657284</f>
        <v>263356218.634146</v>
      </c>
      <c r="T128" s="186" t="n">
        <f aca="false">Capitalization!U7+4657284</f>
        <v>325509966.926829</v>
      </c>
      <c r="U128" s="182" t="n">
        <f aca="false">Capitalization!AA7+6033918</f>
        <v>327812490.097561</v>
      </c>
      <c r="V128" s="183" t="n">
        <f aca="false">Capitalization!AB7+6033918</f>
        <v>313465791.560976</v>
      </c>
      <c r="W128" s="183" t="n">
        <f aca="false">Capitalization!AC7+6033918</f>
        <v>271892451.073171</v>
      </c>
      <c r="X128" s="184" t="n">
        <f aca="false">Capitalization!AD7+6033918</f>
        <v>271883283.853659</v>
      </c>
      <c r="Y128" s="185" t="n">
        <f aca="false">Capitalization!AE7+6033918</f>
        <v>244390792.536585</v>
      </c>
      <c r="Z128" s="182" t="n">
        <f aca="false">Capitalization!AF7+6033918</f>
        <v>235223573.02439</v>
      </c>
      <c r="AA128" s="183" t="n">
        <f aca="false">Capitalization!AG7+6033918</f>
        <v>235214405.804878</v>
      </c>
      <c r="AB128" s="186" t="n">
        <f aca="false">Capitalization!AH7+6033918</f>
        <v>230630796.048781</v>
      </c>
      <c r="AC128" s="238" t="n">
        <f aca="false">Capitalization!AD7-14038146</f>
        <v>251811219.853659</v>
      </c>
      <c r="AD128" s="182" t="n">
        <f aca="false">Capitalization!AE7-14038146</f>
        <v>224318728.536585</v>
      </c>
      <c r="AE128" s="182" t="n">
        <f aca="false">Capitalization!AF7-14038146</f>
        <v>215151509.02439</v>
      </c>
      <c r="AF128" s="183" t="n">
        <f aca="false">Capitalization!AG7-14038146</f>
        <v>215142341.804878</v>
      </c>
      <c r="AG128" s="186" t="n">
        <f aca="false">Capitalization!AH7-14038146</f>
        <v>210558732.048781</v>
      </c>
      <c r="AH128" s="182" t="n">
        <f aca="false">Capitalization!AI7-2783154</f>
        <v>209437977.707317</v>
      </c>
      <c r="AI128" s="184" t="n">
        <f aca="false">Capitalization!AJ7-2783154</f>
        <v>219063558.195122</v>
      </c>
      <c r="AJ128" s="185" t="n">
        <f aca="false">Capitalization!AK7-4900081</f>
        <v>225197128.756098</v>
      </c>
      <c r="AK128" s="182" t="n">
        <f aca="false">Capitalization!AL7-4900081</f>
        <v>206413495.97561</v>
      </c>
      <c r="AL128" s="183" t="n">
        <f aca="false">Capitalization!AM7-4900081</f>
        <v>206404328.756098</v>
      </c>
      <c r="AM128" s="186" t="n">
        <f aca="false">Capitalization!AN7-4900081</f>
        <v>205955135</v>
      </c>
      <c r="AN128" s="186" t="n">
        <f aca="false">Capitalization!AO7-4591430</f>
        <v>210838228.536585</v>
      </c>
      <c r="AO128" s="185" t="n">
        <f aca="false">Capitalization!AP7-4591430</f>
        <v>206254618.780488</v>
      </c>
      <c r="AP128" s="182" t="n">
        <f aca="false">Capitalization!AQ7-4591430</f>
        <v>213588394.390244</v>
      </c>
      <c r="AQ128" s="183" t="n">
        <f aca="false">Capitalization!AR7-4591430</f>
        <v>213588394.390244</v>
      </c>
    </row>
    <row r="129" customFormat="false" ht="12.8" hidden="false" customHeight="false" outlineLevel="0" collapsed="false">
      <c r="A129" s="139" t="s">
        <v>27</v>
      </c>
      <c r="B129" s="181" t="n">
        <f aca="false">Capitalization!C8+7546764</f>
        <v>166856782.722602</v>
      </c>
      <c r="C129" s="181" t="n">
        <f aca="false">Capitalization!D8+7546764</f>
        <v>162643407.94439</v>
      </c>
      <c r="D129" s="237" t="n">
        <f aca="false">Capitalization!E8+7546764</f>
        <v>162871479.447154</v>
      </c>
      <c r="E129" s="183" t="n">
        <f aca="false">Capitalization!F8+7546764</f>
        <v>156475043.203577</v>
      </c>
      <c r="F129" s="186" t="n">
        <f aca="false">Capitalization!G8+7546764</f>
        <v>151815831.671545</v>
      </c>
      <c r="G129" s="183" t="n">
        <f aca="false">Capitalization!H8+24145447</f>
        <v>153846280.686829</v>
      </c>
      <c r="H129" s="237" t="n">
        <f aca="false">Capitalization!I8+24145447</f>
        <v>148405182.810732</v>
      </c>
      <c r="I129" s="184" t="n">
        <f aca="false">Capitalization!J8+24145447</f>
        <v>143836881.920976</v>
      </c>
      <c r="J129" s="237" t="n">
        <f aca="false">Capitalization!K8+24145447</f>
        <v>141781990.756098</v>
      </c>
      <c r="K129" s="183" t="n">
        <f aca="false">Capitalization!L8+24145447</f>
        <v>151144416.398374</v>
      </c>
      <c r="L129" s="237" t="n">
        <f aca="false">Capitalization!M8+24145447</f>
        <v>143380007.97561</v>
      </c>
      <c r="M129" s="183" t="n">
        <f aca="false">Capitalization!N8+24145447</f>
        <v>143471375.455285</v>
      </c>
      <c r="N129" s="183" t="n">
        <f aca="false">Capitalization!O8+24145447</f>
        <v>143471832.292683</v>
      </c>
      <c r="O129" s="186" t="n">
        <f aca="false">Capitalization!P8+24145447</f>
        <v>144626443.133333</v>
      </c>
      <c r="P129" s="238" t="n">
        <f aca="false">Capitalization!Q8+22459154</f>
        <v>144110001.069594</v>
      </c>
      <c r="Q129" s="239" t="n">
        <f aca="false">Capitalization!R8+22459154</f>
        <v>145611662.145041</v>
      </c>
      <c r="R129" s="237" t="n">
        <f aca="false">Capitalization!S8+22459154</f>
        <v>143064318.538211</v>
      </c>
      <c r="S129" s="183" t="n">
        <f aca="false">Capitalization!T8+22459154</f>
        <v>150067398.299837</v>
      </c>
      <c r="T129" s="186" t="n">
        <f aca="false">Capitalization!U8+22459154</f>
        <v>152200975.138211</v>
      </c>
      <c r="U129" s="187" t="n">
        <f aca="false">Capitalization!V8+47050439</f>
        <v>181366719.196098</v>
      </c>
      <c r="V129" s="181" t="n">
        <f aca="false">Capitalization!W8+47050439</f>
        <v>173125299.435447</v>
      </c>
      <c r="W129" s="181" t="n">
        <f aca="false">Capitalization!X8+47050439</f>
        <v>172041151.195122</v>
      </c>
      <c r="X129" s="184" t="n">
        <f aca="false">Capitalization!Y8+47050439</f>
        <v>185929008.105691</v>
      </c>
      <c r="Y129" s="185" t="n">
        <f aca="false">Capitalization!Z8+47050439</f>
        <v>190095365.178862</v>
      </c>
      <c r="Z129" s="182" t="n">
        <f aca="false">Capitalization!AA8+47050439</f>
        <v>185079601.194146</v>
      </c>
      <c r="AA129" s="183" t="n">
        <f aca="false">Capitalization!AB8+47050439</f>
        <v>188186095.503089</v>
      </c>
      <c r="AB129" s="186" t="n">
        <f aca="false">Capitalization!AC8+47050439</f>
        <v>186288849.787642</v>
      </c>
      <c r="AC129" s="182" t="n">
        <f aca="false">Capitalization!AC8+49742471</f>
        <v>188980881.787642</v>
      </c>
      <c r="AD129" s="185" t="n">
        <f aca="false">Capitalization!AD8+49742471</f>
        <v>181311714.825691</v>
      </c>
      <c r="AE129" s="182" t="n">
        <f aca="false">Capitalization!AE8+49742471</f>
        <v>184283496.922602</v>
      </c>
      <c r="AF129" s="183" t="n">
        <f aca="false">Capitalization!AF8+49742471</f>
        <v>177583501.364553</v>
      </c>
      <c r="AG129" s="186" t="n">
        <f aca="false">Capitalization!AG8+49742471</f>
        <v>172606934.028618</v>
      </c>
      <c r="AH129" s="182" t="n">
        <f aca="false">Capitalization!AI8+56839398</f>
        <v>149113992.286504</v>
      </c>
      <c r="AI129" s="184" t="n">
        <f aca="false">Capitalization!AJ8+56839398</f>
        <v>197703126.610081</v>
      </c>
      <c r="AJ129" s="185" t="n">
        <f aca="false">Capitalization!AK8+56839398</f>
        <v>199098911.050081</v>
      </c>
      <c r="AK129" s="182" t="n">
        <f aca="false">Capitalization!AL8+56839398</f>
        <v>190235845.23122</v>
      </c>
      <c r="AL129" s="183" t="n">
        <f aca="false">Capitalization!AM8+56839398</f>
        <v>178007441.033496</v>
      </c>
      <c r="AM129" s="186" t="n">
        <f aca="false">Capitalization!AN8+56839398</f>
        <v>170100316.60748</v>
      </c>
      <c r="AN129" s="186" t="n">
        <f aca="false">Capitalization!AO8+58338634</f>
        <v>152447138.065041</v>
      </c>
      <c r="AO129" s="185" t="n">
        <f aca="false">Capitalization!AP8+58338634</f>
        <v>145129151.147968</v>
      </c>
      <c r="AP129" s="182" t="n">
        <f aca="false">Capitalization!AQ8+58338634</f>
        <v>146678396.406829</v>
      </c>
      <c r="AQ129" s="183" t="n">
        <f aca="false">Capitalization!AR8+58338634</f>
        <v>143407239.626016</v>
      </c>
    </row>
    <row r="130" customFormat="false" ht="12.8" hidden="false" customHeight="false" outlineLevel="0" collapsed="false">
      <c r="A130" s="139" t="s">
        <v>31</v>
      </c>
      <c r="B130" s="181" t="n">
        <f aca="false">Capitalization!C9-19401902</f>
        <v>62055087.2682927</v>
      </c>
      <c r="C130" s="181" t="n">
        <f aca="false">Capitalization!D9-19401902</f>
        <v>62055087.2682927</v>
      </c>
      <c r="D130" s="182" t="n">
        <f aca="false">Capitalization!E9-19401902</f>
        <v>62055087.2682927</v>
      </c>
      <c r="E130" s="183" t="n">
        <f aca="false">Capitalization!F9-19401902</f>
        <v>54205958.3902439</v>
      </c>
      <c r="F130" s="186" t="n">
        <f aca="false">Capitalization!G9-19401902</f>
        <v>48031658.9756098</v>
      </c>
      <c r="G130" s="183" t="n">
        <f aca="false">Capitalization!H9-22563804</f>
        <v>48255196.9756098</v>
      </c>
      <c r="H130" s="182" t="n">
        <f aca="false">Capitalization!I9-22563804</f>
        <v>48255196.9756098</v>
      </c>
      <c r="I130" s="184" t="n">
        <f aca="false">Capitalization!J9-22563804</f>
        <v>44869756.9756098</v>
      </c>
      <c r="J130" s="185" t="n">
        <f aca="false">Capitalization!K9-22563804</f>
        <v>46108332.5853659</v>
      </c>
      <c r="K130" s="183" t="n">
        <f aca="false">Capitalization!L9-22563804</f>
        <v>60975368.4878049</v>
      </c>
      <c r="L130" s="182" t="n">
        <f aca="false">Capitalization!M9-22563804</f>
        <v>60975368.4878049</v>
      </c>
      <c r="M130" s="183" t="n">
        <f aca="false">Capitalization!N9-22563804</f>
        <v>61354372.6243903</v>
      </c>
      <c r="N130" s="183" t="n">
        <f aca="false">Capitalization!O9-22563804</f>
        <v>53983196.3121951</v>
      </c>
      <c r="O130" s="186" t="n">
        <f aca="false">Capitalization!P9-22563804</f>
        <v>22850635.0243902</v>
      </c>
      <c r="P130" s="238" t="n">
        <f aca="false">Capitalization!Q9-21296178</f>
        <v>24806358.5853659</v>
      </c>
      <c r="Q130" s="239" t="n">
        <f aca="false">Capitalization!R9-21296178</f>
        <v>26870651.2682927</v>
      </c>
      <c r="R130" s="237" t="n">
        <f aca="false">Capitalization!S9-21296178</f>
        <v>24159546.8780488</v>
      </c>
      <c r="S130" s="183" t="n">
        <f aca="false">Capitalization!T9-21296178</f>
        <v>28659704.9268293</v>
      </c>
      <c r="T130" s="186" t="n">
        <f aca="false">Capitalization!U9-21296178</f>
        <v>23609068.8292683</v>
      </c>
      <c r="U130" s="182" t="n">
        <f aca="false">Capitalization!V9-13219252</f>
        <v>36846726.5365854</v>
      </c>
      <c r="V130" s="183" t="n">
        <f aca="false">Capitalization!W9-13219252</f>
        <v>37025631.902439</v>
      </c>
      <c r="W130" s="183" t="n">
        <f aca="false">Capitalization!X9-13219252</f>
        <v>37025631.902439</v>
      </c>
      <c r="X130" s="184" t="n">
        <f aca="false">Capitalization!Y9-13219252</f>
        <v>37025631.902439</v>
      </c>
      <c r="Y130" s="185" t="n">
        <f aca="false">Capitalization!Z9-13219252</f>
        <v>36227438.7317073</v>
      </c>
      <c r="Z130" s="182" t="n">
        <f aca="false">Capitalization!AA9-13219252</f>
        <v>36318955.7073171</v>
      </c>
      <c r="AA130" s="183" t="n">
        <f aca="false">Capitalization!AB9-13219252</f>
        <v>38324072</v>
      </c>
      <c r="AB130" s="186" t="n">
        <f aca="false">Capitalization!AC9-13219252</f>
        <v>33571382.1463415</v>
      </c>
      <c r="AC130" s="182" t="n">
        <f aca="false">Capitalization!AD9-1190209</f>
        <v>45600425.1463415</v>
      </c>
      <c r="AD130" s="185" t="n">
        <f aca="false">Capitalization!AE9-1190209</f>
        <v>45590516.5414634</v>
      </c>
      <c r="AE130" s="182" t="n">
        <f aca="false">Capitalization!AF9-1190209</f>
        <v>48249050.2780488</v>
      </c>
      <c r="AF130" s="183" t="n">
        <f aca="false">Capitalization!AG9-1190209</f>
        <v>42171359.7609756</v>
      </c>
      <c r="AG130" s="186" t="n">
        <f aca="false">Capitalization!AH9-1190209</f>
        <v>44224230.0243902</v>
      </c>
      <c r="AH130" s="182" t="n">
        <f aca="false">Capitalization!AI9-11794341</f>
        <v>29491512.6585366</v>
      </c>
      <c r="AI130" s="184" t="n">
        <f aca="false">Capitalization!AJ9-11794341</f>
        <v>50354630.7073171</v>
      </c>
      <c r="AJ130" s="185" t="n">
        <f aca="false">Capitalization!AK9-11794341</f>
        <v>54263024.8536585</v>
      </c>
      <c r="AK130" s="182" t="n">
        <f aca="false">Capitalization!AL9-11794341</f>
        <v>54066366.5707317</v>
      </c>
      <c r="AL130" s="183" t="n">
        <f aca="false">Capitalization!AM9-11794341</f>
        <v>50258297.0487805</v>
      </c>
      <c r="AM130" s="186" t="n">
        <f aca="false">Capitalization!AN9-11794341</f>
        <v>48758244.3658537</v>
      </c>
      <c r="AN130" s="186" t="n">
        <v>64359604.2390244</v>
      </c>
      <c r="AO130" s="185" t="n">
        <v>64359604.2390244</v>
      </c>
      <c r="AP130" s="182" t="n">
        <f aca="false">Capitalization!AQ9-3716227</f>
        <v>64359604.2390244</v>
      </c>
      <c r="AQ130" s="183" t="n">
        <f aca="false">Capitalization!AR9-3716227</f>
        <v>56836358.3658537</v>
      </c>
    </row>
    <row r="131" customFormat="false" ht="12.8" hidden="false" customHeight="false" outlineLevel="0" collapsed="false">
      <c r="A131" s="139" t="s">
        <v>184</v>
      </c>
      <c r="B131" s="181" t="n">
        <f aca="false">Capitalization!C10+28772585</f>
        <v>110192042.510081</v>
      </c>
      <c r="C131" s="181" t="n">
        <f aca="false">Capitalization!D10+28772585</f>
        <v>100705732.572683</v>
      </c>
      <c r="D131" s="182" t="n">
        <f aca="false">Capitalization!E10+28772585</f>
        <v>100687753.780488</v>
      </c>
      <c r="E131" s="183" t="n">
        <f aca="false">Capitalization!F10+28772585</f>
        <v>100687753.780488</v>
      </c>
      <c r="F131" s="186" t="n">
        <f aca="false">Capitalization!G10+28772585</f>
        <v>95693644.8373984</v>
      </c>
      <c r="G131" s="183" t="n">
        <f aca="false">Capitalization!H10+29759252</f>
        <v>98677955.4146342</v>
      </c>
      <c r="H131" s="182" t="n">
        <f aca="false">Capitalization!I10+29759252</f>
        <v>91186792</v>
      </c>
      <c r="I131" s="184" t="n">
        <f aca="false">Capitalization!J10+29759252</f>
        <v>88333158.1499187</v>
      </c>
      <c r="J131" s="185" t="n">
        <f aca="false">Capitalization!K10+29759252</f>
        <v>88652281.7113821</v>
      </c>
      <c r="K131" s="183" t="n">
        <f aca="false">Capitalization!L10+29759252</f>
        <v>85693272.1626016</v>
      </c>
      <c r="L131" s="182" t="n">
        <f aca="false">Capitalization!M10+29759252</f>
        <v>85473531.3691057</v>
      </c>
      <c r="M131" s="183" t="n">
        <f aca="false">Capitalization!N10+29759252</f>
        <v>85193861.2682927</v>
      </c>
      <c r="N131" s="183" t="n">
        <f aca="false">Capitalization!O10+29759252</f>
        <v>85193861.2682927</v>
      </c>
      <c r="O131" s="186" t="n">
        <f aca="false">Capitalization!P10+29759252</f>
        <v>87160041.959187</v>
      </c>
      <c r="P131" s="186" t="n">
        <f aca="false">Capitalization!Q10+29983544</f>
        <v>89962792.4065041</v>
      </c>
      <c r="Q131" s="185" t="n">
        <f aca="false">Capitalization!R10+29983544</f>
        <v>93662428.3115447</v>
      </c>
      <c r="R131" s="182" t="n">
        <f aca="false">Capitalization!S10+29983544</f>
        <v>104875201.710569</v>
      </c>
      <c r="S131" s="183" t="n">
        <f aca="false">Capitalization!T10+29983544</f>
        <v>99320254.3331707</v>
      </c>
      <c r="T131" s="186" t="n">
        <f aca="false">Capitalization!U10+29983544</f>
        <v>95905782.0487805</v>
      </c>
      <c r="U131" s="182" t="n">
        <f aca="false">Capitalization!V10+25006455</f>
        <v>89927374.2056911</v>
      </c>
      <c r="V131" s="183" t="n">
        <f aca="false">Capitalization!W10+25006455</f>
        <v>84144695.4604878</v>
      </c>
      <c r="W131" s="183" t="n">
        <f aca="false">Capitalization!X10+25006455</f>
        <v>84144695.4604878</v>
      </c>
      <c r="X131" s="184" t="n">
        <f aca="false">Capitalization!Y10+25006455</f>
        <v>90696966.3938211</v>
      </c>
      <c r="Y131" s="185" t="n">
        <f aca="false">Capitalization!Z10+25006455</f>
        <v>94563405.537561</v>
      </c>
      <c r="Z131" s="182" t="n">
        <f aca="false">Capitalization!AA10+25006455</f>
        <v>90179576.7073171</v>
      </c>
      <c r="AA131" s="183" t="n">
        <f aca="false">Capitalization!AB10+25006455</f>
        <v>89979812.3495935</v>
      </c>
      <c r="AB131" s="186" t="n">
        <f aca="false">Capitalization!AC10+25006455</f>
        <v>84935762.3170732</v>
      </c>
      <c r="AC131" s="182" t="n">
        <f aca="false">Capitalization!AD10+30367024</f>
        <v>82961982.9232521</v>
      </c>
      <c r="AD131" s="185" t="n">
        <f aca="false">Capitalization!AE10+30367024</f>
        <v>86248606.0186992</v>
      </c>
      <c r="AE131" s="182" t="n">
        <f aca="false">Capitalization!AF10+30367024</f>
        <v>81806346.1138212</v>
      </c>
      <c r="AF131" s="183" t="n">
        <f aca="false">Capitalization!AG10+30367024</f>
        <v>81793361.4305691</v>
      </c>
      <c r="AG131" s="186" t="n">
        <f aca="false">Capitalization!AH10+30367024</f>
        <v>76867172.3691057</v>
      </c>
      <c r="AH131" s="182" t="n">
        <f aca="false">Capitalization!AI10+38799804</f>
        <v>78296213.9873171</v>
      </c>
      <c r="AI131" s="184" t="n">
        <f aca="false">Capitalization!AJ10+38799804</f>
        <v>98699146.6634146</v>
      </c>
      <c r="AJ131" s="185" t="n">
        <f aca="false">Capitalization!AK10+38799804</f>
        <v>95047953.615122</v>
      </c>
      <c r="AK131" s="182" t="n">
        <f aca="false">Capitalization!AL10+38799804</f>
        <v>89926994.3048781</v>
      </c>
      <c r="AL131" s="183" t="n">
        <f aca="false">Capitalization!AM10+38799804</f>
        <v>85615580.0543089</v>
      </c>
      <c r="AM131" s="186" t="n">
        <f aca="false">Capitalization!AN10+38799804</f>
        <v>82314973.4538212</v>
      </c>
      <c r="AN131" s="186" t="n">
        <f aca="false">Capitalization!AO10+40680487</f>
        <v>81632180.3333333</v>
      </c>
      <c r="AO131" s="185" t="n">
        <f aca="false">Capitalization!AP10+40680487</f>
        <v>80657330.2676423</v>
      </c>
      <c r="AP131" s="182" t="n">
        <f aca="false">Capitalization!AQ10+40680487</f>
        <v>83859053.5110569</v>
      </c>
      <c r="AQ131" s="183" t="n">
        <f aca="false">Capitalization!AR10+40680487</f>
        <v>81353009.6434146</v>
      </c>
    </row>
    <row r="132" customFormat="false" ht="12.8" hidden="false" customHeight="false" outlineLevel="0" collapsed="false">
      <c r="A132" s="139" t="s">
        <v>185</v>
      </c>
      <c r="B132" s="181" t="n">
        <f aca="false">Capitalization!C11+305052569</f>
        <v>367272626.071382</v>
      </c>
      <c r="C132" s="181" t="n">
        <f aca="false">Capitalization!D11+305052569</f>
        <v>367197430.788618</v>
      </c>
      <c r="D132" s="182" t="n">
        <f aca="false">Capitalization!E11+305052569</f>
        <v>368884219.894309</v>
      </c>
      <c r="E132" s="183" t="n">
        <f aca="false">Capitalization!F11+305052569</f>
        <v>366753538.918699</v>
      </c>
      <c r="F132" s="186" t="n">
        <f aca="false">Capitalization!G11+305052569</f>
        <v>364977971.439024</v>
      </c>
      <c r="G132" s="183" t="n">
        <f aca="false">Capitalization!H11+273560439</f>
        <v>336899369.918699</v>
      </c>
      <c r="H132" s="182" t="n">
        <f aca="false">Capitalization!I11+273560439</f>
        <v>335101607.845529</v>
      </c>
      <c r="I132" s="184" t="n">
        <f aca="false">Capitalization!J11+273560439</f>
        <v>336415527.780488</v>
      </c>
      <c r="J132" s="185" t="n">
        <f aca="false">Capitalization!K11+273560439</f>
        <v>323854719.537398</v>
      </c>
      <c r="K132" s="183" t="n">
        <f aca="false">Capitalization!L11+273560439</f>
        <v>317967914.336911</v>
      </c>
      <c r="L132" s="182" t="n">
        <f aca="false">Capitalization!M11+273560439</f>
        <v>317949625.99187</v>
      </c>
      <c r="M132" s="183" t="n">
        <f aca="false">Capitalization!N11+273560439</f>
        <v>317949625.99187</v>
      </c>
      <c r="N132" s="183" t="n">
        <f aca="false">Capitalization!O11+273560439</f>
        <v>317958503.829268</v>
      </c>
      <c r="O132" s="186" t="n">
        <f aca="false">Capitalization!P11+273560439</f>
        <v>319281301.601626</v>
      </c>
      <c r="P132" s="186" t="n">
        <f aca="false">Capitalization!Q11+257138032</f>
        <v>300639435.252033</v>
      </c>
      <c r="Q132" s="185" t="n">
        <f aca="false">Capitalization!R11+257138032</f>
        <v>292699097.482927</v>
      </c>
      <c r="R132" s="182" t="n">
        <f aca="false">Capitalization!S11+257138032</f>
        <v>285280776.552846</v>
      </c>
      <c r="S132" s="183" t="n">
        <f aca="false">Capitalization!T11+257138032</f>
        <v>282439868.585366</v>
      </c>
      <c r="T132" s="186" t="n">
        <f aca="false">Capitalization!U11+257138032</f>
        <v>284659327.934959</v>
      </c>
      <c r="U132" s="182" t="n">
        <f aca="false">Capitalization!V11+240459333</f>
        <v>264873385.845528</v>
      </c>
      <c r="V132" s="183" t="n">
        <f aca="false">Capitalization!W11+240459333</f>
        <v>266313459.849919</v>
      </c>
      <c r="W132" s="183" t="n">
        <f aca="false">Capitalization!X11+240459333</f>
        <v>266226190.708293</v>
      </c>
      <c r="X132" s="184" t="n">
        <f aca="false">Capitalization!Y11+240459333</f>
        <v>266226190.708293</v>
      </c>
      <c r="Y132" s="185" t="n">
        <f aca="false">Capitalization!Z11+240459333</f>
        <v>264438371.813008</v>
      </c>
      <c r="Z132" s="182" t="n">
        <f aca="false">Capitalization!AA11+240459333</f>
        <v>266107405.243902</v>
      </c>
      <c r="AA132" s="183" t="n">
        <f aca="false">Capitalization!AB11+240459333</f>
        <v>266169550.105691</v>
      </c>
      <c r="AB132" s="186" t="n">
        <f aca="false">Capitalization!AC11+240459333</f>
        <v>266373740.365854</v>
      </c>
      <c r="AC132" s="182" t="n">
        <f aca="false">Capitalization!AD11+238434211</f>
        <v>261320654.36439</v>
      </c>
      <c r="AD132" s="185" t="n">
        <f aca="false">Capitalization!AE11+238434211</f>
        <v>259741020.756098</v>
      </c>
      <c r="AE132" s="182" t="n">
        <f aca="false">Capitalization!AF11+238434211</f>
        <v>259741020.756098</v>
      </c>
      <c r="AF132" s="183" t="n">
        <f aca="false">Capitalization!AG11+238434211</f>
        <v>259741020.756098</v>
      </c>
      <c r="AG132" s="186" t="n">
        <f aca="false">Capitalization!AH11+238434211</f>
        <v>256722556.04065</v>
      </c>
      <c r="AH132" s="182" t="n">
        <f aca="false">Capitalization!AI11+207067626</f>
        <v>223802349.495935</v>
      </c>
      <c r="AI132" s="184" t="n">
        <f aca="false">Capitalization!AJ11+207067626</f>
        <v>227047199.065041</v>
      </c>
      <c r="AJ132" s="185" t="n">
        <f aca="false">Capitalization!AK11+207067626</f>
        <v>228809183.453496</v>
      </c>
      <c r="AK132" s="182" t="n">
        <f aca="false">Capitalization!AL11+207067626</f>
        <v>226554479.089431</v>
      </c>
      <c r="AL132" s="183" t="n">
        <f aca="false">Capitalization!AM11+207067626</f>
        <v>226598868.276423</v>
      </c>
      <c r="AM132" s="186" t="n">
        <f aca="false">Capitalization!AN11+207067626</f>
        <v>226598868.276423</v>
      </c>
      <c r="AN132" s="186" t="n">
        <f aca="false">Capitalization!AO11+168306260</f>
        <v>189169177.886179</v>
      </c>
      <c r="AO132" s="185" t="n">
        <f aca="false">Capitalization!AP11+168306260</f>
        <v>186949718.536585</v>
      </c>
      <c r="AP132" s="182" t="n">
        <f aca="false">Capitalization!AQ11+168306260</f>
        <v>189295953.404228</v>
      </c>
      <c r="AQ132" s="183" t="n">
        <f aca="false">Capitalization!AR11+168306260</f>
        <v>189604191.918699</v>
      </c>
    </row>
    <row r="133" customFormat="false" ht="12.8" hidden="false" customHeight="false" outlineLevel="0" collapsed="false">
      <c r="A133" s="139" t="s">
        <v>29</v>
      </c>
      <c r="B133" s="181" t="n">
        <f aca="false">Capitalization!C12+7479138</f>
        <v>70584349.3170732</v>
      </c>
      <c r="C133" s="181" t="n">
        <f aca="false">Capitalization!D12+7479138</f>
        <v>67691508.7317073</v>
      </c>
      <c r="D133" s="182" t="n">
        <f aca="false">Capitalization!E12+7479138</f>
        <v>67691508.7317073</v>
      </c>
      <c r="E133" s="183" t="n">
        <f aca="false">Capitalization!F12+7479138</f>
        <v>70118927.2682927</v>
      </c>
      <c r="F133" s="186" t="n">
        <f aca="false">Capitalization!G12+7479138</f>
        <v>56368894.097561</v>
      </c>
      <c r="G133" s="183" t="n">
        <f aca="false">Capitalization!H12+9305739</f>
        <v>55245251.195122</v>
      </c>
      <c r="H133" s="182" t="n">
        <f aca="false">Capitalization!I12+9305739</f>
        <v>52961391.5268293</v>
      </c>
      <c r="I133" s="184" t="n">
        <f aca="false">Capitalization!J12+9305739</f>
        <v>50858200.5804878</v>
      </c>
      <c r="J133" s="185" t="n">
        <f aca="false">Capitalization!K12+9305739</f>
        <v>48501836.5609756</v>
      </c>
      <c r="K133" s="183" t="n">
        <f aca="false">Capitalization!L12+9305739</f>
        <v>45973056.0731707</v>
      </c>
      <c r="L133" s="182" t="n">
        <f aca="false">Capitalization!M12+9305739</f>
        <v>45130129.2439024</v>
      </c>
      <c r="M133" s="183" t="n">
        <f aca="false">Capitalization!N12+9305739</f>
        <v>45130129.2439024</v>
      </c>
      <c r="N133" s="183" t="n">
        <f aca="false">Capitalization!O12+9305739</f>
        <v>43022812.1707317</v>
      </c>
      <c r="O133" s="186" t="n">
        <f aca="false">Capitalization!P12+9305739</f>
        <v>43010227.2731707</v>
      </c>
      <c r="P133" s="186" t="n">
        <f aca="false">Capitalization!Q12+7613707</f>
        <v>42173707</v>
      </c>
      <c r="Q133" s="185" t="n">
        <f aca="false">Capitalization!R12+7613707</f>
        <v>44512828.9512195</v>
      </c>
      <c r="R133" s="182" t="n">
        <f aca="false">Capitalization!S12+7613707</f>
        <v>45966877.7317073</v>
      </c>
      <c r="S133" s="183" t="n">
        <f aca="false">Capitalization!T12+7613707</f>
        <v>45966877.7317073</v>
      </c>
      <c r="T133" s="186" t="n">
        <f aca="false">Capitalization!U12+7613707</f>
        <v>43863775.2926829</v>
      </c>
      <c r="U133" s="182" t="n">
        <f aca="false">Capitalization!V12+7301739</f>
        <v>42285309.7317073</v>
      </c>
      <c r="V133" s="183" t="n">
        <f aca="false">Capitalization!W12+7301739</f>
        <v>46076794.6097561</v>
      </c>
      <c r="W133" s="183" t="n">
        <f aca="false">Capitalization!X12+7301739</f>
        <v>46076794.6097561</v>
      </c>
      <c r="X133" s="184" t="n">
        <f aca="false">Capitalization!Y12+7301739</f>
        <v>46076794.6097561</v>
      </c>
      <c r="Y133" s="185" t="n">
        <f aca="false">Capitalization!Z12+7301739</f>
        <v>50227787.7804878</v>
      </c>
      <c r="Z133" s="182" t="n">
        <f aca="false">Capitalization!AA12+7301739</f>
        <v>51976860.9512195</v>
      </c>
      <c r="AA133" s="183" t="n">
        <f aca="false">Capitalization!AB12+7301739</f>
        <v>51274420.5219512</v>
      </c>
      <c r="AB133" s="186" t="n">
        <f aca="false">Capitalization!AC12+7301739</f>
        <v>52819787.7804878</v>
      </c>
      <c r="AC133" s="182" t="n">
        <f aca="false">Capitalization!AD12+5989707</f>
        <v>48093902.1219512</v>
      </c>
      <c r="AD133" s="185" t="n">
        <f aca="false">Capitalization!AE12+5989707</f>
        <v>49821902.1219512</v>
      </c>
      <c r="AE133" s="182" t="n">
        <f aca="false">Capitalization!AF12+5989707</f>
        <v>43499950.902439</v>
      </c>
      <c r="AF133" s="183" t="n">
        <f aca="false">Capitalization!AG12+5989707</f>
        <v>41720439.6439024</v>
      </c>
      <c r="AG133" s="186" t="n">
        <f aca="false">Capitalization!AH12+5989707</f>
        <v>40549601.6341463</v>
      </c>
      <c r="AH133" s="237" t="n">
        <f aca="false">Capitalization!AI12+3920780</f>
        <v>39112975.1219512</v>
      </c>
      <c r="AI133" s="184" t="n">
        <f aca="false">Capitalization!AJ12+3920780</f>
        <v>38902243.4146341</v>
      </c>
      <c r="AJ133" s="239" t="n">
        <f aca="false">Capitalization!AK12+3920780</f>
        <v>36258517.2097561</v>
      </c>
      <c r="AK133" s="237" t="n">
        <f aca="false">Capitalization!AL12+3920780</f>
        <v>36588409.2682927</v>
      </c>
      <c r="AL133" s="183" t="n">
        <f aca="false">Capitalization!AM12+3920780</f>
        <v>36520975.1219512</v>
      </c>
      <c r="AM133" s="186" t="n">
        <f aca="false">Capitalization!AN12+3920780</f>
        <v>35109072.6829268</v>
      </c>
      <c r="AN133" s="186" t="n">
        <f aca="false">Capitalization!AO12+3791837</f>
        <v>35823056.5121951</v>
      </c>
      <c r="AO133" s="185" t="n">
        <f aca="false">Capitalization!AP12+3791837</f>
        <v>33311134.5609756</v>
      </c>
      <c r="AP133" s="182" t="n">
        <f aca="false">Capitalization!AQ12+3791837</f>
        <v>32029885.7804878</v>
      </c>
      <c r="AQ133" s="183" t="n">
        <f aca="false">Capitalization!AR12+3791837</f>
        <v>31397690.6585366</v>
      </c>
    </row>
    <row r="134" customFormat="false" ht="12.8" hidden="false" customHeight="false" outlineLevel="0" collapsed="false">
      <c r="A134" s="139" t="s">
        <v>186</v>
      </c>
      <c r="B134" s="181" t="n">
        <f aca="false">Capitalization!C13-762130</f>
        <v>58234925.1039024</v>
      </c>
      <c r="C134" s="181" t="n">
        <f aca="false">Capitalization!D13-762130</f>
        <v>54904695.8536585</v>
      </c>
      <c r="D134" s="182" t="n">
        <f aca="false">Capitalization!E13-762130</f>
        <v>53286901.7073171</v>
      </c>
      <c r="E134" s="183" t="n">
        <f aca="false">Capitalization!F13-762130</f>
        <v>58066748.0487805</v>
      </c>
      <c r="F134" s="182" t="n">
        <f aca="false">Capitalization!G13-762130</f>
        <v>47051040.6341463</v>
      </c>
      <c r="G134" s="184" t="n">
        <f aca="false">Capitalization!H13-762130</f>
        <v>41315225.0243902</v>
      </c>
      <c r="H134" s="182" t="n">
        <f aca="false">Capitalization!I13-266284</f>
        <v>37604806.2439024</v>
      </c>
      <c r="I134" s="184" t="n">
        <f aca="false">Capitalization!J13-266284</f>
        <v>36501764.7804878</v>
      </c>
      <c r="J134" s="185" t="n">
        <f aca="false">Capitalization!K13-266284</f>
        <v>34840731.4087805</v>
      </c>
      <c r="K134" s="183" t="n">
        <f aca="false">Capitalization!L13-266284</f>
        <v>32089598.9268293</v>
      </c>
      <c r="L134" s="182" t="n">
        <f aca="false">Capitalization!M13-266284</f>
        <v>32089598.9268293</v>
      </c>
      <c r="M134" s="183" t="n">
        <f aca="false">Capitalization!N13-266284</f>
        <v>32089598.9268293</v>
      </c>
      <c r="N134" s="183" t="n">
        <f aca="false">Capitalization!O13-266284</f>
        <v>31721918.4390244</v>
      </c>
      <c r="O134" s="186" t="n">
        <f aca="false">Capitalization!P13-266284</f>
        <v>32310207.2195122</v>
      </c>
      <c r="P134" s="186" t="n">
        <f aca="false">Capitalization!Q13+729886</f>
        <v>34188810.3902439</v>
      </c>
      <c r="Q134" s="185" t="n">
        <f aca="false">Capitalization!R13+729886</f>
        <v>33085768.9268293</v>
      </c>
      <c r="R134" s="182" t="n">
        <f aca="false">Capitalization!S13+729886</f>
        <v>33085768.9268293</v>
      </c>
      <c r="S134" s="183" t="n">
        <f aca="false">Capitalization!T13+729886</f>
        <v>33027454.8014634</v>
      </c>
      <c r="T134" s="186" t="n">
        <f aca="false">Capitalization!U13+729886</f>
        <v>34254992.8780488</v>
      </c>
      <c r="U134" s="182" t="n">
        <f aca="false">Capitalization!V13+581073</f>
        <v>34407677.8780488</v>
      </c>
      <c r="V134" s="183" t="n">
        <f aca="false">Capitalization!W13+581073</f>
        <v>35143038.8536585</v>
      </c>
      <c r="W134" s="183" t="n">
        <f aca="false">Capitalization!X13+581073</f>
        <v>35143038.8536585</v>
      </c>
      <c r="X134" s="184" t="n">
        <f aca="false">Capitalization!Y13+581073</f>
        <v>35143038.8536585</v>
      </c>
      <c r="Y134" s="185" t="n">
        <f aca="false">Capitalization!Z13+581073</f>
        <v>36246080.3170732</v>
      </c>
      <c r="Z134" s="182" t="n">
        <f aca="false">Capitalization!AA13+581073</f>
        <v>35143038.8536585</v>
      </c>
      <c r="AA134" s="183" t="n">
        <f aca="false">Capitalization!AB13+581073</f>
        <v>37341768.1707317</v>
      </c>
      <c r="AB134" s="186" t="n">
        <f aca="false">Capitalization!AC13+581073</f>
        <v>33672316.902439</v>
      </c>
      <c r="AC134" s="182" t="n">
        <f aca="false">Capitalization!AD13+816780</f>
        <v>31415150.195122</v>
      </c>
      <c r="AD134" s="185" t="n">
        <f aca="false">Capitalization!AE13+816780</f>
        <v>31458462.9565854</v>
      </c>
      <c r="AE134" s="182" t="n">
        <f aca="false">Capitalization!AF13+816780</f>
        <v>30231219.0243902</v>
      </c>
      <c r="AF134" s="183" t="n">
        <f aca="false">Capitalization!AG13+816780</f>
        <v>30231219.0243902</v>
      </c>
      <c r="AG134" s="186" t="n">
        <f aca="false">Capitalization!AH13+816780</f>
        <v>33760951.7073171</v>
      </c>
      <c r="AH134" s="182" t="n">
        <f aca="false">Capitalization!AI13+478585</f>
        <v>32834467.9268293</v>
      </c>
      <c r="AI134" s="184" t="n">
        <f aca="false">Capitalization!AJ13+478585</f>
        <v>42394160.6097561</v>
      </c>
      <c r="AJ134" s="185" t="n">
        <f aca="false">Capitalization!AK13+478585</f>
        <v>41881025.7209756</v>
      </c>
      <c r="AK134" s="182" t="n">
        <f aca="false">Capitalization!AL13+478585</f>
        <v>39533606.4146341</v>
      </c>
      <c r="AL134" s="183" t="n">
        <f aca="false">Capitalization!AM13+478585</f>
        <v>39526252.8048781</v>
      </c>
      <c r="AM134" s="186" t="n">
        <f aca="false">Capitalization!AN13+478585</f>
        <v>39710093.0487805</v>
      </c>
      <c r="AN134" s="186" t="n">
        <f aca="false">Capitalization!AO13+513902</f>
        <v>37658823.2804878</v>
      </c>
      <c r="AO134" s="185" t="n">
        <f aca="false">Capitalization!AP13+513902</f>
        <v>37281950.7804878</v>
      </c>
      <c r="AP134" s="182" t="n">
        <f aca="false">Capitalization!AQ13+513902</f>
        <v>36367676.4795122</v>
      </c>
      <c r="AQ134" s="183" t="n">
        <f aca="false">Capitalization!AR13+513902</f>
        <v>35438768.495122</v>
      </c>
    </row>
    <row r="135" customFormat="false" ht="12.8" hidden="false" customHeight="false" outlineLevel="0" collapsed="false">
      <c r="A135" s="139" t="s">
        <v>187</v>
      </c>
      <c r="B135" s="181" t="n">
        <f aca="false">Capitalization!C14+69309934</f>
        <v>102117636.034797</v>
      </c>
      <c r="C135" s="181" t="n">
        <f aca="false">Capitalization!D14+69309934</f>
        <v>102597934.325203</v>
      </c>
      <c r="D135" s="182" t="n">
        <f aca="false">Capitalization!E14+69309934</f>
        <v>102597934.325203</v>
      </c>
      <c r="E135" s="183" t="n">
        <f aca="false">Capitalization!F14+69309934</f>
        <v>101796644.603089</v>
      </c>
      <c r="F135" s="186" t="n">
        <f aca="false">Capitalization!G14+69309934</f>
        <v>102360162.894309</v>
      </c>
      <c r="G135" s="183" t="n">
        <f aca="false">Capitalization!H14+71353658</f>
        <v>102739486.878049</v>
      </c>
      <c r="H135" s="182" t="n">
        <f aca="false">Capitalization!I14+71353658</f>
        <v>102977258.308943</v>
      </c>
      <c r="I135" s="184" t="n">
        <f aca="false">Capitalization!J14+71353658</f>
        <v>105830515.479675</v>
      </c>
      <c r="J135" s="185" t="n">
        <f aca="false">Capitalization!K14+71353658</f>
        <v>101550629.723577</v>
      </c>
      <c r="K135" s="183" t="n">
        <f aca="false">Capitalization!L14+71353658</f>
        <v>102214012.015772</v>
      </c>
      <c r="L135" s="182" t="n">
        <f aca="false">Capitalization!M14+71353658</f>
        <v>101312858.292683</v>
      </c>
      <c r="M135" s="183" t="n">
        <f aca="false">Capitalization!N14+71353658</f>
        <v>101312858.292683</v>
      </c>
      <c r="N135" s="183" t="n">
        <f aca="false">Capitalization!O14+71353658</f>
        <v>101075086.861789</v>
      </c>
      <c r="O135" s="186" t="n">
        <f aca="false">Capitalization!P14+71353658</f>
        <v>102263944.01626</v>
      </c>
      <c r="P135" s="186" t="n">
        <f aca="false">Capitalization!Q14+82924211</f>
        <v>114785582.739837</v>
      </c>
      <c r="Q135" s="185" t="n">
        <f aca="false">Capitalization!R14+82924211</f>
        <v>114310039.878049</v>
      </c>
      <c r="R135" s="182" t="n">
        <f aca="false">Capitalization!S14+82924211</f>
        <v>110981239.845528</v>
      </c>
      <c r="S135" s="183" t="n">
        <f aca="false">Capitalization!T14+82924211</f>
        <v>111806306.710732</v>
      </c>
      <c r="T135" s="186" t="n">
        <f aca="false">Capitalization!U14+82924211</f>
        <v>111666021.566504</v>
      </c>
      <c r="U135" s="182" t="n">
        <f aca="false">Capitalization!V14+74630601</f>
        <v>100785458.398374</v>
      </c>
      <c r="V135" s="183" t="n">
        <f aca="false">Capitalization!W14+74630601</f>
        <v>97456658.3658537</v>
      </c>
      <c r="W135" s="183" t="n">
        <f aca="false">Capitalization!X14+74630601</f>
        <v>95530709.7756098</v>
      </c>
      <c r="X135" s="184" t="n">
        <f aca="false">Capitalization!Y14+74630601</f>
        <v>96267801.2113821</v>
      </c>
      <c r="Y135" s="185" t="n">
        <f aca="false">Capitalization!Z14+74630601</f>
        <v>98169972.6585366</v>
      </c>
      <c r="Z135" s="182" t="n">
        <f aca="false">Capitalization!AA14+74630601</f>
        <v>96103738.924065</v>
      </c>
      <c r="AA135" s="183" t="n">
        <f aca="false">Capitalization!AB14+74630601</f>
        <v>97932201.2276423</v>
      </c>
      <c r="AB135" s="186" t="n">
        <f aca="false">Capitalization!AC14+74630601</f>
        <v>96743344.0731707</v>
      </c>
      <c r="AC135" s="182" t="n">
        <f aca="false">Capitalization!AD14+87291869</f>
        <v>102033697.715447</v>
      </c>
      <c r="AD135" s="185" t="n">
        <f aca="false">Capitalization!AE14+87291869</f>
        <v>102609104.578211</v>
      </c>
      <c r="AE135" s="182" t="n">
        <f aca="false">Capitalization!AF14+87291869</f>
        <v>104411412.02439</v>
      </c>
      <c r="AF135" s="184" t="n">
        <f aca="false">Capitalization!AG14+87291869</f>
        <v>105350609.176423</v>
      </c>
      <c r="AG135" s="182" t="n">
        <f aca="false">Capitalization!AH14+91582227</f>
        <v>109890627.178862</v>
      </c>
      <c r="AH135" s="182" t="n">
        <f aca="false">Capitalization!AI14+91582227</f>
        <v>109177312.886179</v>
      </c>
      <c r="AI135" s="184" t="n">
        <f aca="false">Capitalization!AJ14+91582227</f>
        <v>113457198.642276</v>
      </c>
      <c r="AJ135" s="185" t="n">
        <f aca="false">Capitalization!AK14+91582227</f>
        <v>113668815.215772</v>
      </c>
      <c r="AK135" s="187" t="n">
        <f aca="false">Capitalization!AL14+91582227</f>
        <v>117261541.536585</v>
      </c>
      <c r="AL135" s="184" t="n">
        <f aca="false">Capitalization!AM14+91582227</f>
        <v>115356992.375122</v>
      </c>
      <c r="AM135" s="182" t="n">
        <f aca="false">Capitalization!AN14+81449707</f>
        <v>106415707.243902</v>
      </c>
      <c r="AN135" s="186" t="n">
        <f aca="false">Capitalization!AO14+81449707</f>
        <v>107604564.398374</v>
      </c>
      <c r="AO135" s="185" t="n">
        <f aca="false">Capitalization!AP14+81449707</f>
        <v>108555650.121951</v>
      </c>
      <c r="AP135" s="182" t="n">
        <f aca="false">Capitalization!AQ14+81449707</f>
        <v>115631727.905366</v>
      </c>
      <c r="AQ135" s="183" t="n">
        <f aca="false">Capitalization!AR14+81449707</f>
        <v>113548850.170732</v>
      </c>
    </row>
    <row r="136" customFormat="false" ht="12.8" hidden="false" customHeight="false" outlineLevel="0" collapsed="false">
      <c r="A136" s="139" t="s">
        <v>188</v>
      </c>
      <c r="B136" s="181" t="n">
        <f aca="false">Capitalization!C15+26300048</f>
        <v>55763706.5365854</v>
      </c>
      <c r="C136" s="181" t="n">
        <f aca="false">Capitalization!D15+26300048</f>
        <v>55763706.5365854</v>
      </c>
      <c r="D136" s="182" t="n">
        <f aca="false">Capitalization!E15+26300048</f>
        <v>55763706.5365854</v>
      </c>
      <c r="E136" s="183" t="n">
        <f aca="false">Capitalization!F15+26300048</f>
        <v>55763706.5365854</v>
      </c>
      <c r="F136" s="186" t="n">
        <f aca="false">Capitalization!G15+26300048</f>
        <v>55763706.5365854</v>
      </c>
      <c r="G136" s="183" t="n">
        <f aca="false">Capitalization!H15+24108699</f>
        <v>52692845.3414634</v>
      </c>
      <c r="H136" s="182" t="n">
        <f aca="false">Capitalization!I15+24108699</f>
        <v>52692845.3414634</v>
      </c>
      <c r="I136" s="184" t="n">
        <f aca="false">Capitalization!J15+24108699</f>
        <v>50933820.9512195</v>
      </c>
      <c r="J136" s="185" t="n">
        <f aca="false">Capitalization!K15+24108699</f>
        <v>50938218.5121951</v>
      </c>
      <c r="K136" s="183" t="n">
        <f aca="false">Capitalization!L15+24108699</f>
        <v>49443047.7804878</v>
      </c>
      <c r="L136" s="182" t="n">
        <f aca="false">Capitalization!M15+24108699</f>
        <v>49443047.7804878</v>
      </c>
      <c r="M136" s="183" t="n">
        <f aca="false">Capitalization!N15+24108699</f>
        <v>49443047.7804878</v>
      </c>
      <c r="N136" s="183" t="n">
        <f aca="false">Capitalization!O15+24108699</f>
        <v>49174796.5609756</v>
      </c>
      <c r="O136" s="186" t="n">
        <f aca="false">Capitalization!P15+24108699</f>
        <v>49183591.6829268</v>
      </c>
      <c r="P136" s="186" t="n">
        <f aca="false">Capitalization!Q15+19041333</f>
        <v>44208574.4634146</v>
      </c>
      <c r="Q136" s="185" t="n">
        <f aca="false">Capitalization!R15+19041333</f>
        <v>43236713.4878049</v>
      </c>
      <c r="R136" s="182" t="n">
        <f aca="false">Capitalization!S15+19041333</f>
        <v>41864674.4634146</v>
      </c>
      <c r="S136" s="183" t="n">
        <f aca="false">Capitalization!T15+19041333</f>
        <v>41864674.4634146</v>
      </c>
      <c r="T136" s="186" t="n">
        <f aca="false">Capitalization!U15+19041333</f>
        <v>41073113.4878049</v>
      </c>
      <c r="U136" s="182" t="n">
        <f aca="false">Capitalization!V15+18978341</f>
        <v>43164926.3658537</v>
      </c>
      <c r="V136" s="183" t="n">
        <f aca="false">Capitalization!W15+18978341</f>
        <v>43164926.3658537</v>
      </c>
      <c r="W136" s="183" t="n">
        <f aca="false">Capitalization!X15+18978341</f>
        <v>43164926.3658537</v>
      </c>
      <c r="X136" s="184" t="n">
        <f aca="false">Capitalization!Y15+18978341</f>
        <v>43164926.3658537</v>
      </c>
      <c r="Y136" s="185" t="n">
        <f aca="false">Capitalization!Z15+18978341</f>
        <v>43164926.3658537</v>
      </c>
      <c r="Z136" s="182" t="n">
        <f aca="false">Capitalization!AA15+18978341</f>
        <v>42861494.6585366</v>
      </c>
      <c r="AA136" s="183" t="n">
        <f aca="false">Capitalization!AB15+18978341</f>
        <v>42575653.195122</v>
      </c>
      <c r="AB136" s="186" t="n">
        <f aca="false">Capitalization!AC15+18978341</f>
        <v>41845658.0731707</v>
      </c>
      <c r="AC136" s="182" t="n">
        <f aca="false">Capitalization!AD15+19972373</f>
        <v>41960177.8780488</v>
      </c>
      <c r="AD136" s="185" t="n">
        <f aca="false">Capitalization!AE15+19972373</f>
        <v>39765794.9512195</v>
      </c>
      <c r="AE136" s="182" t="n">
        <f aca="false">Capitalization!AF15+19972373</f>
        <v>39770192.5121951</v>
      </c>
      <c r="AF136" s="184" t="n">
        <f aca="false">Capitalization!AG15+19972373</f>
        <v>39770192.5121951</v>
      </c>
      <c r="AG136" s="182" t="n">
        <f aca="false">Capitalization!AH15+19924699</f>
        <v>40742752.6585366</v>
      </c>
      <c r="AH136" s="182" t="n">
        <f aca="false">Capitalization!AI15+19924699</f>
        <v>41736601.4390244</v>
      </c>
      <c r="AI136" s="184" t="n">
        <f aca="false">Capitalization!AJ15+19924699</f>
        <v>44061328.0731707</v>
      </c>
      <c r="AJ136" s="185" t="n">
        <f aca="false">Capitalization!AK15+19924699</f>
        <v>45078747.7804878</v>
      </c>
      <c r="AK136" s="187" t="n">
        <f aca="false">Capitalization!AL15+19924699</f>
        <v>44111284.3658537</v>
      </c>
      <c r="AL136" s="184" t="n">
        <f aca="false">Capitalization!AM15+19924699</f>
        <v>42572138.0243902</v>
      </c>
      <c r="AM136" s="182" t="n">
        <f aca="false">Capitalization!AN15+18726325</f>
        <v>42912910.3658537</v>
      </c>
      <c r="AN136" s="186" t="n">
        <f aca="false">Capitalization!AO15+18726325</f>
        <v>42912910.3658537</v>
      </c>
      <c r="AO136" s="185" t="n">
        <f aca="false">Capitalization!AP15+18726325</f>
        <v>39869798.1707317</v>
      </c>
      <c r="AP136" s="182" t="n">
        <f aca="false">Capitalization!AQ15+18726325</f>
        <v>39869798.1707317</v>
      </c>
      <c r="AQ136" s="183" t="n">
        <f aca="false">Capitalization!AR15+18726325</f>
        <v>40274373.7804878</v>
      </c>
    </row>
    <row r="137" customFormat="false" ht="12.8" hidden="false" customHeight="false" outlineLevel="0" collapsed="false">
      <c r="A137" s="139" t="s">
        <v>189</v>
      </c>
      <c r="B137" s="182" t="n">
        <f aca="false">Capitalization!C16+90384390</f>
        <v>116146265.590244</v>
      </c>
      <c r="C137" s="182" t="n">
        <f aca="false">Capitalization!D16+90384390</f>
        <v>116956721.707317</v>
      </c>
      <c r="D137" s="182" t="n">
        <f aca="false">Capitalization!E16+90384390</f>
        <v>117443881.121951</v>
      </c>
      <c r="E137" s="183" t="n">
        <f aca="false">Capitalization!F16+90384390</f>
        <v>113266120.081301</v>
      </c>
      <c r="F137" s="182" t="n">
        <f aca="false">Capitalization!G16+90384390</f>
        <v>111974409.512195</v>
      </c>
      <c r="G137" s="183" t="n">
        <f aca="false">Capitalization!H16+90384390</f>
        <v>111789879.430894</v>
      </c>
      <c r="H137" s="186" t="n">
        <f aca="false">Capitalization!I16+90384390</f>
        <v>111863691.463415</v>
      </c>
      <c r="I137" s="184" t="n">
        <f aca="false">Capitalization!J16+88374829</f>
        <v>109765556.02439</v>
      </c>
      <c r="J137" s="185" t="n">
        <f aca="false">Capitalization!K16+88374829</f>
        <v>109780318.430894</v>
      </c>
      <c r="K137" s="183" t="n">
        <f aca="false">Capitalization!L16+88374829</f>
        <v>106828280.002276</v>
      </c>
      <c r="L137" s="182" t="n">
        <f aca="false">Capitalization!M16+88374829</f>
        <v>106830051.491057</v>
      </c>
      <c r="M137" s="183" t="n">
        <f aca="false">Capitalization!N16+88374829</f>
        <v>106827837.130081</v>
      </c>
      <c r="N137" s="183" t="n">
        <f aca="false">Capitalization!O16+88374829</f>
        <v>106827099.009756</v>
      </c>
      <c r="O137" s="182" t="n">
        <f aca="false">Capitalization!P16+88374829</f>
        <v>106813074.723577</v>
      </c>
      <c r="P137" s="186" t="n">
        <f aca="false">Capitalization!Q16+88374829</f>
        <v>108318840.186992</v>
      </c>
      <c r="Q137" s="185" t="n">
        <f aca="false">Capitalization!R16+97408471</f>
        <v>117411531.813008</v>
      </c>
      <c r="R137" s="182" t="n">
        <f aca="false">Capitalization!S16+97408471</f>
        <v>117780591.97561</v>
      </c>
      <c r="S137" s="183" t="n">
        <f aca="false">Capitalization!T16+97408471</f>
        <v>117485343.845528</v>
      </c>
      <c r="T137" s="182" t="n">
        <f aca="false">Capitalization!U16+97408471</f>
        <v>118381864.79252</v>
      </c>
      <c r="U137" s="186" t="n">
        <f aca="false">Capitalization!V16+97408471</f>
        <v>117928216.04065</v>
      </c>
      <c r="V137" s="183" t="n">
        <f aca="false">Capitalization!W16+96336325</f>
        <v>116908476.58374</v>
      </c>
      <c r="W137" s="183" t="n">
        <f aca="false">Capitalization!X16+96336325</f>
        <v>115675077.520325</v>
      </c>
      <c r="X137" s="184" t="n">
        <f aca="false">Capitalization!Y16+96336325</f>
        <v>115675077.520325</v>
      </c>
      <c r="Y137" s="185" t="n">
        <f aca="false">Capitalization!Z16+96336325</f>
        <v>117446566.300813</v>
      </c>
      <c r="Z137" s="182" t="n">
        <f aca="false">Capitalization!AA16+96336325</f>
        <v>117151318.170732</v>
      </c>
      <c r="AA137" s="183" t="n">
        <f aca="false">Capitalization!AB16+96336325</f>
        <v>117712880.114146</v>
      </c>
      <c r="AB137" s="183" t="n">
        <f aca="false">Capitalization!AC16+96336325</f>
        <v>117892095.729106</v>
      </c>
      <c r="AC137" s="182" t="n">
        <f aca="false">Capitalization!AD16+96336325</f>
        <v>117003694.105691</v>
      </c>
      <c r="AD137" s="185" t="n">
        <f aca="false">Capitalization!AE16+92170097</f>
        <v>112154704.804878</v>
      </c>
      <c r="AE137" s="182" t="n">
        <f aca="false">Capitalization!AF16+92170097</f>
        <v>111361225.455285</v>
      </c>
      <c r="AF137" s="183" t="n">
        <f aca="false">Capitalization!AG16+92170097</f>
        <v>111877466.810732</v>
      </c>
      <c r="AG137" s="182" t="n">
        <f aca="false">Capitalization!AH16+92170097</f>
        <v>109442112.609756</v>
      </c>
      <c r="AH137" s="182" t="n">
        <f aca="false">Capitalization!AI16+92170097</f>
        <v>109383062.98374</v>
      </c>
      <c r="AI137" s="184" t="n">
        <f aca="false">Capitalization!AJ16+92170097</f>
        <v>116867603.081301</v>
      </c>
      <c r="AJ137" s="185" t="n">
        <f aca="false">Capitalization!AK16+85644308</f>
        <v>108647089.814634</v>
      </c>
      <c r="AK137" s="182" t="n">
        <f aca="false">Capitalization!AL16+85644308</f>
        <v>106754549.300813</v>
      </c>
      <c r="AL137" s="183" t="n">
        <f aca="false">Capitalization!AM16+85644308</f>
        <v>107492669.626016</v>
      </c>
      <c r="AM137" s="182" t="n">
        <f aca="false">Capitalization!AN16+85644308</f>
        <v>104687812.390244</v>
      </c>
      <c r="AN137" s="186" t="n">
        <f aca="false">Capitalization!AO16+85644308</f>
        <v>106016428.97561</v>
      </c>
      <c r="AO137" s="185" t="n">
        <f aca="false">Capitalization!AP16+81241349</f>
        <v>100050278.750894</v>
      </c>
      <c r="AP137" s="182" t="n">
        <f aca="false">Capitalization!AQ16+81241349</f>
        <v>98942212.5186992</v>
      </c>
      <c r="AQ137" s="183" t="n">
        <f aca="false">Capitalization!AR16+81241349</f>
        <v>97657145.0325203</v>
      </c>
    </row>
    <row r="138" customFormat="false" ht="12.8" hidden="false" customHeight="false" outlineLevel="0" collapsed="false">
      <c r="A138" s="139" t="s">
        <v>190</v>
      </c>
      <c r="B138" s="181" t="n">
        <f aca="false">Capitalization!C17+105658</f>
        <v>22492191.6585366</v>
      </c>
      <c r="C138" s="181" t="n">
        <f aca="false">Capitalization!D17+105658</f>
        <v>22498682.3902439</v>
      </c>
      <c r="D138" s="182" t="n">
        <f aca="false">Capitalization!E17+105658</f>
        <v>22498682.3902439</v>
      </c>
      <c r="E138" s="183" t="n">
        <f aca="false">Capitalization!F17+105658</f>
        <v>22498682.3902439</v>
      </c>
      <c r="F138" s="186" t="n">
        <f aca="false">Capitalization!G17+105658</f>
        <v>22498682.3902439</v>
      </c>
      <c r="G138" s="183" t="n">
        <f aca="false">Capitalization!H17+78845</f>
        <v>22342054.7560976</v>
      </c>
      <c r="H138" s="182" t="n">
        <f aca="false">Capitalization!I17+78845</f>
        <v>21693630.6585366</v>
      </c>
      <c r="I138" s="184" t="n">
        <f aca="false">Capitalization!J17+78845</f>
        <v>21693630.6585366</v>
      </c>
      <c r="J138" s="185" t="n">
        <f aca="false">Capitalization!K17+78845</f>
        <v>19616596.5121951</v>
      </c>
      <c r="K138" s="183" t="n">
        <f aca="false">Capitalization!L17+78845</f>
        <v>19616596.5121951</v>
      </c>
      <c r="L138" s="182" t="n">
        <f aca="false">Capitalization!M17+78845</f>
        <v>19616596.5121951</v>
      </c>
      <c r="M138" s="183" t="n">
        <f aca="false">Capitalization!N17+78845</f>
        <v>19616596.5121951</v>
      </c>
      <c r="N138" s="183" t="n">
        <f aca="false">Capitalization!O17+78845</f>
        <v>19616596.5121951</v>
      </c>
      <c r="O138" s="186" t="n">
        <f aca="false">Capitalization!P17+78845</f>
        <v>19551040.1219512</v>
      </c>
      <c r="P138" s="186" t="n">
        <f aca="false">Capitalization!Q17-146081</f>
        <v>20624260.4634146</v>
      </c>
      <c r="Q138" s="185" t="n">
        <f aca="false">Capitalization!R17-146081</f>
        <v>20624260.4634146</v>
      </c>
      <c r="R138" s="182" t="n">
        <f aca="false">Capitalization!S17-146081</f>
        <v>21272035.4878049</v>
      </c>
      <c r="S138" s="183" t="n">
        <f aca="false">Capitalization!T17-146081</f>
        <v>21273333.6341463</v>
      </c>
      <c r="T138" s="186" t="n">
        <f aca="false">Capitalization!U17-146081</f>
        <v>21273333.6341463</v>
      </c>
      <c r="U138" s="182" t="n">
        <f aca="false">Capitalization!V17+34764</f>
        <v>21454178.6341463</v>
      </c>
      <c r="V138" s="183" t="n">
        <f aca="false">Capitalization!W17+34764</f>
        <v>24050471.3170732</v>
      </c>
      <c r="W138" s="183" t="n">
        <f aca="false">Capitalization!X17+34764</f>
        <v>24050471.3170732</v>
      </c>
      <c r="X138" s="184" t="n">
        <f aca="false">Capitalization!Y17+34764</f>
        <v>24050471.3170732</v>
      </c>
      <c r="Y138" s="185" t="n">
        <f aca="false">Capitalization!Z17+34764</f>
        <v>24043980.5853659</v>
      </c>
      <c r="Z138" s="182" t="n">
        <f aca="false">Capitalization!AA17+34764</f>
        <v>24633339.0243902</v>
      </c>
      <c r="AA138" s="183" t="n">
        <f aca="false">Capitalization!AB17+34764</f>
        <v>22428437.4634146</v>
      </c>
      <c r="AB138" s="186" t="n">
        <f aca="false">Capitalization!AC17+34764</f>
        <v>22427788.3902439</v>
      </c>
      <c r="AC138" s="182" t="n">
        <f aca="false">Capitalization!AD17+2660813</f>
        <v>25053837.3902439</v>
      </c>
      <c r="AD138" s="185" t="n">
        <f aca="false">Capitalization!AE17+2660813</f>
        <v>24080227.6341463</v>
      </c>
      <c r="AE138" s="182" t="n">
        <f aca="false">Capitalization!AF17+2660813</f>
        <v>23719992.0243902</v>
      </c>
      <c r="AF138" s="183" t="n">
        <f aca="false">Capitalization!AG17+2660813</f>
        <v>23719992.0243902</v>
      </c>
      <c r="AG138" s="186" t="n">
        <f aca="false">Capitalization!AH17+2660813</f>
        <v>23106617.8780488</v>
      </c>
      <c r="AH138" s="182" t="n">
        <f aca="false">Capitalization!AI17+1916829</f>
        <v>26471267.0487805</v>
      </c>
      <c r="AI138" s="184" t="n">
        <f aca="false">Capitalization!AJ17+1916829</f>
        <v>26471267.0487805</v>
      </c>
      <c r="AJ138" s="185" t="n">
        <f aca="false">Capitalization!AK17+1916829</f>
        <v>28528829</v>
      </c>
      <c r="AK138" s="187" t="n">
        <f aca="false">Capitalization!AL17+1916829</f>
        <v>27555219.2439024</v>
      </c>
      <c r="AL138" s="181" t="n">
        <f aca="false">Capitalization!AM17+1916829</f>
        <v>27555219.2439024</v>
      </c>
      <c r="AM138" s="186" t="n">
        <f aca="false">Capitalization!AN17+1916829</f>
        <v>28595034.4634146</v>
      </c>
      <c r="AN138" s="186" t="n">
        <f aca="false">Capitalization!AO17+3987886</f>
        <v>32871642.097561</v>
      </c>
      <c r="AO138" s="185" t="n">
        <f aca="false">Capitalization!AP17+3987886</f>
        <v>33858233.3170732</v>
      </c>
      <c r="AP138" s="182" t="n">
        <f aca="false">Capitalization!AQ17+3987886</f>
        <v>34169788.4390244</v>
      </c>
      <c r="AQ138" s="183" t="n">
        <f aca="false">Capitalization!AR17+3987886</f>
        <v>32871642.097561</v>
      </c>
    </row>
    <row r="139" customFormat="false" ht="12.8" hidden="false" customHeight="false" outlineLevel="0" collapsed="false">
      <c r="A139" s="139" t="s">
        <v>26</v>
      </c>
      <c r="B139" s="181" t="n">
        <f aca="false">Capitalization!C18+111573967</f>
        <v>131886583.566667</v>
      </c>
      <c r="C139" s="181" t="n">
        <f aca="false">Capitalization!D18+111573967</f>
        <v>132838405.211382</v>
      </c>
      <c r="D139" s="182" t="n">
        <f aca="false">Capitalization!E18+111573967</f>
        <v>131127284.432683</v>
      </c>
      <c r="E139" s="183" t="n">
        <f aca="false">Capitalization!F18+111573967</f>
        <v>131251506.837398</v>
      </c>
      <c r="F139" s="186" t="n">
        <f aca="false">Capitalization!G18+111573967</f>
        <v>130616747.487805</v>
      </c>
      <c r="G139" s="183" t="n">
        <f aca="false">Capitalization!H18+126076243</f>
        <v>144484264.138211</v>
      </c>
      <c r="H139" s="182" t="n">
        <f aca="false">Capitalization!I18+126076243</f>
        <v>142878322.98374</v>
      </c>
      <c r="I139" s="184" t="n">
        <f aca="false">Capitalization!J18+126076243</f>
        <v>142262606.414634</v>
      </c>
      <c r="J139" s="185" t="n">
        <f aca="false">Capitalization!K18+126076243</f>
        <v>141310467.390244</v>
      </c>
      <c r="K139" s="183" t="n">
        <f aca="false">Capitalization!L18+126076243</f>
        <v>143735248.105691</v>
      </c>
      <c r="L139" s="182" t="n">
        <f aca="false">Capitalization!M18+126076243</f>
        <v>143221093.03252</v>
      </c>
      <c r="M139" s="183" t="n">
        <f aca="false">Capitalization!N18+126076243</f>
        <v>141310467.390244</v>
      </c>
      <c r="N139" s="183" t="n">
        <f aca="false">Capitalization!O18+126076243</f>
        <v>141310467.390244</v>
      </c>
      <c r="O139" s="186" t="n">
        <f aca="false">Capitalization!P18+126076243</f>
        <v>141246991.455285</v>
      </c>
      <c r="P139" s="186" t="n">
        <f aca="false">Capitalization!Q18+109300357</f>
        <v>125804100.089431</v>
      </c>
      <c r="Q139" s="185" t="n">
        <f aca="false">Capitalization!R18+109300357</f>
        <v>124725009.195122</v>
      </c>
      <c r="R139" s="182" t="n">
        <f aca="false">Capitalization!S18+109300357</f>
        <v>126432511.845528</v>
      </c>
      <c r="S139" s="183" t="n">
        <f aca="false">Capitalization!T18+109300357</f>
        <v>126432511.845528</v>
      </c>
      <c r="T139" s="186" t="n">
        <f aca="false">Capitalization!U18+109300357</f>
        <v>128338884.600163</v>
      </c>
      <c r="U139" s="182" t="n">
        <f aca="false">Capitalization!V18+98758373</f>
        <v>118118533.162602</v>
      </c>
      <c r="V139" s="183" t="n">
        <f aca="false">Capitalization!W18+98758373</f>
        <v>117843872.792033</v>
      </c>
      <c r="W139" s="183" t="n">
        <f aca="false">Capitalization!X18+98758373</f>
        <v>117843872.792033</v>
      </c>
      <c r="X139" s="184" t="n">
        <f aca="false">Capitalization!Y18+98758373</f>
        <v>119705431.536585</v>
      </c>
      <c r="Y139" s="185" t="n">
        <f aca="false">Capitalization!Z18+98758373</f>
        <v>118435912.837398</v>
      </c>
      <c r="Z139" s="182" t="n">
        <f aca="false">Capitalization!AA18+98758373</f>
        <v>117801153.487805</v>
      </c>
      <c r="AA139" s="183" t="n">
        <f aca="false">Capitalization!AB18+98758373</f>
        <v>117801153.487805</v>
      </c>
      <c r="AB139" s="186" t="n">
        <f aca="false">Capitalization!AC18+98758373</f>
        <v>118753292.512195</v>
      </c>
      <c r="AC139" s="182" t="n">
        <f aca="false">Capitalization!AD18+100118487</f>
        <v>119072401.178862</v>
      </c>
      <c r="AD139" s="185" t="n">
        <f aca="false">Capitalization!AE18+100118487</f>
        <v>118463032.203252</v>
      </c>
      <c r="AE139" s="182" t="n">
        <f aca="false">Capitalization!AF18+100118487</f>
        <v>118666155.195122</v>
      </c>
      <c r="AF139" s="183" t="n">
        <f aca="false">Capitalization!AG18+100118487</f>
        <v>117602996.760488</v>
      </c>
      <c r="AG139" s="186" t="n">
        <f aca="false">Capitalization!AH18+100118487</f>
        <v>116626165.597398</v>
      </c>
      <c r="AH139" s="182" t="n">
        <f aca="false">Capitalization!AI18+102923512</f>
        <v>117522977.04065</v>
      </c>
      <c r="AI139" s="184" t="n">
        <f aca="false">Capitalization!AJ18+102923512</f>
        <v>123343148.993008</v>
      </c>
      <c r="AJ139" s="185" t="n">
        <f aca="false">Capitalization!AK18+102923512</f>
        <v>122601051.837398</v>
      </c>
      <c r="AK139" s="182" t="n">
        <f aca="false">Capitalization!AL18+102923512</f>
        <v>119761075.031382</v>
      </c>
      <c r="AL139" s="183" t="n">
        <f aca="false">Capitalization!AM18+102923512</f>
        <v>119014344.13252</v>
      </c>
      <c r="AM139" s="186" t="n">
        <f aca="false">Capitalization!AN18+102923512</f>
        <v>118034720.028293</v>
      </c>
      <c r="AN139" s="186" t="n">
        <f aca="false">Capitalization!AO18+101458926</f>
        <v>118269892.614634</v>
      </c>
      <c r="AO139" s="185" t="n">
        <f aca="false">Capitalization!AP18+101458926</f>
        <v>115042776.081301</v>
      </c>
      <c r="AP139" s="182" t="n">
        <f aca="false">Capitalization!AQ18+101458926</f>
        <v>116953401.723577</v>
      </c>
      <c r="AQ139" s="183" t="n">
        <f aca="false">Capitalization!AR18+101458926</f>
        <v>116058391.04065</v>
      </c>
    </row>
    <row r="140" customFormat="false" ht="12.8" hidden="false" customHeight="false" outlineLevel="0" collapsed="false">
      <c r="A140" s="139" t="s">
        <v>191</v>
      </c>
      <c r="B140" s="181" t="n">
        <f aca="false">Capitalization!C19-2189495</f>
        <v>16667070.8536585</v>
      </c>
      <c r="C140" s="181" t="n">
        <f aca="false">Capitalization!D19-2189495</f>
        <v>18368673.8873171</v>
      </c>
      <c r="D140" s="182" t="n">
        <f aca="false">Capitalization!E19-2189495</f>
        <v>18368673.8873171</v>
      </c>
      <c r="E140" s="183" t="n">
        <f aca="false">Capitalization!F19-2189495</f>
        <v>17811933.7804878</v>
      </c>
      <c r="F140" s="182" t="n">
        <f aca="false">Capitalization!G19-2189495</f>
        <v>18013968.4146341</v>
      </c>
      <c r="G140" s="183" t="n">
        <f aca="false">Capitalization!H19-2189495</f>
        <v>17212564.3658537</v>
      </c>
      <c r="H140" s="182" t="n">
        <f aca="false">Capitalization!I19-2189495</f>
        <v>16667070.8536585</v>
      </c>
      <c r="I140" s="184" t="n">
        <f aca="false">Capitalization!J19-2189495</f>
        <v>16667070.8536585</v>
      </c>
      <c r="J140" s="185" t="n">
        <f aca="false">Capitalization!K19+175658</f>
        <v>20305042.0487805</v>
      </c>
      <c r="K140" s="183" t="n">
        <f aca="false">Capitalization!L19+175658</f>
        <v>21052570.195122</v>
      </c>
      <c r="L140" s="182" t="n">
        <f aca="false">Capitalization!M19+175658</f>
        <v>21052570.195122</v>
      </c>
      <c r="M140" s="183" t="n">
        <f aca="false">Capitalization!N19+175658</f>
        <v>21052570.195122</v>
      </c>
      <c r="N140" s="183" t="n">
        <f aca="false">Capitalization!O19+175658</f>
        <v>20985225.3170732</v>
      </c>
      <c r="O140" s="182" t="n">
        <f aca="false">Capitalization!P19+175658</f>
        <v>21052570.195122</v>
      </c>
      <c r="P140" s="186" t="n">
        <f aca="false">Capitalization!Q19+175658</f>
        <v>17640407.2590244</v>
      </c>
      <c r="Q140" s="185" t="n">
        <f aca="false">Capitalization!R19+161040</f>
        <v>16997259.5121951</v>
      </c>
      <c r="R140" s="182" t="n">
        <f aca="false">Capitalization!S19+161040</f>
        <v>15428123.8536585</v>
      </c>
      <c r="S140" s="183" t="n">
        <f aca="false">Capitalization!T19+161040</f>
        <v>15515672.195122</v>
      </c>
      <c r="T140" s="182" t="n">
        <f aca="false">Capitalization!U19+161040</f>
        <v>15383272.1648781</v>
      </c>
      <c r="U140" s="182" t="n">
        <f aca="false">Capitalization!V19+161040</f>
        <v>15987086.3414634</v>
      </c>
      <c r="V140" s="184" t="n">
        <f aca="false">Capitalization!W19+161040</f>
        <v>15684034.3902439</v>
      </c>
      <c r="W140" s="183" t="n">
        <f aca="false">Capitalization!X19+785186</f>
        <v>16308180.3902439</v>
      </c>
      <c r="X140" s="184" t="n">
        <f aca="false">Capitalization!Y19+785186</f>
        <v>16308180.3902439</v>
      </c>
      <c r="Y140" s="185" t="n">
        <f aca="false">Capitalization!Z19+785186</f>
        <v>16611232.3414634</v>
      </c>
      <c r="Z140" s="182" t="n">
        <f aca="false">Capitalization!AA19+785186</f>
        <v>15762686.8780488</v>
      </c>
      <c r="AA140" s="183" t="n">
        <f aca="false">Capitalization!AB19+785186</f>
        <v>15897376.6341463</v>
      </c>
      <c r="AB140" s="182" t="n">
        <f aca="false">Capitalization!AC19+785186</f>
        <v>14523541.1219512</v>
      </c>
      <c r="AC140" s="186" t="n">
        <f aca="false">Capitalization!AD19+785186</f>
        <v>13580712.8292683</v>
      </c>
      <c r="AD140" s="185" t="n">
        <f aca="false">Capitalization!AE19+1370585</f>
        <v>14502836.2195122</v>
      </c>
      <c r="AE140" s="182" t="n">
        <f aca="false">Capitalization!AF19+1370585</f>
        <v>14866498.5609756</v>
      </c>
      <c r="AF140" s="183" t="n">
        <f aca="false">Capitalization!AG19+1370585</f>
        <v>14078563.4878049</v>
      </c>
      <c r="AG140" s="186" t="n">
        <f aca="false">Capitalization!AH19+1370585</f>
        <v>10963256.7741463</v>
      </c>
      <c r="AH140" s="182" t="n">
        <f aca="false">Capitalization!AI19+781821</f>
        <v>14217124.1707317</v>
      </c>
      <c r="AI140" s="184" t="n">
        <f aca="false">Capitalization!AJ19+781821</f>
        <v>15932869.6287805</v>
      </c>
      <c r="AJ140" s="185" t="n">
        <f aca="false">Capitalization!AK19+781821</f>
        <v>16271142.9512195</v>
      </c>
      <c r="AK140" s="182" t="n">
        <f aca="false">Capitalization!AL19+781821</f>
        <v>16944591.7317073</v>
      </c>
      <c r="AL140" s="183" t="n">
        <f aca="false">Capitalization!AM19+781821</f>
        <v>16614601.8292683</v>
      </c>
      <c r="AM140" s="186" t="n">
        <f aca="false">Capitalization!AN19+781821</f>
        <v>16841015.3092683</v>
      </c>
      <c r="AN140" s="186" t="n">
        <f aca="false">Capitalization!AO19+795056</f>
        <v>15819698.2926829</v>
      </c>
      <c r="AO140" s="185" t="n">
        <f aca="false">Capitalization!AP19+795056</f>
        <v>16250503.477561</v>
      </c>
      <c r="AP140" s="182" t="n">
        <f aca="false">Capitalization!AQ19+795056</f>
        <v>16284377.9512195</v>
      </c>
      <c r="AQ140" s="183" t="n">
        <f aca="false">Capitalization!AR19+795056</f>
        <v>15947653.5609756</v>
      </c>
    </row>
    <row r="141" customFormat="false" ht="12.8" hidden="false" customHeight="false" outlineLevel="0" collapsed="false">
      <c r="A141" s="139" t="s">
        <v>192</v>
      </c>
      <c r="B141" s="181" t="n">
        <f aca="false">Capitalization!C20+2772260</f>
        <v>18547063.1382114</v>
      </c>
      <c r="C141" s="181" t="n">
        <f aca="false">Capitalization!D20+2772260</f>
        <v>18546768.6178862</v>
      </c>
      <c r="D141" s="182" t="n">
        <f aca="false">Capitalization!E20+2772260</f>
        <v>18546768.6178862</v>
      </c>
      <c r="E141" s="183" t="n">
        <f aca="false">Capitalization!F20+2772260</f>
        <v>18546768.6178862</v>
      </c>
      <c r="F141" s="186" t="n">
        <f aca="false">Capitalization!G20+2772260</f>
        <v>18546768.6178862</v>
      </c>
      <c r="G141" s="183" t="n">
        <f aca="false">Capitalization!H20+1238536</f>
        <v>16554181.9512195</v>
      </c>
      <c r="H141" s="182" t="n">
        <f aca="false">Capitalization!I20+1238536</f>
        <v>16111812.4227642</v>
      </c>
      <c r="I141" s="184" t="n">
        <f aca="false">Capitalization!J20+1238536</f>
        <v>16376880.7154472</v>
      </c>
      <c r="J141" s="185" t="n">
        <f aca="false">Capitalization!K20+1238536</f>
        <v>16376880.7154472</v>
      </c>
      <c r="K141" s="183" t="n">
        <f aca="false">Capitalization!L20+1238536</f>
        <v>16380709.4796748</v>
      </c>
      <c r="L141" s="182" t="n">
        <f aca="false">Capitalization!M20+1238536</f>
        <v>16379825.9186992</v>
      </c>
      <c r="M141" s="183" t="n">
        <f aca="false">Capitalization!N20+1238536</f>
        <v>16379825.9186992</v>
      </c>
      <c r="N141" s="183" t="n">
        <f aca="false">Capitalization!O20+1238536</f>
        <v>16379825.9186992</v>
      </c>
      <c r="O141" s="186" t="n">
        <f aca="false">Capitalization!P20+1238536</f>
        <v>16379825.9186992</v>
      </c>
      <c r="P141" s="186" t="n">
        <f aca="false">Capitalization!Q20+3167333</f>
        <v>18791636.2520325</v>
      </c>
      <c r="Q141" s="185" t="n">
        <f aca="false">Capitalization!R20+3167333</f>
        <v>18776910.2357724</v>
      </c>
      <c r="R141" s="182" t="n">
        <f aca="false">Capitalization!S20+3167333</f>
        <v>19071430.5609756</v>
      </c>
      <c r="S141" s="183" t="n">
        <f aca="false">Capitalization!T20+3167333</f>
        <v>19071430.5609756</v>
      </c>
      <c r="T141" s="186" t="n">
        <f aca="false">Capitalization!U20+3167333</f>
        <v>19513211.0487805</v>
      </c>
      <c r="U141" s="182" t="n">
        <f aca="false">Capitalization!V20+3452471</f>
        <v>20240129.5365854</v>
      </c>
      <c r="V141" s="183" t="n">
        <f aca="false">Capitalization!W20+3452471</f>
        <v>20976430.3495935</v>
      </c>
      <c r="W141" s="183" t="n">
        <f aca="false">Capitalization!X20+3452471</f>
        <v>20976430.3495935</v>
      </c>
      <c r="X141" s="184" t="n">
        <f aca="false">Capitalization!Y20+3452471</f>
        <v>20976430.3495935</v>
      </c>
      <c r="Y141" s="185" t="n">
        <f aca="false">Capitalization!Z20+3452471</f>
        <v>21079512.4634146</v>
      </c>
      <c r="Z141" s="182" t="n">
        <f aca="false">Capitalization!AA20+3452471</f>
        <v>21736292.7886179</v>
      </c>
      <c r="AA141" s="183" t="n">
        <f aca="false">Capitalization!AB20+3452471</f>
        <v>21736292.7886179</v>
      </c>
      <c r="AB141" s="186" t="n">
        <f aca="false">Capitalization!AC20+3452471</f>
        <v>22890812.4634146</v>
      </c>
      <c r="AC141" s="182" t="n">
        <f aca="false">Capitalization!AD20+7779056</f>
        <v>27806732.6341463</v>
      </c>
      <c r="AD141" s="185" t="n">
        <f aca="false">Capitalization!AE20+7779056</f>
        <v>25744795.8373984</v>
      </c>
      <c r="AE141" s="182" t="n">
        <f aca="false">Capitalization!AF20+7779056</f>
        <v>25744795.8373984</v>
      </c>
      <c r="AF141" s="183" t="n">
        <f aca="false">Capitalization!AG20+7779056</f>
        <v>26039316.1626016</v>
      </c>
      <c r="AG141" s="186" t="n">
        <f aca="false">Capitalization!AH20+7779056</f>
        <v>25303015.3495935</v>
      </c>
      <c r="AH141" s="182" t="n">
        <f aca="false">Capitalization!AI20+13370764</f>
        <v>29115820.5853659</v>
      </c>
      <c r="AI141" s="184" t="n">
        <f aca="false">Capitalization!AJ20+13370764</f>
        <v>35165268.0650407</v>
      </c>
      <c r="AJ141" s="185" t="n">
        <f aca="false">Capitalization!AK20+13370764</f>
        <v>35165268.0650407</v>
      </c>
      <c r="AK141" s="182" t="n">
        <f aca="false">Capitalization!AL20+13370764</f>
        <v>35607048.5528455</v>
      </c>
      <c r="AL141" s="183" t="n">
        <f aca="false">Capitalization!AM20+13370764</f>
        <v>35607048.5528455</v>
      </c>
      <c r="AM141" s="186" t="n">
        <f aca="false">Capitalization!AN20+13370764</f>
        <v>36078281.0731707</v>
      </c>
      <c r="AN141" s="186" t="n">
        <f aca="false">Capitalization!AO20+15061853</f>
        <v>37445397.7154472</v>
      </c>
      <c r="AO141" s="185" t="n">
        <f aca="false">Capitalization!AP20+15061853</f>
        <v>35059783.0813008</v>
      </c>
      <c r="AP141" s="182" t="n">
        <f aca="false">Capitalization!AQ20+15061853</f>
        <v>33566638.6626016</v>
      </c>
      <c r="AQ141" s="183" t="n">
        <f aca="false">Capitalization!AR20+15061853</f>
        <v>33057044.8699187</v>
      </c>
    </row>
    <row r="142" s="1" customFormat="true" ht="12.8" hidden="false" customHeight="false" outlineLevel="0" collapsed="false">
      <c r="A142" s="139" t="s">
        <v>193</v>
      </c>
      <c r="B142" s="181" t="n">
        <f aca="false">Capitalization!C23+104455</f>
        <v>12723959.3902439</v>
      </c>
      <c r="C142" s="181" t="n">
        <f aca="false">Capitalization!D23+104455</f>
        <v>12592974.0243902</v>
      </c>
      <c r="D142" s="182" t="n">
        <f aca="false">Capitalization!E23+104455</f>
        <v>12592974.0243902</v>
      </c>
      <c r="E142" s="183" t="n">
        <f aca="false">Capitalization!F23+104455</f>
        <v>12579251.7479675</v>
      </c>
      <c r="F142" s="186" t="n">
        <f aca="false">Capitalization!G23+104455</f>
        <v>13825483.9430894</v>
      </c>
      <c r="G142" s="183" t="n">
        <f aca="false">Capitalization!H23-446000</f>
        <v>12041271.5447154</v>
      </c>
      <c r="H142" s="182" t="n">
        <f aca="false">Capitalization!I23-446000</f>
        <v>12028796.7479675</v>
      </c>
      <c r="I142" s="184" t="n">
        <f aca="false">Capitalization!J23-446000</f>
        <v>12031291.7073171</v>
      </c>
      <c r="J142" s="185" t="n">
        <f aca="false">Capitalization!K23-446000</f>
        <v>12902032.5203252</v>
      </c>
      <c r="K142" s="183" t="n">
        <f aca="false">Capitalization!L23-446000</f>
        <v>13089154.4715447</v>
      </c>
      <c r="L142" s="182" t="n">
        <f aca="false">Capitalization!M23-446000</f>
        <v>13089154.4715447</v>
      </c>
      <c r="M142" s="183" t="n">
        <f aca="false">Capitalization!N23-446000</f>
        <v>13089154.4715447</v>
      </c>
      <c r="N142" s="183" t="n">
        <f aca="false">Capitalization!O23-446000</f>
        <v>13089154.4715447</v>
      </c>
      <c r="O142" s="186" t="n">
        <f aca="false">Capitalization!P23-446000</f>
        <v>13276276.4227642</v>
      </c>
      <c r="P142" s="186" t="n">
        <f aca="false">Capitalization!Q20-588617</f>
        <v>15035686.2520325</v>
      </c>
      <c r="Q142" s="185" t="n">
        <f aca="false">Capitalization!R20-588617</f>
        <v>15020960.2357724</v>
      </c>
      <c r="R142" s="182" t="n">
        <f aca="false">Capitalization!S20-588617</f>
        <v>15315480.5609756</v>
      </c>
      <c r="S142" s="183" t="n">
        <f aca="false">Capitalization!T20-588617</f>
        <v>15315480.5609756</v>
      </c>
      <c r="T142" s="186" t="n">
        <f aca="false">Capitalization!U20-588617</f>
        <v>15757261.0487805</v>
      </c>
      <c r="U142" s="182" t="n">
        <f aca="false">Capitalization!V20+231593</f>
        <v>17019251.5365854</v>
      </c>
      <c r="V142" s="183" t="n">
        <f aca="false">Capitalization!W20+231593</f>
        <v>17755552.3495935</v>
      </c>
      <c r="W142" s="183" t="n">
        <f aca="false">Capitalization!X20+231593</f>
        <v>17755552.3495935</v>
      </c>
      <c r="X142" s="184" t="n">
        <f aca="false">Capitalization!Y20+231593</f>
        <v>17755552.3495935</v>
      </c>
      <c r="Y142" s="185" t="n">
        <f aca="false">Capitalization!Z20+231593</f>
        <v>17858634.4634146</v>
      </c>
      <c r="Z142" s="182" t="n">
        <f aca="false">Capitalization!AA20+231593</f>
        <v>18515414.7886179</v>
      </c>
      <c r="AA142" s="183" t="n">
        <f aca="false">Capitalization!AB20+231593</f>
        <v>18515414.7886179</v>
      </c>
      <c r="AB142" s="186" t="n">
        <f aca="false">Capitalization!AC20+231593</f>
        <v>19669934.4634146</v>
      </c>
      <c r="AC142" s="182" t="n">
        <f aca="false">Capitalization!AD21-8887</f>
        <v>14702000.5121951</v>
      </c>
      <c r="AD142" s="185" t="n">
        <f aca="false">Capitalization!AE21-8887</f>
        <v>14702000.5121951</v>
      </c>
      <c r="AE142" s="182" t="n">
        <f aca="false">Capitalization!AF21-8887</f>
        <v>19251759.5365854</v>
      </c>
      <c r="AF142" s="183" t="n">
        <f aca="false">Capitalization!AG21-8887</f>
        <v>19251759.5365854</v>
      </c>
      <c r="AG142" s="186" t="n">
        <f aca="false">Capitalization!AH21-8887</f>
        <v>19251759.5365854</v>
      </c>
      <c r="AH142" s="182" t="n">
        <f aca="false">Capitalization!AI21-822780</f>
        <v>18437866.5365854</v>
      </c>
      <c r="AI142" s="184" t="n">
        <f aca="false">Capitalization!AJ21-822780</f>
        <v>18437866.5365854</v>
      </c>
      <c r="AJ142" s="185" t="n">
        <f aca="false">Capitalization!AK21-822780</f>
        <v>17271261.6585366</v>
      </c>
      <c r="AK142" s="182" t="n">
        <f aca="false">Capitalization!AL21-822780</f>
        <v>17271261.6585366</v>
      </c>
      <c r="AL142" s="183" t="n">
        <f aca="false">Capitalization!AM21-822780</f>
        <v>17271261.6585366</v>
      </c>
      <c r="AM142" s="186" t="n">
        <f aca="false">Capitalization!AN21-822780</f>
        <v>16676293.1707317</v>
      </c>
      <c r="AN142" s="186" t="n">
        <f aca="false">Capitalization!AO21-1436845</f>
        <v>16062228.1707317</v>
      </c>
      <c r="AO142" s="185" t="n">
        <f aca="false">Capitalization!AP21-1436845</f>
        <v>16645530.6097561</v>
      </c>
      <c r="AP142" s="182" t="n">
        <f aca="false">Capitalization!AQ21-1436845</f>
        <v>16645530.6097561</v>
      </c>
      <c r="AQ142" s="183" t="n">
        <f aca="false">Capitalization!AR21-1436845</f>
        <v>16657196.6585366</v>
      </c>
    </row>
    <row r="143" customFormat="false" ht="12.8" hidden="false" customHeight="false" outlineLevel="0" collapsed="false">
      <c r="A143" s="139" t="s">
        <v>194</v>
      </c>
      <c r="B143" s="181" t="n">
        <f aca="false">Capitalization!C22+1646032</f>
        <v>14811673.3658537</v>
      </c>
      <c r="C143" s="181" t="n">
        <f aca="false">Capitalization!D22+1646032</f>
        <v>14811673.3658537</v>
      </c>
      <c r="D143" s="182" t="n">
        <f aca="false">Capitalization!E22+1646032</f>
        <v>14811673.3658537</v>
      </c>
      <c r="E143" s="184" t="n">
        <f aca="false">Capitalization!F22+1646032</f>
        <v>14811673.3658537</v>
      </c>
      <c r="F143" s="186" t="n">
        <f aca="false">Capitalization!G22+1550048</f>
        <v>14715689.3658537</v>
      </c>
      <c r="G143" s="183" t="n">
        <f aca="false">Capitalization!H22+1550048</f>
        <v>14715689.3658537</v>
      </c>
      <c r="H143" s="182" t="n">
        <f aca="false">Capitalization!I22+1550048</f>
        <v>14715689.3658537</v>
      </c>
      <c r="I143" s="184" t="n">
        <f aca="false">Capitalization!J22+1550048</f>
        <v>13963485.7398374</v>
      </c>
      <c r="J143" s="185" t="n">
        <f aca="false">Capitalization!K22+1550048</f>
        <v>13963485.7398374</v>
      </c>
      <c r="K143" s="183" t="n">
        <f aca="false">Capitalization!L22+1550048</f>
        <v>13601929.300813</v>
      </c>
      <c r="L143" s="182" t="n">
        <f aca="false">Capitalization!M22+1550048</f>
        <v>13601929.300813</v>
      </c>
      <c r="M143" s="183" t="n">
        <f aca="false">Capitalization!N22+1550048</f>
        <v>13601929.300813</v>
      </c>
      <c r="N143" s="183" t="n">
        <f aca="false">Capitalization!O22+1550048</f>
        <v>13601929.300813</v>
      </c>
      <c r="O143" s="186" t="n">
        <f aca="false">Capitalization!P22+1550048</f>
        <v>13601929.300813</v>
      </c>
      <c r="P143" s="186" t="n">
        <f aca="false">Capitalization!Q22+86878</f>
        <v>12138759.300813</v>
      </c>
      <c r="Q143" s="185" t="n">
        <f aca="false">Capitalization!R22+86878</f>
        <v>12138759.300813</v>
      </c>
      <c r="R143" s="182" t="n">
        <f aca="false">Capitalization!S22+86878</f>
        <v>12138759.300813</v>
      </c>
      <c r="S143" s="183" t="n">
        <f aca="false">Capitalization!T22+86878</f>
        <v>12138759.300813</v>
      </c>
      <c r="T143" s="186" t="n">
        <f aca="false">Capitalization!U22+86878</f>
        <v>12138759.300813</v>
      </c>
      <c r="U143" s="182" t="n">
        <f aca="false">Capitalization!V22+227739</f>
        <v>12279620.300813</v>
      </c>
      <c r="V143" s="183" t="n">
        <f aca="false">Capitalization!W22+227739</f>
        <v>12279620.300813</v>
      </c>
      <c r="W143" s="183" t="n">
        <f aca="false">Capitalization!X22+227739</f>
        <v>12279620.300813</v>
      </c>
      <c r="X143" s="184" t="n">
        <f aca="false">Capitalization!Y22+227739</f>
        <v>12279620.300813</v>
      </c>
      <c r="Y143" s="185" t="n">
        <f aca="false">Capitalization!Z22+227739</f>
        <v>12279620.300813</v>
      </c>
      <c r="Z143" s="182" t="n">
        <f aca="false">Capitalization!AA22+227739</f>
        <v>12279620.300813</v>
      </c>
      <c r="AA143" s="183" t="n">
        <f aca="false">Capitalization!AB22+227739</f>
        <v>12279620.300813</v>
      </c>
      <c r="AB143" s="167" t="n">
        <f aca="false">Capitalization!AC22+227739</f>
        <v>13946104.5772358</v>
      </c>
      <c r="AC143" s="182" t="n">
        <f aca="false">Capitalization!AD22+1946943</f>
        <v>15665308.5772358</v>
      </c>
      <c r="AD143" s="185" t="n">
        <f aca="false">Capitalization!AE22+1946943</f>
        <v>15665308.5772358</v>
      </c>
      <c r="AE143" s="182" t="n">
        <f aca="false">Capitalization!AF22+1946943</f>
        <v>14455964.6260163</v>
      </c>
      <c r="AF143" s="183" t="n">
        <f aca="false">Capitalization!AG22+1946943</f>
        <v>14455964.6260163</v>
      </c>
      <c r="AG143" s="186" t="n">
        <f aca="false">Capitalization!AH22+1946943</f>
        <v>14455964.6260163</v>
      </c>
      <c r="AH143" s="182" t="n">
        <f aca="false">Capitalization!AI22+1502195</f>
        <v>14011216.6260163</v>
      </c>
      <c r="AI143" s="184" t="n">
        <f aca="false">Capitalization!AJ22+1502195</f>
        <v>14011216.6260163</v>
      </c>
      <c r="AJ143" s="185" t="n">
        <f aca="false">Capitalization!AK22+1502195</f>
        <v>14011216.6260163</v>
      </c>
      <c r="AK143" s="182" t="n">
        <f aca="false">Capitalization!AL22+1502195</f>
        <v>14011216.6260163</v>
      </c>
      <c r="AL143" s="183" t="n">
        <f aca="false">Capitalization!AM22+1502195</f>
        <v>14011216.6260163</v>
      </c>
      <c r="AM143" s="186" t="n">
        <f aca="false">Capitalization!AN22+1502195</f>
        <v>14011216.6260163</v>
      </c>
      <c r="AN143" s="186" t="n">
        <f aca="false">Capitalization!AO22+2143040</f>
        <v>14652061.6260163</v>
      </c>
      <c r="AO143" s="185" t="n">
        <f aca="false">Capitalization!AP22+2143040</f>
        <v>15757510.0487805</v>
      </c>
      <c r="AP143" s="182" t="n">
        <f aca="false">Capitalization!AQ22+2143040</f>
        <v>15757510.0487805</v>
      </c>
      <c r="AQ143" s="183" t="n">
        <f aca="false">Capitalization!AR22+2143040</f>
        <v>15757510.0487805</v>
      </c>
    </row>
    <row r="144" customFormat="false" ht="12.8" hidden="false" customHeight="false" outlineLevel="0" collapsed="false">
      <c r="A144" s="139" t="s">
        <v>195</v>
      </c>
      <c r="B144" s="181" t="n">
        <f aca="false">Capitalization!C23+33765317</f>
        <v>46384821.3902439</v>
      </c>
      <c r="C144" s="181" t="n">
        <f aca="false">Capitalization!D23+33765317</f>
        <v>46253836.0243902</v>
      </c>
      <c r="D144" s="182" t="n">
        <f aca="false">Capitalization!E23+33765317</f>
        <v>46253836.0243902</v>
      </c>
      <c r="E144" s="183" t="n">
        <f aca="false">Capitalization!F23+33765317</f>
        <v>46240113.7479675</v>
      </c>
      <c r="F144" s="186" t="n">
        <f aca="false">Capitalization!G23+33765317</f>
        <v>47486345.9430894</v>
      </c>
      <c r="G144" s="183" t="n">
        <v>34639430</v>
      </c>
      <c r="H144" s="182" t="n">
        <v>34639430</v>
      </c>
      <c r="I144" s="184" t="n">
        <v>34639430</v>
      </c>
      <c r="J144" s="185" t="n">
        <v>34639430</v>
      </c>
      <c r="K144" s="183" t="n">
        <v>34639430</v>
      </c>
      <c r="L144" s="182" t="n">
        <v>34639430</v>
      </c>
      <c r="M144" s="183" t="n">
        <v>34639430</v>
      </c>
      <c r="N144" s="183" t="n">
        <v>34639430</v>
      </c>
      <c r="O144" s="186" t="n">
        <v>34639430</v>
      </c>
      <c r="P144" s="186" t="n">
        <f aca="false">Capitalization!Q23+30934276</f>
        <v>44656552.4227642</v>
      </c>
      <c r="Q144" s="185" t="n">
        <f aca="false">Capitalization!R23+30934276</f>
        <v>46153528.0325203</v>
      </c>
      <c r="R144" s="182" t="n">
        <f aca="false">Capitalization!S23+30934276</f>
        <v>46153528.0325203</v>
      </c>
      <c r="S144" s="183" t="n">
        <f aca="false">Capitalization!T23+30934276</f>
        <v>46153528.0325203</v>
      </c>
      <c r="T144" s="186" t="n">
        <f aca="false">Capitalization!U23+30934276</f>
        <v>46153528.0325203</v>
      </c>
      <c r="U144" s="182" t="n">
        <f aca="false">Capitalization!V23+26293105</f>
        <v>41449983.0487805</v>
      </c>
      <c r="V144" s="183" t="n">
        <f aca="false">Capitalization!W23+26293105</f>
        <v>41449983.0487805</v>
      </c>
      <c r="W144" s="183" t="n">
        <f aca="false">Capitalization!X23+26293105</f>
        <v>41449983.0487805</v>
      </c>
      <c r="X144" s="184" t="n">
        <f aca="false">Capitalization!Y23+26293105</f>
        <v>41449983.0487805</v>
      </c>
      <c r="Y144" s="185" t="n">
        <f aca="false">Capitalization!Z23+26293105</f>
        <v>41449983.0487805</v>
      </c>
      <c r="Z144" s="182" t="n">
        <f aca="false">Capitalization!AA23+26293105</f>
        <v>43136575.5691057</v>
      </c>
      <c r="AA144" s="183" t="n">
        <f aca="false">Capitalization!AB23+26293105</f>
        <v>43136575.5691057</v>
      </c>
      <c r="AB144" s="167" t="n">
        <f aca="false">Capitalization!AC23+26293105</f>
        <v>43134080.6097561</v>
      </c>
      <c r="AC144" s="182" t="n">
        <f aca="false">Capitalization!AD23+23558162</f>
        <v>39943807.5284553</v>
      </c>
      <c r="AD144" s="185" t="n">
        <f aca="false">Capitalization!AE23+23558162</f>
        <v>39943807.5284553</v>
      </c>
      <c r="AE144" s="182" t="n">
        <f aca="false">Capitalization!AF23+23558162</f>
        <v>41122675.8211382</v>
      </c>
      <c r="AF144" s="183" t="n">
        <f aca="false">Capitalization!AG23+23558162</f>
        <v>41122675.8211382</v>
      </c>
      <c r="AG144" s="186" t="n">
        <f aca="false">Capitalization!AH23+23558162</f>
        <v>41122675.8211382</v>
      </c>
      <c r="AH144" s="182" t="n">
        <f aca="false">Capitalization!AI23+21955658</f>
        <v>39520171.8211382</v>
      </c>
      <c r="AI144" s="184" t="n">
        <f aca="false">Capitalization!AJ23+21955658</f>
        <v>39522666.7804878</v>
      </c>
      <c r="AJ144" s="185" t="n">
        <f aca="false">Capitalization!AK23+21955658</f>
        <v>38255227.4308943</v>
      </c>
      <c r="AK144" s="182" t="n">
        <f aca="false">Capitalization!AL23+21955658</f>
        <v>36850565.3170732</v>
      </c>
      <c r="AL144" s="183" t="n">
        <f aca="false">Capitalization!AM23+21955658</f>
        <v>35775237.8373984</v>
      </c>
      <c r="AM144" s="186" t="n">
        <f aca="false">Capitalization!AN23+21955658</f>
        <v>35366064.504065</v>
      </c>
      <c r="AN144" s="186" t="n">
        <f aca="false">Capitalization!AO23+9014764</f>
        <v>22458852.4552846</v>
      </c>
      <c r="AO144" s="185" t="n">
        <f aca="false">Capitalization!AP23+9014764</f>
        <v>20779744.8130081</v>
      </c>
      <c r="AP144" s="182" t="n">
        <f aca="false">Capitalization!AQ23+9014764</f>
        <v>20477854.7317073</v>
      </c>
      <c r="AQ144" s="183" t="n">
        <f aca="false">Capitalization!AR23+9014764</f>
        <v>19951418.3089431</v>
      </c>
    </row>
    <row r="145" customFormat="false" ht="12.8" hidden="false" customHeight="false" outlineLevel="0" collapsed="false">
      <c r="A145" s="139" t="s">
        <v>196</v>
      </c>
      <c r="B145" s="181" t="n">
        <f aca="false">Capitalization!C24+27841544</f>
        <v>39718090.3414634</v>
      </c>
      <c r="C145" s="181" t="n">
        <f aca="false">Capitalization!D24+27841544</f>
        <v>39770874.9918699</v>
      </c>
      <c r="D145" s="186" t="n">
        <f aca="false">Capitalization!E24+27841544</f>
        <v>39770874.9918699</v>
      </c>
      <c r="E145" s="183" t="n">
        <f aca="false">Capitalization!F24+34948113</f>
        <v>46877443.9918699</v>
      </c>
      <c r="F145" s="182" t="n">
        <f aca="false">Capitalization!G24+34948113</f>
        <v>46877443.9918699</v>
      </c>
      <c r="G145" s="183" t="n">
        <f aca="false">Capitalization!H24+34948113</f>
        <v>46877443.9918699</v>
      </c>
      <c r="H145" s="182" t="n">
        <f aca="false">Capitalization!I24+34948113</f>
        <v>46837855.504065</v>
      </c>
      <c r="I145" s="184" t="n">
        <f aca="false">Capitalization!J24+34948113</f>
        <v>46824659.3414634</v>
      </c>
      <c r="J145" s="185" t="n">
        <f aca="false">Capitalization!K24+34948113</f>
        <v>46824659.3414634</v>
      </c>
      <c r="K145" s="183" t="n">
        <f aca="false">Capitalization!L24+34948113</f>
        <v>46824659.3414634</v>
      </c>
      <c r="L145" s="182" t="n">
        <f aca="false">Capitalization!M24+34948113</f>
        <v>46824659.3414634</v>
      </c>
      <c r="M145" s="183" t="n">
        <f aca="false">Capitalization!N24+34948113</f>
        <v>46824659.3414634</v>
      </c>
      <c r="N145" s="183" t="n">
        <f aca="false">Capitalization!O24+34948113</f>
        <v>46824659.3414634</v>
      </c>
      <c r="O145" s="186" t="n">
        <f aca="false">Capitalization!P24+34948113</f>
        <v>46824659.3414634</v>
      </c>
      <c r="P145" s="186" t="n">
        <f aca="false">Capitalization!Q24+42286764</f>
        <v>54199599.7886179</v>
      </c>
      <c r="Q145" s="185" t="n">
        <f aca="false">Capitalization!R24+42286764</f>
        <v>53576081.1056911</v>
      </c>
      <c r="R145" s="182" t="n">
        <f aca="false">Capitalization!S24+42286764</f>
        <v>53833406.2764228</v>
      </c>
      <c r="S145" s="183" t="n">
        <f aca="false">Capitalization!T24+42286764</f>
        <v>53833406.2764228</v>
      </c>
      <c r="T145" s="186" t="n">
        <f aca="false">Capitalization!U24+42286764</f>
        <v>54163310.3414634</v>
      </c>
      <c r="U145" s="182" t="n">
        <f aca="false">Capitalization!V24+45107024</f>
        <v>56980271.300813</v>
      </c>
      <c r="V145" s="183" t="n">
        <f aca="false">Capitalization!W24+45107024</f>
        <v>56980271.300813</v>
      </c>
      <c r="W145" s="183" t="n">
        <f aca="false">Capitalization!X24+45107024</f>
        <v>56980271.300813</v>
      </c>
      <c r="X145" s="184" t="n">
        <f aca="false">Capitalization!Y24+45107024</f>
        <v>56980271.300813</v>
      </c>
      <c r="Y145" s="185" t="n">
        <f aca="false">Capitalization!Z24+45107024</f>
        <v>56980271.300813</v>
      </c>
      <c r="Z145" s="182" t="n">
        <f aca="false">Capitalization!AA24+45107024</f>
        <v>56986869.3821138</v>
      </c>
      <c r="AA145" s="183" t="n">
        <f aca="false">Capitalization!AB24+45107024</f>
        <v>56986869.3821138</v>
      </c>
      <c r="AB145" s="167" t="n">
        <f aca="false">Capitalization!AC24+45107024</f>
        <v>57181512.7804878</v>
      </c>
      <c r="AC145" s="182" t="n">
        <f aca="false">Capitalization!AD24+52112455</f>
        <v>65453775.3902439</v>
      </c>
      <c r="AD145" s="185" t="n">
        <f aca="false">Capitalization!AE24+52112455</f>
        <v>62010368.7209756</v>
      </c>
      <c r="AE145" s="182" t="n">
        <f aca="false">Capitalization!AF24+52112455</f>
        <v>60853197.222439</v>
      </c>
      <c r="AF145" s="183" t="n">
        <f aca="false">Capitalization!AG24+52112455</f>
        <v>60360056.6260163</v>
      </c>
      <c r="AG145" s="186" t="n">
        <f aca="false">Capitalization!AH24+52112455</f>
        <v>60360056.6260163</v>
      </c>
      <c r="AH145" s="182" t="n">
        <f aca="false">Capitalization!AI24+61721934</f>
        <v>71289151.8861789</v>
      </c>
      <c r="AI145" s="184" t="n">
        <f aca="false">Capitalization!AJ24+61721934</f>
        <v>71289151.8861789</v>
      </c>
      <c r="AJ145" s="185" t="n">
        <f aca="false">Capitalization!AK24+61721934</f>
        <v>66571523.7560976</v>
      </c>
      <c r="AK145" s="182" t="n">
        <f aca="false">Capitalization!AL24+61721934</f>
        <v>67148855.8699187</v>
      </c>
      <c r="AL145" s="183" t="n">
        <f aca="false">Capitalization!AM24+61721934</f>
        <v>67828458.2439024</v>
      </c>
      <c r="AM145" s="186" t="n">
        <f aca="false">Capitalization!AN24+61721934</f>
        <v>69474679.5284553</v>
      </c>
      <c r="AN145" s="182" t="n">
        <f aca="false">Capitalization!AO24+4049121</f>
        <v>11801866.5284553</v>
      </c>
      <c r="AO145" s="185" t="n">
        <f aca="false">Capitalization!AP24+4049121</f>
        <v>11801866.5284553</v>
      </c>
      <c r="AP145" s="182" t="n">
        <f aca="false">Capitalization!AQ24+4049121</f>
        <v>13461283.9756098</v>
      </c>
      <c r="AQ145" s="183" t="n">
        <f aca="false">Capitalization!AR24+4049121</f>
        <v>13461283.9756098</v>
      </c>
    </row>
    <row r="146" customFormat="false" ht="12.8" hidden="false" customHeight="false" outlineLevel="0" collapsed="false">
      <c r="A146" s="139" t="s">
        <v>197</v>
      </c>
      <c r="B146" s="181" t="n">
        <f aca="false">Capitalization!C25+1249040</f>
        <v>11590737.5609756</v>
      </c>
      <c r="C146" s="181" t="n">
        <f aca="false">Capitalization!D25+1249040</f>
        <v>10673430.2439024</v>
      </c>
      <c r="D146" s="182" t="n">
        <f aca="false">Capitalization!E25+1249040</f>
        <v>10673430.2439024</v>
      </c>
      <c r="E146" s="183" t="n">
        <f aca="false">Capitalization!F25+1249040</f>
        <v>10673430.2439024</v>
      </c>
      <c r="F146" s="186" t="n">
        <f aca="false">Capitalization!G25+1249040</f>
        <v>11301722.9268293</v>
      </c>
      <c r="G146" s="183" t="n">
        <f aca="false">Capitalization!H25+2055658</f>
        <v>9595170.19512195</v>
      </c>
      <c r="H146" s="182" t="n">
        <f aca="false">Capitalization!I25+2055658</f>
        <v>9595170.19512195</v>
      </c>
      <c r="I146" s="184" t="n">
        <f aca="false">Capitalization!J25+2055658</f>
        <v>9595170.19512195</v>
      </c>
      <c r="J146" s="185" t="n">
        <f aca="false">Capitalization!K25+2055658</f>
        <v>8338584.82926829</v>
      </c>
      <c r="K146" s="183" t="n">
        <f aca="false">Capitalization!L25+2055658</f>
        <v>8338584.82926829</v>
      </c>
      <c r="L146" s="182" t="n">
        <f aca="false">Capitalization!M25+2055658</f>
        <v>7490389.70731707</v>
      </c>
      <c r="M146" s="183" t="n">
        <f aca="false">Capitalization!N25+2055658</f>
        <v>7490389.70731707</v>
      </c>
      <c r="N146" s="183" t="n">
        <f aca="false">Capitalization!O25+2055658</f>
        <v>7490389.70731707</v>
      </c>
      <c r="O146" s="186" t="n">
        <f aca="false">Capitalization!P25+2055658</f>
        <v>6591931.17073171</v>
      </c>
      <c r="P146" s="186" t="n">
        <f aca="false">Capitalization!Q25+2639658</f>
        <v>7175931.17073171</v>
      </c>
      <c r="Q146" s="185" t="n">
        <f aca="false">Capitalization!R25+2639658</f>
        <v>7917316.53658537</v>
      </c>
      <c r="R146" s="182" t="n">
        <f aca="false">Capitalization!S25+2639658</f>
        <v>7760243.36585366</v>
      </c>
      <c r="S146" s="183" t="n">
        <f aca="false">Capitalization!T25+2639658</f>
        <v>7760243.36585366</v>
      </c>
      <c r="T146" s="186" t="n">
        <f aca="false">Capitalization!U25+2639658</f>
        <v>7697414.09756098</v>
      </c>
      <c r="U146" s="182" t="n">
        <f aca="false">Capitalization!V25+2464666</f>
        <v>7239690.3902439</v>
      </c>
      <c r="V146" s="183" t="n">
        <f aca="false">Capitalization!W25+2464666</f>
        <v>7176861.12195122</v>
      </c>
      <c r="W146" s="183" t="n">
        <f aca="false">Capitalization!X25+2464666</f>
        <v>7176861.12195122</v>
      </c>
      <c r="X146" s="184" t="n">
        <f aca="false">Capitalization!Y25+2464666</f>
        <v>7063768.43902439</v>
      </c>
      <c r="Y146" s="185" t="n">
        <f aca="false">Capitalization!Z25+2464666</f>
        <v>6862714.78048781</v>
      </c>
      <c r="Z146" s="182" t="n">
        <f aca="false">Capitalization!AA25+2464666</f>
        <v>6862714.78048781</v>
      </c>
      <c r="AA146" s="183" t="n">
        <f aca="false">Capitalization!AB25+2464666</f>
        <v>6561134.29268293</v>
      </c>
      <c r="AB146" s="167" t="n">
        <f aca="false">Capitalization!AC25+2464666</f>
        <v>6617680.63414634</v>
      </c>
      <c r="AC146" s="182" t="n">
        <f aca="false">Capitalization!AD25+2656975</f>
        <v>7369170.12195122</v>
      </c>
      <c r="AD146" s="185" t="n">
        <f aca="false">Capitalization!AE25+2656975</f>
        <v>6923082.31707317</v>
      </c>
      <c r="AE146" s="182" t="n">
        <f aca="false">Capitalization!AF25+2656975</f>
        <v>6539823.78048781</v>
      </c>
      <c r="AF146" s="183" t="n">
        <f aca="false">Capitalization!AG25+2656975</f>
        <v>6539823.78048781</v>
      </c>
      <c r="AG146" s="167" t="n">
        <f aca="false">Capitalization!AH25+2656975</f>
        <v>6539823.78048781</v>
      </c>
      <c r="AH146" s="182" t="n">
        <f aca="false">Capitalization!AI25+2859138</f>
        <v>7005869.70731707</v>
      </c>
      <c r="AI146" s="184" t="n">
        <f aca="false">Capitalization!AJ25+2859138</f>
        <v>7005869.70731707</v>
      </c>
      <c r="AJ146" s="185" t="n">
        <f aca="false">Capitalization!AK25+2859138</f>
        <v>7005869.70731707</v>
      </c>
      <c r="AK146" s="182" t="n">
        <f aca="false">Capitalization!AL25+2859138</f>
        <v>7005869.70731707</v>
      </c>
      <c r="AL146" s="183" t="n">
        <f aca="false">Capitalization!AM25+2859138</f>
        <v>7125245.31707317</v>
      </c>
      <c r="AM146" s="186" t="n">
        <f aca="false">Capitalization!AN25+2859138</f>
        <v>7125245.31707317</v>
      </c>
      <c r="AN146" s="182" t="n">
        <f aca="false">Capitalization!AO25+2916260</f>
        <v>7257762.43902439</v>
      </c>
      <c r="AO146" s="185" t="n">
        <f aca="false">Capitalization!AP25+2916260</f>
        <v>7062991.70731707</v>
      </c>
      <c r="AP146" s="182" t="n">
        <f aca="false">Capitalization!AQ25+2916260</f>
        <v>6434699.02439024</v>
      </c>
      <c r="AQ146" s="183" t="n">
        <f aca="false">Capitalization!AR25+2916260</f>
        <v>6522660</v>
      </c>
    </row>
    <row r="147" customFormat="false" ht="12.8" hidden="false" customHeight="false" outlineLevel="0" collapsed="false">
      <c r="A147" s="139" t="s">
        <v>198</v>
      </c>
      <c r="B147" s="181" t="n">
        <f aca="false">Capitalization!C26-302910</f>
        <v>6403756.66666667</v>
      </c>
      <c r="C147" s="181" t="n">
        <f aca="false">Capitalization!D26-302910</f>
        <v>6403756.66666667</v>
      </c>
      <c r="D147" s="182" t="n">
        <f aca="false">Capitalization!E26-302910</f>
        <v>6403756.66666667</v>
      </c>
      <c r="E147" s="183" t="n">
        <f aca="false">Capitalization!F26-302910</f>
        <v>6403756.66666667</v>
      </c>
      <c r="F147" s="186" t="n">
        <f aca="false">Capitalization!G26-302910</f>
        <v>6403756.66666667</v>
      </c>
      <c r="G147" s="183" t="n">
        <f aca="false">Capitalization!H26-180932</f>
        <v>6525734.66666667</v>
      </c>
      <c r="H147" s="182" t="n">
        <f aca="false">Capitalization!I26-180932</f>
        <v>6525734.66666667</v>
      </c>
      <c r="I147" s="184" t="n">
        <f aca="false">Capitalization!J26-180932</f>
        <v>6525734.66666667</v>
      </c>
      <c r="J147" s="185" t="n">
        <f aca="false">Capitalization!K26-180932</f>
        <v>4513734.66666667</v>
      </c>
      <c r="K147" s="183" t="n">
        <f aca="false">Capitalization!L26-180932</f>
        <v>6525734.66666667</v>
      </c>
      <c r="L147" s="182" t="n">
        <f aca="false">Capitalization!M26-180932</f>
        <v>6525734.66666667</v>
      </c>
      <c r="M147" s="183" t="n">
        <f aca="false">Capitalization!N26-180932</f>
        <v>6525734.66666667</v>
      </c>
      <c r="N147" s="183" t="n">
        <f aca="false">Capitalization!O26-180932</f>
        <v>6525734.66666667</v>
      </c>
      <c r="O147" s="186" t="n">
        <f aca="false">Capitalization!P26-180932</f>
        <v>6525734.66666667</v>
      </c>
      <c r="P147" s="186" t="n">
        <f aca="false">Capitalization!Q26-38260</f>
        <v>7003740</v>
      </c>
      <c r="Q147" s="185" t="n">
        <f aca="false">Capitalization!R26-38260</f>
        <v>7003740</v>
      </c>
      <c r="R147" s="182" t="n">
        <f aca="false">Capitalization!S26-38260</f>
        <v>7003740</v>
      </c>
      <c r="S147" s="183" t="n">
        <f aca="false">Capitalization!T26-38260</f>
        <v>7003740</v>
      </c>
      <c r="T147" s="186" t="n">
        <f aca="false">Capitalization!U26-38260</f>
        <v>7171406.66666667</v>
      </c>
      <c r="U147" s="182" t="n">
        <f aca="false">Capitalization!V26-338829</f>
        <v>6870837.66666667</v>
      </c>
      <c r="V147" s="183" t="n">
        <f aca="false">Capitalization!W26-338829</f>
        <v>6870837.66666667</v>
      </c>
      <c r="W147" s="183" t="n">
        <f aca="false">Capitalization!X26-338829</f>
        <v>6870837.66666667</v>
      </c>
      <c r="X147" s="184" t="n">
        <f aca="false">Capitalization!Y26-338829</f>
        <v>6870837.66666667</v>
      </c>
      <c r="Y147" s="185" t="n">
        <f aca="false">Capitalization!Z26-338829</f>
        <v>6367837.66666667</v>
      </c>
      <c r="Z147" s="182" t="n">
        <f aca="false">Capitalization!AA26-338829</f>
        <v>6367837.66666667</v>
      </c>
      <c r="AA147" s="183" t="n">
        <f aca="false">Capitalization!AB26-338829</f>
        <v>6371191</v>
      </c>
      <c r="AB147" s="167" t="n">
        <f aca="false">Capitalization!AC26-338829</f>
        <v>6371191</v>
      </c>
      <c r="AC147" s="182" t="n">
        <f aca="false">Capitalization!AD26-258439</f>
        <v>6451581</v>
      </c>
      <c r="AD147" s="185" t="n">
        <f aca="false">Capitalization!AE26-258439</f>
        <v>6112894.33333333</v>
      </c>
      <c r="AE147" s="182" t="n">
        <f aca="false">Capitalization!AF26-258439</f>
        <v>5780914.33333333</v>
      </c>
      <c r="AF147" s="183" t="n">
        <f aca="false">Capitalization!AG26-258439</f>
        <v>5780914.33333333</v>
      </c>
      <c r="AG147" s="167" t="n">
        <f aca="false">Capitalization!AH26-258439</f>
        <v>5780914.33333333</v>
      </c>
      <c r="AH147" s="182" t="n">
        <f aca="false">Capitalization!AI26-161190</f>
        <v>5878163.33333333</v>
      </c>
      <c r="AI147" s="184" t="n">
        <f aca="false">Capitalization!AJ26-161190</f>
        <v>5878163.33333333</v>
      </c>
      <c r="AJ147" s="185" t="n">
        <f aca="false">Capitalization!AK26-161190</f>
        <v>5878163.33333333</v>
      </c>
      <c r="AK147" s="182" t="n">
        <f aca="false">Capitalization!AL26-161190</f>
        <v>5878163.33333333</v>
      </c>
      <c r="AL147" s="183" t="n">
        <f aca="false">Capitalization!AM26-161190</f>
        <v>5878163.33333333</v>
      </c>
      <c r="AM147" s="186" t="n">
        <f aca="false">Capitalization!AN26-161190</f>
        <v>5878163.33333333</v>
      </c>
      <c r="AN147" s="182" t="n">
        <f aca="false">Capitalization!AO26+109658</f>
        <v>6149011.33333333</v>
      </c>
      <c r="AO147" s="185" t="n">
        <f aca="false">Capitalization!AP26+109658</f>
        <v>6149011.33333333</v>
      </c>
      <c r="AP147" s="182" t="n">
        <f aca="false">Capitalization!AQ26+109658</f>
        <v>5810324.66666667</v>
      </c>
      <c r="AQ147" s="183" t="n">
        <f aca="false">Capitalization!AR26+109658</f>
        <v>5810324.66666667</v>
      </c>
    </row>
    <row r="148" customFormat="false" ht="12.8" hidden="false" customHeight="false" outlineLevel="0" collapsed="false">
      <c r="A148" s="139" t="s">
        <v>28</v>
      </c>
      <c r="B148" s="181" t="n">
        <f aca="false">Capitalization!C27-9983</f>
        <v>5291236.51219512</v>
      </c>
      <c r="C148" s="181" t="n">
        <f aca="false">Capitalization!D27-9983</f>
        <v>5291236.51219512</v>
      </c>
      <c r="D148" s="182" t="n">
        <f aca="false">Capitalization!E27-9983</f>
        <v>5291236.51219512</v>
      </c>
      <c r="E148" s="183" t="n">
        <f aca="false">Capitalization!F27-9983</f>
        <v>5291236.51219512</v>
      </c>
      <c r="F148" s="186" t="n">
        <f aca="false">Capitalization!G27-9983</f>
        <v>5291236.51219512</v>
      </c>
      <c r="G148" s="183" t="n">
        <f aca="false">Capitalization!H27-268406</f>
        <v>5032813.51219512</v>
      </c>
      <c r="H148" s="182" t="n">
        <f aca="false">Capitalization!I27-268406</f>
        <v>4931837.90243902</v>
      </c>
      <c r="I148" s="184" t="n">
        <f aca="false">Capitalization!J27-268406</f>
        <v>4780374.48780488</v>
      </c>
      <c r="J148" s="185" t="n">
        <f aca="false">Capitalization!K27-268406</f>
        <v>4780374.48780488</v>
      </c>
      <c r="K148" s="183" t="n">
        <f aca="false">Capitalization!L27-268406</f>
        <v>4780374.48780488</v>
      </c>
      <c r="L148" s="182" t="n">
        <f aca="false">Capitalization!M27-268406</f>
        <v>4780374.48780488</v>
      </c>
      <c r="M148" s="183" t="n">
        <f aca="false">Capitalization!N27-268406</f>
        <v>4780374.48780488</v>
      </c>
      <c r="N148" s="183" t="n">
        <f aca="false">Capitalization!O27-268406</f>
        <v>3013301.31707317</v>
      </c>
      <c r="O148" s="186" t="n">
        <f aca="false">Capitalization!P27-268406</f>
        <v>3013301.31707317</v>
      </c>
      <c r="P148" s="186" t="n">
        <f aca="false">Capitalization!Q27+470292</f>
        <v>5653706.63414634</v>
      </c>
      <c r="Q148" s="185" t="n">
        <f aca="false">Capitalization!R27+470292</f>
        <v>5653706.63414634</v>
      </c>
      <c r="R148" s="182" t="n">
        <f aca="false">Capitalization!S27+470292</f>
        <v>5653706.63414634</v>
      </c>
      <c r="S148" s="183" t="n">
        <f aca="false">Capitalization!T27+470292</f>
        <v>5653706.63414634</v>
      </c>
      <c r="T148" s="186" t="n">
        <f aca="false">Capitalization!U27+470292</f>
        <v>5653706.63414634</v>
      </c>
      <c r="U148" s="182" t="n">
        <f aca="false">Capitalization!V27+405886</f>
        <v>5589300.63414634</v>
      </c>
      <c r="V148" s="183" t="n">
        <f aca="false">Capitalization!W27+405886</f>
        <v>5589300.63414634</v>
      </c>
      <c r="W148" s="183" t="n">
        <f aca="false">Capitalization!X27+405886</f>
        <v>5589300.63414634</v>
      </c>
      <c r="X148" s="184" t="n">
        <f aca="false">Capitalization!Y27+405886</f>
        <v>5589300.63414634</v>
      </c>
      <c r="Y148" s="185" t="n">
        <f aca="false">Capitalization!Z27+405886</f>
        <v>5589300.63414634</v>
      </c>
      <c r="Z148" s="182" t="n">
        <f aca="false">Capitalization!AA27+405886</f>
        <v>4613203.07317073</v>
      </c>
      <c r="AA148" s="183" t="n">
        <f aca="false">Capitalization!AB27+405886</f>
        <v>4613203.07317073</v>
      </c>
      <c r="AB148" s="186" t="n">
        <f aca="false">Capitalization!AC27+405886</f>
        <v>4613203.07317073</v>
      </c>
      <c r="AC148" s="182" t="n">
        <f aca="false">Capitalization!AD27+313886</f>
        <v>4521203.07317073</v>
      </c>
      <c r="AD148" s="185" t="n">
        <f aca="false">Capitalization!AE27+313886</f>
        <v>4521203.07317073</v>
      </c>
      <c r="AE148" s="182" t="n">
        <f aca="false">Capitalization!AF27+313886</f>
        <v>5211203.07317073</v>
      </c>
      <c r="AF148" s="183" t="n">
        <f aca="false">Capitalization!AG27+313886</f>
        <v>5362666.48780488</v>
      </c>
      <c r="AG148" s="167" t="n">
        <f aca="false">Capitalization!AH27+313886</f>
        <v>5699251.85365854</v>
      </c>
      <c r="AH148" s="182" t="n">
        <f aca="false">Capitalization!AI27+622081</f>
        <v>6024276.12195122</v>
      </c>
      <c r="AI148" s="184" t="n">
        <f aca="false">Capitalization!AJ27+622081</f>
        <v>6024276.12195122</v>
      </c>
      <c r="AJ148" s="185" t="n">
        <f aca="false">Capitalization!AK27+622081</f>
        <v>5418422.46341464</v>
      </c>
      <c r="AK148" s="182" t="n">
        <f aca="false">Capitalization!AL27+622081</f>
        <v>5586715.14634146</v>
      </c>
      <c r="AL148" s="183" t="n">
        <f aca="false">Capitalization!AM27+622081</f>
        <v>5603544.41463415</v>
      </c>
      <c r="AM148" s="186" t="n">
        <f aca="false">Capitalization!AN27+622081</f>
        <v>6966715.14634146</v>
      </c>
      <c r="AN148" s="182" t="n">
        <f aca="false">Capitalization!AO27+1007853</f>
        <v>7554438.36585366</v>
      </c>
      <c r="AO148" s="185" t="n">
        <f aca="false">Capitalization!AP27+1007853</f>
        <v>7066389.58536585</v>
      </c>
      <c r="AP148" s="182" t="n">
        <f aca="false">Capitalization!AQ27+1007853</f>
        <v>6898096.90243902</v>
      </c>
      <c r="AQ148" s="183" t="n">
        <f aca="false">Capitalization!AR27+1007853</f>
        <v>6140779.82926829</v>
      </c>
    </row>
    <row r="149" customFormat="false" ht="12.8" hidden="false" customHeight="false" outlineLevel="0" collapsed="false">
      <c r="A149" s="139" t="s">
        <v>199</v>
      </c>
      <c r="B149" s="181" t="n">
        <f aca="false">Capitalization!C28-2129495</f>
        <v>842865.243902439</v>
      </c>
      <c r="C149" s="181" t="n">
        <f aca="false">Capitalization!D28-2129495</f>
        <v>842865.243902439</v>
      </c>
      <c r="D149" s="182" t="n">
        <f aca="false">Capitalization!E28-2129495</f>
        <v>842865.243902439</v>
      </c>
      <c r="E149" s="183" t="n">
        <f aca="false">Capitalization!F28-2129495</f>
        <v>438151.341463415</v>
      </c>
      <c r="F149" s="186" t="n">
        <f aca="false">Capitalization!G28-2129495</f>
        <v>438151.341463415</v>
      </c>
      <c r="G149" s="183" t="n">
        <f aca="false">Capitalization!H28-2850975</f>
        <v>-283328.658536586</v>
      </c>
      <c r="H149" s="182" t="n">
        <f aca="false">Capitalization!I28-2850975</f>
        <v>-283328.658536586</v>
      </c>
      <c r="I149" s="184" t="n">
        <f aca="false">Capitalization!J28-2850975</f>
        <v>-283328.658536586</v>
      </c>
      <c r="J149" s="185" t="n">
        <f aca="false">Capitalization!K28-2850975</f>
        <v>-283328.658536586</v>
      </c>
      <c r="K149" s="183" t="n">
        <f aca="false">Capitalization!L28-2850975</f>
        <v>-283328.658536586</v>
      </c>
      <c r="L149" s="182" t="n">
        <f aca="false">Capitalization!M28-2850975</f>
        <v>-283328.658536586</v>
      </c>
      <c r="M149" s="183" t="n">
        <f aca="false">Capitalization!N28-2850975</f>
        <v>-283328.658536586</v>
      </c>
      <c r="N149" s="183" t="n">
        <f aca="false">Capitalization!O28-2850975</f>
        <v>-283328.658536586</v>
      </c>
      <c r="O149" s="186" t="n">
        <f aca="false">Capitalization!P28-2850975</f>
        <v>-283328.658536586</v>
      </c>
      <c r="P149" s="186" t="n">
        <f aca="false">Capitalization!Q28-3084699</f>
        <v>-517052.658536586</v>
      </c>
      <c r="Q149" s="185" t="n">
        <f aca="false">Capitalization!R28-3084699</f>
        <v>-517052.658536586</v>
      </c>
      <c r="R149" s="182" t="n">
        <f aca="false">Capitalization!S28-3084699</f>
        <v>-517052.658536586</v>
      </c>
      <c r="S149" s="183" t="n">
        <f aca="false">Capitalization!T28-3084699</f>
        <v>-517052.658536586</v>
      </c>
      <c r="T149" s="186" t="n">
        <f aca="false">Capitalization!U28-3084699</f>
        <v>-517052.658536586</v>
      </c>
      <c r="U149" s="182" t="n">
        <f aca="false">Capitalization!V28-2832552</f>
        <v>-264905.658536586</v>
      </c>
      <c r="V149" s="183" t="n">
        <f aca="false">Capitalization!W28-2832552</f>
        <v>-264905.658536586</v>
      </c>
      <c r="W149" s="183" t="n">
        <f aca="false">Capitalization!X28-2832552</f>
        <v>-264905.658536586</v>
      </c>
      <c r="X149" s="184" t="n">
        <f aca="false">Capitalization!Y28-2832552</f>
        <v>-264905.658536586</v>
      </c>
      <c r="Y149" s="185" t="n">
        <f aca="false">Capitalization!Z28-2832552</f>
        <v>-264905.658536586</v>
      </c>
      <c r="Z149" s="182" t="n">
        <f aca="false">Capitalization!AA28-2832552</f>
        <v>-801552</v>
      </c>
      <c r="AA149" s="183" t="n">
        <f aca="false">Capitalization!AB28-2832552</f>
        <v>-801552</v>
      </c>
      <c r="AB149" s="186" t="n">
        <f aca="false">Capitalization!AC28-2832552</f>
        <v>-801552</v>
      </c>
      <c r="AC149" s="182" t="n">
        <f aca="false">Capitalization!AD28-1661804</f>
        <v>369196</v>
      </c>
      <c r="AD149" s="185" t="n">
        <f aca="false">Capitalization!AE28-1661804</f>
        <v>369196</v>
      </c>
      <c r="AE149" s="182" t="n">
        <f aca="false">Capitalization!AF28-1661804</f>
        <v>5927.70731707313</v>
      </c>
      <c r="AF149" s="26" t="n">
        <f aca="false">Capitalization!AG28-1661804</f>
        <v>5927.70731707313</v>
      </c>
      <c r="AG149" s="182" t="n">
        <f aca="false">Capitalization!AH28-1660751</f>
        <v>6980.70731707313</v>
      </c>
      <c r="AH149" s="182" t="n">
        <f aca="false">Capitalization!AI28-1660751</f>
        <v>6980.70731707313</v>
      </c>
      <c r="AI149" s="184" t="n">
        <f aca="false">Capitalization!AJ28-1660751</f>
        <v>6980.70731707313</v>
      </c>
      <c r="AJ149" s="185" t="n">
        <f aca="false">Capitalization!AK28-1660751</f>
        <v>6980.70731707313</v>
      </c>
      <c r="AK149" s="182" t="n">
        <f aca="false">Capitalization!AL28-1660751</f>
        <v>6980.70731707313</v>
      </c>
      <c r="AL149" s="183" t="n">
        <f aca="false">Capitalization!AM28-1660751</f>
        <v>6980.70731707313</v>
      </c>
      <c r="AM149" s="186" t="n">
        <f aca="false">Capitalization!AN28-1660751</f>
        <v>6980.70731707313</v>
      </c>
      <c r="AN149" s="186" t="n">
        <f aca="false">Capitalization!AO28-1161333</f>
        <v>506398.707317073</v>
      </c>
      <c r="AO149" s="185" t="n">
        <f aca="false">Capitalization!AP28-1161333</f>
        <v>506398.707317073</v>
      </c>
      <c r="AP149" s="182" t="n">
        <f aca="false">Capitalization!AQ28-1161333</f>
        <v>506398.707317073</v>
      </c>
      <c r="AQ149" s="183" t="n">
        <f aca="false">Capitalization!AR28-1161333</f>
        <v>506398.707317073</v>
      </c>
    </row>
    <row r="150" customFormat="false" ht="12.8" hidden="false" customHeight="false" outlineLevel="0" collapsed="false">
      <c r="A150" s="139" t="s">
        <v>200</v>
      </c>
      <c r="B150" s="181" t="n">
        <f aca="false">Capitalization!C29-212130</f>
        <v>2749267.46341463</v>
      </c>
      <c r="C150" s="181" t="n">
        <f aca="false">Capitalization!D29-212130</f>
        <v>2749267.46341463</v>
      </c>
      <c r="D150" s="182" t="n">
        <f aca="false">Capitalization!E29-212130</f>
        <v>2749267.46341463</v>
      </c>
      <c r="E150" s="183" t="n">
        <f aca="false">Capitalization!F29-212130</f>
        <v>2749267.46341463</v>
      </c>
      <c r="F150" s="186" t="n">
        <f aca="false">Capitalization!G29-212130</f>
        <v>2749267.46341463</v>
      </c>
      <c r="G150" s="183" t="n">
        <f aca="false">Capitalization!H29-373317</f>
        <v>2588080.46341463</v>
      </c>
      <c r="H150" s="182" t="n">
        <f aca="false">Capitalization!I29-373317</f>
        <v>2588080.46341463</v>
      </c>
      <c r="I150" s="184" t="n">
        <f aca="false">Capitalization!J29-373317</f>
        <v>2434241.63414634</v>
      </c>
      <c r="J150" s="185" t="n">
        <f aca="false">Capitalization!K29-373317</f>
        <v>2447061.53658537</v>
      </c>
      <c r="K150" s="183" t="n">
        <f aca="false">Capitalization!L29-373317</f>
        <v>2267582.90243902</v>
      </c>
      <c r="L150" s="182" t="n">
        <f aca="false">Capitalization!M29-373317</f>
        <v>2267582.90243902</v>
      </c>
      <c r="M150" s="183" t="n">
        <f aca="false">Capitalization!N29-373317</f>
        <v>2267582.90243902</v>
      </c>
      <c r="N150" s="183" t="n">
        <f aca="false">Capitalization!O29-373317</f>
        <v>2267582.90243902</v>
      </c>
      <c r="O150" s="167" t="n">
        <f aca="false">Capitalization!P29-373317</f>
        <v>2075284.36585366</v>
      </c>
      <c r="P150" s="186" t="n">
        <f aca="false">Capitalization!Q29-64130</f>
        <v>2435750.97560976</v>
      </c>
      <c r="Q150" s="185" t="n">
        <f aca="false">Capitalization!R29-64130</f>
        <v>2499850.48780488</v>
      </c>
      <c r="R150" s="182" t="n">
        <f aca="false">Capitalization!S29-64130</f>
        <v>2499850.48780488</v>
      </c>
      <c r="S150" s="183" t="n">
        <f aca="false">Capitalization!T29-64130</f>
        <v>2551130.09756098</v>
      </c>
      <c r="T150" s="167" t="n">
        <f aca="false">Capitalization!U29-64130</f>
        <v>2371651.46341463</v>
      </c>
      <c r="U150" s="182" t="n">
        <f aca="false">Capitalization!V29+378910</f>
        <v>2750591.95121951</v>
      </c>
      <c r="V150" s="183" t="n">
        <f aca="false">Capitalization!W29+378910</f>
        <v>2750591.95121951</v>
      </c>
      <c r="W150" s="183" t="n">
        <f aca="false">Capitalization!X29+378910</f>
        <v>2750591.95121951</v>
      </c>
      <c r="X150" s="184" t="n">
        <f aca="false">Capitalization!Y29+378910</f>
        <v>3058269.6097561</v>
      </c>
      <c r="Y150" s="185" t="n">
        <f aca="false">Capitalization!Z29+378910</f>
        <v>2468554.09756098</v>
      </c>
      <c r="Z150" s="182" t="n">
        <f aca="false">Capitalization!AA29+378910</f>
        <v>2827511.36585366</v>
      </c>
      <c r="AA150" s="183" t="n">
        <f aca="false">Capitalization!AB29+378910</f>
        <v>3583885.6097561</v>
      </c>
      <c r="AB150" s="186" t="n">
        <f aca="false">Capitalization!AC29+378910</f>
        <v>3583885.6097561</v>
      </c>
      <c r="AC150" s="182" t="n">
        <f aca="false">Capitalization!AD29-92292</f>
        <v>3112683.6097561</v>
      </c>
      <c r="AD150" s="185" t="n">
        <f aca="false">Capitalization!AE29-92292</f>
        <v>2356309.36585366</v>
      </c>
      <c r="AE150" s="182" t="n">
        <f aca="false">Capitalization!AF29-92292</f>
        <v>2356309.36585366</v>
      </c>
      <c r="AF150" s="183" t="n">
        <f aca="false">Capitalization!AG29-92292</f>
        <v>2356309.36585366</v>
      </c>
      <c r="AG150" s="167" t="n">
        <f aca="false">Capitalization!AH29-92292</f>
        <v>2471688.48780488</v>
      </c>
      <c r="AH150" s="237" t="n">
        <f aca="false">Capitalization!AI29+257788</f>
        <v>2821768.48780488</v>
      </c>
      <c r="AI150" s="184" t="n">
        <f aca="false">Capitalization!AJ29+257788</f>
        <v>2821768.48780488</v>
      </c>
      <c r="AJ150" s="239" t="n">
        <f aca="false">Capitalization!AK29+257788</f>
        <v>3270465.07317073</v>
      </c>
      <c r="AK150" s="237" t="n">
        <f aca="false">Capitalization!AL29+257788</f>
        <v>2821768.48780488</v>
      </c>
      <c r="AL150" s="183" t="n">
        <f aca="false">Capitalization!AM29+257788</f>
        <v>2821768.48780488</v>
      </c>
      <c r="AM150" s="186" t="n">
        <f aca="false">Capitalization!AN29+257788</f>
        <v>2885868</v>
      </c>
      <c r="AN150" s="238" t="n">
        <f aca="false">Capitalization!AO29+929772</f>
        <v>3634771.41463415</v>
      </c>
      <c r="AO150" s="239" t="n">
        <f aca="false">Capitalization!AP29+929772</f>
        <v>2993776.29268293</v>
      </c>
      <c r="AP150" s="182" t="n">
        <f aca="false">Capitalization!AQ29+929772</f>
        <v>3980908.7804878</v>
      </c>
      <c r="AQ150" s="183" t="n">
        <f aca="false">Capitalization!AR29+929772</f>
        <v>3878349.56097561</v>
      </c>
    </row>
  </sheetData>
  <mergeCells count="5">
    <mergeCell ref="A2:AQ2"/>
    <mergeCell ref="A32:AQ32"/>
    <mergeCell ref="A62:AQ62"/>
    <mergeCell ref="A92:AQ92"/>
    <mergeCell ref="A122:AP12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A933"/>
    <pageSetUpPr fitToPage="false"/>
  </sheetPr>
  <dimension ref="A1:AR62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G5" activeCellId="0" sqref="G5"/>
    </sheetView>
  </sheetViews>
  <sheetFormatPr defaultColWidth="11.53515625" defaultRowHeight="12.8" zeroHeight="false" outlineLevelRow="0" outlineLevelCol="0"/>
  <cols>
    <col collapsed="false" customWidth="true" hidden="false" outlineLevel="0" max="2" min="2" style="243" width="10.83"/>
    <col collapsed="false" customWidth="true" hidden="false" outlineLevel="0" max="6" min="3" style="1" width="15.22"/>
    <col collapsed="false" customWidth="true" hidden="false" outlineLevel="0" max="7" min="7" style="1" width="15.36"/>
    <col collapsed="false" customWidth="true" hidden="false" outlineLevel="0" max="8" min="8" style="1" width="15.22"/>
    <col collapsed="false" customWidth="true" hidden="false" outlineLevel="0" max="9" min="9" style="1" width="15.36"/>
    <col collapsed="false" customWidth="true" hidden="false" outlineLevel="0" max="10" min="10" style="1" width="15.22"/>
    <col collapsed="false" customWidth="true" hidden="false" outlineLevel="0" max="13" min="11" style="1" width="15.36"/>
    <col collapsed="false" customWidth="true" hidden="false" outlineLevel="0" max="14" min="14" style="1" width="15.66"/>
    <col collapsed="false" customWidth="true" hidden="false" outlineLevel="0" max="15" min="15" style="1" width="15.22"/>
    <col collapsed="false" customWidth="true" hidden="false" outlineLevel="0" max="19" min="16" style="1" width="15.36"/>
    <col collapsed="false" customWidth="true" hidden="false" outlineLevel="0" max="20" min="20" style="1" width="15.22"/>
    <col collapsed="false" customWidth="true" hidden="false" outlineLevel="0" max="22" min="21" style="1" width="15.36"/>
    <col collapsed="false" customWidth="true" hidden="false" outlineLevel="0" max="25" min="23" style="1" width="15.22"/>
    <col collapsed="false" customWidth="true" hidden="false" outlineLevel="0" max="27" min="26" style="1" width="15.36"/>
    <col collapsed="false" customWidth="true" hidden="false" outlineLevel="0" max="28" min="28" style="1" width="15.22"/>
    <col collapsed="false" customWidth="true" hidden="false" outlineLevel="0" max="32" min="29" style="1" width="15.36"/>
    <col collapsed="false" customWidth="true" hidden="false" outlineLevel="0" max="33" min="33" style="1" width="15.22"/>
    <col collapsed="false" customWidth="true" hidden="false" outlineLevel="0" max="35" min="34" style="1" width="15.36"/>
    <col collapsed="false" customWidth="true" hidden="false" outlineLevel="0" max="36" min="36" style="1" width="15.51"/>
    <col collapsed="false" customWidth="true" hidden="false" outlineLevel="0" max="41" min="37" style="1" width="15.36"/>
    <col collapsed="false" customWidth="true" hidden="false" outlineLevel="0" max="42" min="42" style="1" width="17.16"/>
    <col collapsed="false" customWidth="true" hidden="false" outlineLevel="0" max="43" min="43" style="1" width="15.36"/>
    <col collapsed="false" customWidth="true" hidden="false" outlineLevel="0" max="44" min="44" style="1" width="14.52"/>
  </cols>
  <sheetData>
    <row r="1" customFormat="false" ht="12.8" hidden="false" customHeight="false" outlineLevel="0" collapsed="false">
      <c r="A1" s="180" t="s">
        <v>209</v>
      </c>
      <c r="B1" s="244" t="s">
        <v>270</v>
      </c>
      <c r="C1" s="19" t="s">
        <v>44</v>
      </c>
      <c r="D1" s="23" t="s">
        <v>43</v>
      </c>
      <c r="E1" s="23" t="s">
        <v>42</v>
      </c>
      <c r="F1" s="28" t="s">
        <v>41</v>
      </c>
      <c r="G1" s="23" t="s">
        <v>40</v>
      </c>
      <c r="H1" s="28" t="s">
        <v>38</v>
      </c>
      <c r="I1" s="23" t="s">
        <v>37</v>
      </c>
      <c r="J1" s="28" t="s">
        <v>36</v>
      </c>
      <c r="K1" s="46" t="s">
        <v>35</v>
      </c>
      <c r="L1" s="24" t="s">
        <v>34</v>
      </c>
      <c r="M1" s="23" t="s">
        <v>33</v>
      </c>
      <c r="N1" s="19" t="s">
        <v>32</v>
      </c>
      <c r="O1" s="19" t="s">
        <v>50</v>
      </c>
      <c r="P1" s="23" t="s">
        <v>51</v>
      </c>
      <c r="Q1" s="23" t="s">
        <v>52</v>
      </c>
      <c r="R1" s="46" t="s">
        <v>53</v>
      </c>
      <c r="S1" s="23" t="s">
        <v>54</v>
      </c>
      <c r="T1" s="19" t="s">
        <v>55</v>
      </c>
      <c r="U1" s="23" t="s">
        <v>56</v>
      </c>
      <c r="V1" s="23" t="s">
        <v>57</v>
      </c>
      <c r="W1" s="28" t="s">
        <v>58</v>
      </c>
      <c r="X1" s="28" t="s">
        <v>59</v>
      </c>
      <c r="Y1" s="28" t="s">
        <v>60</v>
      </c>
      <c r="Z1" s="46" t="s">
        <v>61</v>
      </c>
      <c r="AA1" s="23" t="s">
        <v>62</v>
      </c>
      <c r="AB1" s="19" t="s">
        <v>63</v>
      </c>
      <c r="AC1" s="23" t="s">
        <v>64</v>
      </c>
      <c r="AD1" s="23" t="s">
        <v>65</v>
      </c>
      <c r="AE1" s="46" t="s">
        <v>66</v>
      </c>
      <c r="AF1" s="23" t="s">
        <v>67</v>
      </c>
      <c r="AG1" s="19" t="s">
        <v>68</v>
      </c>
      <c r="AH1" s="23" t="s">
        <v>69</v>
      </c>
      <c r="AI1" s="23" t="s">
        <v>70</v>
      </c>
      <c r="AJ1" s="28" t="s">
        <v>71</v>
      </c>
      <c r="AK1" s="46" t="s">
        <v>72</v>
      </c>
      <c r="AL1" s="23" t="s">
        <v>73</v>
      </c>
      <c r="AM1" s="24" t="s">
        <v>74</v>
      </c>
      <c r="AN1" s="23" t="s">
        <v>75</v>
      </c>
      <c r="AO1" s="23" t="s">
        <v>76</v>
      </c>
      <c r="AP1" s="46" t="s">
        <v>77</v>
      </c>
      <c r="AQ1" s="23" t="s">
        <v>78</v>
      </c>
      <c r="AR1" s="24" t="s">
        <v>79</v>
      </c>
    </row>
    <row r="2" customFormat="false" ht="12.8" hidden="false" customHeight="false" outlineLevel="0" collapsed="false">
      <c r="A2" s="139" t="s">
        <v>24</v>
      </c>
      <c r="B2" s="245" t="n">
        <v>2279067</v>
      </c>
      <c r="C2" s="20" t="n">
        <f aca="false">'Historical Prices Outview - ALL'!C31*$B2/61.5</f>
        <v>889062183.8</v>
      </c>
      <c r="D2" s="20" t="n">
        <f aca="false">'Historical Prices Outview - ALL'!D31*$B2/61.5</f>
        <v>869378456.52</v>
      </c>
      <c r="E2" s="20" t="n">
        <f aca="false">'Historical Prices Outview - ALL'!E31*$B2/61.5</f>
        <v>899672259.78</v>
      </c>
      <c r="F2" s="20" t="n">
        <f aca="false">'Historical Prices Outview - ALL'!F31*$B2/61.5</f>
        <v>869685667.34</v>
      </c>
      <c r="G2" s="20" t="n">
        <f aca="false">'Historical Prices Outview - ALL'!G31*$B2/61.5</f>
        <v>804146000.28</v>
      </c>
      <c r="H2" s="20" t="n">
        <f aca="false">'Historical Prices Outview - ALL'!H31*$B2/61.5</f>
        <v>667246707.26</v>
      </c>
      <c r="I2" s="20" t="n">
        <f aca="false">'Historical Prices Outview - ALL'!I31*$B2/61.5</f>
        <v>665115131.1</v>
      </c>
      <c r="J2" s="20" t="n">
        <f aca="false">'Historical Prices Outview - ALL'!J31*$B2/61.5</f>
        <v>619203604.32</v>
      </c>
      <c r="K2" s="29" t="n">
        <f aca="false">'Historical Prices Outview - ALL'!K31*$B2/61.5</f>
        <v>527217866.14</v>
      </c>
      <c r="L2" s="25" t="n">
        <f aca="false">'Historical Prices Outview - ALL'!L31*$B2/61.5</f>
        <v>481133649.08</v>
      </c>
      <c r="M2" s="20" t="n">
        <f aca="false">'Historical Prices Outview - ALL'!M31*$B2/61.5</f>
        <v>462882584.08</v>
      </c>
      <c r="N2" s="20" t="n">
        <f aca="false">'Historical Prices Outview - ALL'!N31*$B2/61.5</f>
        <v>461004114.06</v>
      </c>
      <c r="O2" s="32" t="n">
        <f aca="false">'Historical Prices Outview - ALL'!O31*$B2/61.5</f>
        <v>456267360.5</v>
      </c>
      <c r="P2" s="32" t="n">
        <f aca="false">'Historical Prices Outview - ALL'!P31*$B2/61.5</f>
        <v>433578600</v>
      </c>
      <c r="Q2" s="32" t="n">
        <f aca="false">'Historical Prices Outview - ALL'!Q31*$B2/61.5</f>
        <v>459315010.42</v>
      </c>
      <c r="R2" s="33" t="n">
        <f aca="false">'Historical Prices Outview - ALL'!R31*$B2/61.5</f>
        <v>432772959.08</v>
      </c>
      <c r="S2" s="32" t="n">
        <f aca="false">'Historical Prices Outview - ALL'!S31*$B2/61.5</f>
        <v>410855375.56</v>
      </c>
      <c r="T2" s="32" t="n">
        <f aca="false">'Historical Prices Outview - ALL'!T31*$B2/61.5</f>
        <v>422381525.3</v>
      </c>
      <c r="U2" s="32" t="n">
        <f aca="false">'Historical Prices Outview - ALL'!U31*$B2/61.5</f>
        <v>431806486.44</v>
      </c>
      <c r="V2" s="32" t="n">
        <f aca="false">'Historical Prices Outview - ALL'!V31*$B2/61.5</f>
        <v>467236899.08</v>
      </c>
      <c r="W2" s="32" t="n">
        <f aca="false">'Historical Prices Outview - ALL'!W31*$B2/61.5</f>
        <v>450212083.3</v>
      </c>
      <c r="X2" s="32" t="n">
        <f aca="false">'Historical Prices Outview - ALL'!X31*$B2/61.5</f>
        <v>414399232.1</v>
      </c>
      <c r="Y2" s="32" t="n">
        <f aca="false">'Historical Prices Outview - ALL'!Y31*$B2/61.5</f>
        <v>460399698.08</v>
      </c>
      <c r="Z2" s="33" t="n">
        <f aca="false">'Historical Prices Outview - ALL'!Z31*$B2/61.5</f>
        <v>434539513.94</v>
      </c>
      <c r="AA2" s="32" t="n">
        <f aca="false">'Historical Prices Outview - ALL'!AA31*$B2/61.5</f>
        <v>379379792.68</v>
      </c>
      <c r="AB2" s="32" t="n">
        <f aca="false">'Historical Prices Outview - ALL'!AB31*$B2/61.5</f>
        <v>394664364.78</v>
      </c>
      <c r="AC2" s="32" t="n">
        <f aca="false">'Historical Prices Outview - ALL'!AC31*$B2/61.5</f>
        <v>326064077.5</v>
      </c>
      <c r="AD2" s="32" t="n">
        <f aca="false">'Historical Prices Outview - ALL'!AD31*$B2/61.5</f>
        <v>295535697.1</v>
      </c>
      <c r="AE2" s="33" t="n">
        <f aca="false">'Historical Prices Outview - ALL'!AE31*$B2/61.5</f>
        <v>270510429.7</v>
      </c>
      <c r="AF2" s="32" t="n">
        <f aca="false">'Historical Prices Outview - ALL'!AF31*$B2/61.5</f>
        <v>256123031.78</v>
      </c>
      <c r="AG2" s="32" t="n">
        <f aca="false">'Historical Prices Outview - ALL'!AG31*$B2/61.5</f>
        <v>262117533.86</v>
      </c>
      <c r="AH2" s="32" t="n">
        <f aca="false">'Historical Prices Outview - ALL'!AH31*$B2/61.5</f>
        <v>214980128.44</v>
      </c>
      <c r="AI2" s="32" t="n">
        <f aca="false">'Historical Prices Outview - ALL'!AI31*$B2/61.5</f>
        <v>223353383.54</v>
      </c>
      <c r="AJ2" s="32" t="n">
        <f aca="false">'Historical Prices Outview - ALL'!AJ31*$B2/61.5</f>
        <v>293175102.5</v>
      </c>
      <c r="AK2" s="33" t="n">
        <f aca="false">'Historical Prices Outview - ALL'!AK31*$B2/61.5</f>
        <v>246361584</v>
      </c>
      <c r="AL2" s="32" t="n">
        <f aca="false">'Historical Prices Outview - ALL'!AL31*$B2/61.5</f>
        <v>209372882.46</v>
      </c>
      <c r="AM2" s="32" t="n">
        <f aca="false">'Historical Prices Outview - ALL'!AM31*$B2/61.5</f>
        <v>204101381.96</v>
      </c>
      <c r="AN2" s="32" t="n">
        <f aca="false">'Historical Prices Outview - ALL'!AN31*$B2/61.5</f>
        <v>197031827.3</v>
      </c>
      <c r="AO2" s="32" t="n">
        <f aca="false">'Historical Prices Outview - ALL'!AO31*$B2/61.5</f>
        <v>209362506.22</v>
      </c>
      <c r="AP2" s="33" t="n">
        <f aca="false">'Historical Prices Outview - ALL'!AP31*$B2/61.5</f>
        <v>187157723.2</v>
      </c>
      <c r="AQ2" s="32" t="n">
        <f aca="false">'Historical Prices Outview - ALL'!AQ31*$B2/61.5</f>
        <v>194797600.48</v>
      </c>
      <c r="AR2" s="32" t="n">
        <f aca="false">'Historical Prices Outview - ALL'!AR31*$B2/61.5</f>
        <v>191033990</v>
      </c>
    </row>
    <row r="3" customFormat="false" ht="12.8" hidden="false" customHeight="false" outlineLevel="0" collapsed="false">
      <c r="A3" s="139" t="s">
        <v>180</v>
      </c>
      <c r="B3" s="245" t="n">
        <v>95838780</v>
      </c>
      <c r="C3" s="32" t="n">
        <f aca="false">'Historical Prices Outview - ALL'!C37*$B3/61.5</f>
        <v>636821421.902439</v>
      </c>
      <c r="D3" s="32" t="n">
        <f aca="false">'Historical Prices Outview - ALL'!D37*$B3/61.5</f>
        <v>640997811.014634</v>
      </c>
      <c r="E3" s="32" t="n">
        <f aca="false">'Historical Prices Outview - ALL'!E37*$B3/61.5</f>
        <v>649833679.02439</v>
      </c>
      <c r="F3" s="32" t="n">
        <f aca="false">'Historical Prices Outview - ALL'!F37*$B3/61.5</f>
        <v>653121806.273171</v>
      </c>
      <c r="G3" s="32" t="n">
        <f aca="false">'Historical Prices Outview - ALL'!G37*$B3/61.5</f>
        <v>654773661.668293</v>
      </c>
      <c r="H3" s="32" t="n">
        <f aca="false">'Historical Prices Outview - ALL'!H37*$B3/61.5</f>
        <v>654508741.463415</v>
      </c>
      <c r="I3" s="32" t="n">
        <f aca="false">'Historical Prices Outview - ALL'!I37*$B3/61.5</f>
        <v>654508741.463415</v>
      </c>
      <c r="J3" s="32" t="n">
        <f aca="false">'Historical Prices Outview - ALL'!J37*$B3/61.5</f>
        <v>654508741.463415</v>
      </c>
      <c r="K3" s="33" t="n">
        <f aca="false">'Historical Prices Outview - ALL'!K37*$B3/61.5</f>
        <v>598096321.365854</v>
      </c>
      <c r="L3" s="168" t="n">
        <f aca="false">'Historical Prices Outview - ALL'!L37*$B3/61.5</f>
        <v>640483554.146341</v>
      </c>
      <c r="M3" s="32" t="n">
        <f aca="false">'Historical Prices Outview - ALL'!M37*$B3/61.5</f>
        <v>623341658.536585</v>
      </c>
      <c r="N3" s="32" t="n">
        <f aca="false">'Historical Prices Outview - ALL'!N37*$B3/61.5</f>
        <v>623341658.536585</v>
      </c>
      <c r="O3" s="32" t="n">
        <f aca="false">'Historical Prices Outview - ALL'!O37*$B3/61.5</f>
        <v>621783304.390244</v>
      </c>
      <c r="P3" s="32" t="n">
        <f aca="false">'Historical Prices Outview - ALL'!P37*$B3/61.5</f>
        <v>626364865.580488</v>
      </c>
      <c r="Q3" s="32" t="n">
        <f aca="false">'Historical Prices Outview - ALL'!Q37*$B3/61.5</f>
        <v>599966346.341463</v>
      </c>
      <c r="R3" s="33" t="n">
        <f aca="false">'Historical Prices Outview - ALL'!R37*$B3/61.5</f>
        <v>568799263.414634</v>
      </c>
      <c r="S3" s="32" t="n">
        <f aca="false">'Historical Prices Outview - ALL'!S37*$B3/61.5</f>
        <v>545423951.219512</v>
      </c>
      <c r="T3" s="32" t="n">
        <f aca="false">'Historical Prices Outview - ALL'!T37*$B3/61.5</f>
        <v>574097667.512195</v>
      </c>
      <c r="U3" s="32" t="n">
        <f aca="false">'Historical Prices Outview - ALL'!U37*$B3/61.5</f>
        <v>579318153.902439</v>
      </c>
      <c r="V3" s="32" t="n">
        <f aca="false">'Historical Prices Outview - ALL'!V37*$B3/61.5</f>
        <v>561007492.682927</v>
      </c>
      <c r="W3" s="32" t="n">
        <f aca="false">'Historical Prices Outview - ALL'!W37*$B3/61.5</f>
        <v>559449138.536585</v>
      </c>
      <c r="X3" s="32" t="n">
        <f aca="false">'Historical Prices Outview - ALL'!X37*$B3/61.5</f>
        <v>545688871.42439</v>
      </c>
      <c r="Y3" s="32" t="n">
        <f aca="false">'Historical Prices Outview - ALL'!Y37*$B3/61.5</f>
        <v>568799263.414634</v>
      </c>
      <c r="Z3" s="33" t="n">
        <f aca="false">'Historical Prices Outview - ALL'!Z37*$B3/61.5</f>
        <v>537632180.487805</v>
      </c>
      <c r="AA3" s="32" t="n">
        <f aca="false">'Historical Prices Outview - ALL'!AA37*$B3/61.5</f>
        <v>522858983.180488</v>
      </c>
      <c r="AB3" s="32" t="n">
        <f aca="false">'Historical Prices Outview - ALL'!AB37*$B3/61.5</f>
        <v>552233958.839024</v>
      </c>
      <c r="AC3" s="32" t="n">
        <f aca="false">'Historical Prices Outview - ALL'!AC37*$B3/61.5</f>
        <v>536073826.341463</v>
      </c>
      <c r="AD3" s="32" t="n">
        <f aca="false">'Historical Prices Outview - ALL'!AD37*$B3/61.5</f>
        <v>508397456.702439</v>
      </c>
      <c r="AE3" s="33" t="n">
        <f aca="false">'Historical Prices Outview - ALL'!AE37*$B3/61.5</f>
        <v>489323201.95122</v>
      </c>
      <c r="AF3" s="32" t="n">
        <f aca="false">'Historical Prices Outview - ALL'!AF37*$B3/61.5</f>
        <v>495556618.536585</v>
      </c>
      <c r="AG3" s="32" t="n">
        <f aca="false">'Historical Prices Outview - ALL'!AG37*$B3/61.5</f>
        <v>497348725.804878</v>
      </c>
      <c r="AH3" s="32" t="n">
        <f aca="false">'Historical Prices Outview - ALL'!AH37*$B3/61.5</f>
        <v>487593428.84878</v>
      </c>
      <c r="AI3" s="32" t="n">
        <f aca="false">'Historical Prices Outview - ALL'!AI37*$B3/61.5</f>
        <v>418932345.160976</v>
      </c>
      <c r="AJ3" s="32" t="n">
        <f aca="false">'Historical Prices Outview - ALL'!AJ37*$B3/61.5</f>
        <v>498673326.829268</v>
      </c>
      <c r="AK3" s="33" t="n">
        <f aca="false">'Historical Prices Outview - ALL'!AK37*$B3/61.5</f>
        <v>498673326.829268</v>
      </c>
      <c r="AL3" s="32" t="n">
        <f aca="false">'Historical Prices Outview - ALL'!AL37*$B3/61.5</f>
        <v>481531431.219512</v>
      </c>
      <c r="AM3" s="32" t="n">
        <f aca="false">'Historical Prices Outview - ALL'!AM37*$B3/61.5</f>
        <v>467506243.902439</v>
      </c>
      <c r="AN3" s="32" t="n">
        <f aca="false">'Historical Prices Outview - ALL'!AN37*$B3/61.5</f>
        <v>458156119.02439</v>
      </c>
      <c r="AO3" s="32" t="n">
        <f aca="false">'Historical Prices Outview - ALL'!AO37*$B3/61.5</f>
        <v>456410762.380488</v>
      </c>
      <c r="AP3" s="33" t="n">
        <f aca="false">'Historical Prices Outview - ALL'!AP37*$B3/61.5</f>
        <v>453029133.882927</v>
      </c>
      <c r="AQ3" s="32" t="n">
        <f aca="false">'Historical Prices Outview - ALL'!AQ37*$B3/61.5</f>
        <v>449709839.551219</v>
      </c>
      <c r="AR3" s="32" t="n">
        <f aca="false">'Historical Prices Outview - ALL'!AR37*$B3/61.5</f>
        <v>446811300.839024</v>
      </c>
    </row>
    <row r="4" customFormat="false" ht="12.8" hidden="false" customHeight="false" outlineLevel="0" collapsed="false">
      <c r="A4" s="139" t="s">
        <v>181</v>
      </c>
      <c r="B4" s="245" t="n">
        <v>854061</v>
      </c>
      <c r="C4" s="32" t="n">
        <f aca="false">'Historical Prices Outview - ALL'!C46*$B4/61.5</f>
        <v>626662189.932683</v>
      </c>
      <c r="D4" s="32" t="n">
        <f aca="false">'Historical Prices Outview - ALL'!D46*$B4/61.5</f>
        <v>599396396.661463</v>
      </c>
      <c r="E4" s="32" t="n">
        <f aca="false">'Historical Prices Outview - ALL'!E46*$B4/61.5</f>
        <v>614694781.682927</v>
      </c>
      <c r="F4" s="32" t="n">
        <f aca="false">'Historical Prices Outview - ALL'!F46*$B4/61.5</f>
        <v>573912882.881951</v>
      </c>
      <c r="G4" s="32" t="n">
        <f aca="false">'Historical Prices Outview - ALL'!G46*$B4/61.5</f>
        <v>540210941.463415</v>
      </c>
      <c r="H4" s="32" t="n">
        <f aca="false">'Historical Prices Outview - ALL'!H46*$B4/61.5</f>
        <v>528828321.973171</v>
      </c>
      <c r="I4" s="32" t="n">
        <f aca="false">'Historical Prices Outview - ALL'!I46*$B4/61.5</f>
        <v>552015036.585366</v>
      </c>
      <c r="J4" s="32" t="n">
        <f aca="false">'Historical Prices Outview - ALL'!J46*$B4/61.5</f>
        <v>465341037.897561</v>
      </c>
      <c r="K4" s="33" t="n">
        <f aca="false">'Historical Prices Outview - ALL'!K46*$B4/61.5</f>
        <v>410217580.138537</v>
      </c>
      <c r="L4" s="168" t="n">
        <f aca="false">'Historical Prices Outview - ALL'!L46*$B4/61.5</f>
        <v>399083957.619512</v>
      </c>
      <c r="M4" s="32" t="n">
        <f aca="false">'Historical Prices Outview - ALL'!M46*$B4/61.5</f>
        <v>391733894.766342</v>
      </c>
      <c r="N4" s="32" t="n">
        <f aca="false">'Historical Prices Outview - ALL'!N46*$B4/61.5</f>
        <v>393006931.707317</v>
      </c>
      <c r="O4" s="32" t="n">
        <f aca="false">'Historical Prices Outview - ALL'!O46*$B4/61.5</f>
        <v>388381948.366829</v>
      </c>
      <c r="P4" s="32" t="n">
        <f aca="false">'Historical Prices Outview - ALL'!P46*$B4/61.5</f>
        <v>362732899.512195</v>
      </c>
      <c r="Q4" s="32" t="n">
        <f aca="false">'Historical Prices Outview - ALL'!Q46*$B4/61.5</f>
        <v>369181823.856585</v>
      </c>
      <c r="R4" s="33" t="n">
        <f aca="false">'Historical Prices Outview - ALL'!R46*$B4/61.5</f>
        <v>329125946.341463</v>
      </c>
      <c r="S4" s="32" t="n">
        <f aca="false">'Historical Prices Outview - ALL'!S46*$B4/61.5</f>
        <v>315363760.146341</v>
      </c>
      <c r="T4" s="32" t="n">
        <f aca="false">'Historical Prices Outview - ALL'!T46*$B4/61.5</f>
        <v>347500617.423415</v>
      </c>
      <c r="U4" s="32" t="n">
        <f aca="false">'Historical Prices Outview - ALL'!U46*$B4/61.5</f>
        <v>344401834.146341</v>
      </c>
      <c r="V4" s="32" t="n">
        <f aca="false">'Historical Prices Outview - ALL'!V46*$B4/61.5</f>
        <v>391618214.634146</v>
      </c>
      <c r="W4" s="32" t="n">
        <f aca="false">'Historical Prices Outview - ALL'!W46*$B4/61.5</f>
        <v>386025434.365366</v>
      </c>
      <c r="X4" s="32" t="n">
        <f aca="false">'Historical Prices Outview - ALL'!X46*$B4/61.5</f>
        <v>366418415.752683</v>
      </c>
      <c r="Y4" s="32" t="n">
        <f aca="false">'Historical Prices Outview - ALL'!Y46*$B4/61.5</f>
        <v>395784365.853659</v>
      </c>
      <c r="Z4" s="33" t="n">
        <f aca="false">'Historical Prices Outview - ALL'!Z46*$B4/61.5</f>
        <v>405434283.051707</v>
      </c>
      <c r="AA4" s="32" t="n">
        <f aca="false">'Historical Prices Outview - ALL'!AA46*$B4/61.5</f>
        <v>361080326.195122</v>
      </c>
      <c r="AB4" s="32" t="n">
        <f aca="false">'Historical Prices Outview - ALL'!AB46*$B4/61.5</f>
        <v>374802100.723415</v>
      </c>
      <c r="AC4" s="32" t="n">
        <f aca="false">'Historical Prices Outview - ALL'!AC46*$B4/61.5</f>
        <v>306780238.78878</v>
      </c>
      <c r="AD4" s="32" t="n">
        <f aca="false">'Historical Prices Outview - ALL'!AD46*$B4/61.5</f>
        <v>257553412.594146</v>
      </c>
      <c r="AE4" s="33" t="n">
        <f aca="false">'Historical Prices Outview - ALL'!AE46*$B4/61.5</f>
        <v>255662813.170732</v>
      </c>
      <c r="AF4" s="32" t="n">
        <f aca="false">'Historical Prices Outview - ALL'!AF46*$B4/61.5</f>
        <v>244171179.390244</v>
      </c>
      <c r="AG4" s="32" t="n">
        <f aca="false">'Historical Prices Outview - ALL'!AG46*$B4/61.5</f>
        <v>241328058.926341</v>
      </c>
      <c r="AH4" s="32" t="n">
        <f aca="false">'Historical Prices Outview - ALL'!AH46*$B4/61.5</f>
        <v>222194731.707317</v>
      </c>
      <c r="AI4" s="32" t="n">
        <f aca="false">'Historical Prices Outview - ALL'!AI46*$B4/61.5</f>
        <v>192726155.414634</v>
      </c>
      <c r="AJ4" s="32" t="n">
        <f aca="false">'Historical Prices Outview - ALL'!AJ46*$B4/61.5</f>
        <v>258670635.479512</v>
      </c>
      <c r="AK4" s="33" t="n">
        <f aca="false">'Historical Prices Outview - ALL'!AK46*$B4/61.5</f>
        <v>238917246.087317</v>
      </c>
      <c r="AL4" s="32" t="n">
        <f aca="false">'Historical Prices Outview - ALL'!AL46*$B4/61.5</f>
        <v>233998826.829268</v>
      </c>
      <c r="AM4" s="32" t="n">
        <f aca="false">'Historical Prices Outview - ALL'!AM46*$B4/61.5</f>
        <v>235877205.542439</v>
      </c>
      <c r="AN4" s="32" t="n">
        <f aca="false">'Historical Prices Outview - ALL'!AN46*$B4/61.5</f>
        <v>217804580.423902</v>
      </c>
      <c r="AO4" s="32" t="n">
        <f aca="false">'Historical Prices Outview - ALL'!AO46*$B4/61.5</f>
        <v>212473712.195122</v>
      </c>
      <c r="AP4" s="33" t="n">
        <f aca="false">'Historical Prices Outview - ALL'!AP46*$B4/61.5</f>
        <v>195809107.317073</v>
      </c>
      <c r="AQ4" s="32" t="n">
        <f aca="false">'Historical Prices Outview - ALL'!AQ46*$B4/61.5</f>
        <v>198258804.234146</v>
      </c>
      <c r="AR4" s="32" t="n">
        <f aca="false">'Historical Prices Outview - ALL'!AR46*$B4/61.5</f>
        <v>194420390.243902</v>
      </c>
    </row>
    <row r="5" customFormat="false" ht="12.8" hidden="false" customHeight="false" outlineLevel="0" collapsed="false">
      <c r="A5" s="139" t="s">
        <v>30</v>
      </c>
      <c r="B5" s="245" t="n">
        <v>1431353</v>
      </c>
      <c r="C5" s="32" t="n">
        <f aca="false">'Historical Prices Outview - ALL'!C4*$B5/61.5</f>
        <v>518290128.416098</v>
      </c>
      <c r="D5" s="32" t="n">
        <f aca="false">'Historical Prices Outview - ALL'!D4*$B5/61.5</f>
        <v>512282402.401626</v>
      </c>
      <c r="E5" s="32" t="n">
        <f aca="false">'Historical Prices Outview - ALL'!E4*$B5/61.5</f>
        <v>518986487.469106</v>
      </c>
      <c r="F5" s="32" t="n">
        <f aca="false">'Historical Prices Outview - ALL'!F4*$B5/61.5</f>
        <v>515020592.327642</v>
      </c>
      <c r="G5" s="32" t="n">
        <f aca="false">'Historical Prices Outview - ALL'!G4*$B5/61.5</f>
        <v>479189055.560976</v>
      </c>
      <c r="H5" s="32" t="n">
        <f aca="false">'Historical Prices Outview - ALL'!H4*$B5/61.5</f>
        <v>467290904.655935</v>
      </c>
      <c r="I5" s="32" t="n">
        <f aca="false">'Historical Prices Outview - ALL'!I4*$B5/61.5</f>
        <v>474678780.798862</v>
      </c>
      <c r="J5" s="32" t="n">
        <f aca="false">'Historical Prices Outview - ALL'!J4*$B5/61.5</f>
        <v>471234223.985854</v>
      </c>
      <c r="K5" s="33" t="n">
        <f aca="false">'Historical Prices Outview - ALL'!K4*$B5/61.5</f>
        <v>422529587.09187</v>
      </c>
      <c r="L5" s="168" t="n">
        <f aca="false">'Historical Prices Outview - ALL'!L4*$B5/61.5</f>
        <v>411979933.631057</v>
      </c>
      <c r="M5" s="32" t="n">
        <f aca="false">'Historical Prices Outview - ALL'!M4*$B5/61.5</f>
        <v>409332046.95122</v>
      </c>
      <c r="N5" s="32" t="n">
        <f aca="false">'Historical Prices Outview - ALL'!N4*$B5/61.5</f>
        <v>407624431.185203</v>
      </c>
      <c r="O5" s="32" t="n">
        <f aca="false">'Historical Prices Outview - ALL'!O4*$B5/61.5</f>
        <v>407168492.88813</v>
      </c>
      <c r="P5" s="32" t="n">
        <f aca="false">'Historical Prices Outview - ALL'!P4*$B5/61.5</f>
        <v>415406103.958374</v>
      </c>
      <c r="Q5" s="32" t="n">
        <f aca="false">'Historical Prices Outview - ALL'!Q4*$B5/61.5</f>
        <v>416945913.949919</v>
      </c>
      <c r="R5" s="33" t="n">
        <f aca="false">'Historical Prices Outview - ALL'!R4*$B5/61.5</f>
        <v>399319092.680325</v>
      </c>
      <c r="S5" s="32" t="n">
        <f aca="false">'Historical Prices Outview - ALL'!S4*$B5/61.5</f>
        <v>374020219.330732</v>
      </c>
      <c r="T5" s="32" t="n">
        <f aca="false">'Historical Prices Outview - ALL'!T4*$B5/61.5</f>
        <v>392622920.783902</v>
      </c>
      <c r="U5" s="32" t="n">
        <f aca="false">'Historical Prices Outview - ALL'!U4*$B5/61.5</f>
        <v>389896135.133821</v>
      </c>
      <c r="V5" s="32" t="n">
        <f aca="false">'Historical Prices Outview - ALL'!V4*$B5/61.5</f>
        <v>418932585.365854</v>
      </c>
      <c r="W5" s="32" t="n">
        <f aca="false">'Historical Prices Outview - ALL'!W4*$B5/61.5</f>
        <v>408122030.000488</v>
      </c>
      <c r="X5" s="32" t="n">
        <f aca="false">'Historical Prices Outview - ALL'!X4*$B5/61.5</f>
        <v>383416178.999512</v>
      </c>
      <c r="Y5" s="32" t="n">
        <f aca="false">'Historical Prices Outview - ALL'!Y4*$B5/61.5</f>
        <v>423701434.629268</v>
      </c>
      <c r="Z5" s="33" t="n">
        <f aca="false">'Historical Prices Outview - ALL'!Z4*$B5/61.5</f>
        <v>429177116.260325</v>
      </c>
      <c r="AA5" s="32" t="n">
        <f aca="false">'Historical Prices Outview - ALL'!AA4*$B5/61.5</f>
        <v>398316214.619024</v>
      </c>
      <c r="AB5" s="32" t="n">
        <f aca="false">'Historical Prices Outview - ALL'!AB4*$B5/61.5</f>
        <v>417615740.605854</v>
      </c>
      <c r="AC5" s="32" t="n">
        <f aca="false">'Historical Prices Outview - ALL'!AC4*$B5/61.5</f>
        <v>360747504.065041</v>
      </c>
      <c r="AD5" s="32" t="n">
        <f aca="false">'Historical Prices Outview - ALL'!AD4*$B5/61.5</f>
        <v>332681813.729431</v>
      </c>
      <c r="AE5" s="33" t="n">
        <f aca="false">'Historical Prices Outview - ALL'!AE4*$B5/61.5</f>
        <v>307379682.015285</v>
      </c>
      <c r="AF5" s="32" t="n">
        <f aca="false">'Historical Prices Outview - ALL'!AF4*$B5/61.5</f>
        <v>290926570.205691</v>
      </c>
      <c r="AG5" s="32" t="n">
        <f aca="false">'Historical Prices Outview - ALL'!AG4*$B5/61.5</f>
        <v>298712199.56439</v>
      </c>
      <c r="AH5" s="32" t="n">
        <f aca="false">'Historical Prices Outview - ALL'!AH4*$B5/61.5</f>
        <v>277078520.856098</v>
      </c>
      <c r="AI5" s="32" t="n">
        <f aca="false">'Historical Prices Outview - ALL'!AI4*$B5/61.5</f>
        <v>225862848.593496</v>
      </c>
      <c r="AJ5" s="32" t="n">
        <f aca="false">'Historical Prices Outview - ALL'!AJ4*$B5/61.5</f>
        <v>303340473.671382</v>
      </c>
      <c r="AK5" s="33" t="n">
        <f aca="false">'Historical Prices Outview - ALL'!AK4*$B5/61.5</f>
        <v>276964012.616098</v>
      </c>
      <c r="AL5" s="32" t="n">
        <f aca="false">'Historical Prices Outview - ALL'!AL4*$B5/61.5</f>
        <v>260700118.690894</v>
      </c>
      <c r="AM5" s="32" t="n">
        <f aca="false">'Historical Prices Outview - ALL'!AM4*$B5/61.5</f>
        <v>232671899.547642</v>
      </c>
      <c r="AN5" s="32" t="n">
        <f aca="false">'Historical Prices Outview - ALL'!AN4*$B5/61.5</f>
        <v>210536432.698211</v>
      </c>
      <c r="AO5" s="32" t="n">
        <f aca="false">'Historical Prices Outview - ALL'!AO4*$B5/61.5</f>
        <v>197829276.422764</v>
      </c>
      <c r="AP5" s="33" t="n">
        <f aca="false">'Historical Prices Outview - ALL'!AP4*$B5/61.5</f>
        <v>190861962.04748</v>
      </c>
      <c r="AQ5" s="32" t="n">
        <f aca="false">'Historical Prices Outview - ALL'!AQ4*$B5/61.5</f>
        <v>194392632.780813</v>
      </c>
      <c r="AR5" s="32" t="n">
        <f aca="false">'Historical Prices Outview - ALL'!AR4*$B5/61.5</f>
        <v>187301500.55252</v>
      </c>
    </row>
    <row r="6" customFormat="false" ht="12.8" hidden="false" customHeight="false" outlineLevel="0" collapsed="false">
      <c r="A6" s="139" t="s">
        <v>182</v>
      </c>
      <c r="B6" s="245" t="n">
        <v>17460180</v>
      </c>
      <c r="C6" s="32" t="n">
        <f aca="false">'Historical Prices Outview - ALL'!C70*$B6/61.5</f>
        <v>562794123.892683</v>
      </c>
      <c r="D6" s="32" t="n">
        <f aca="false">'Historical Prices Outview - ALL'!D70*$B6/61.5</f>
        <v>511029658.536585</v>
      </c>
      <c r="E6" s="32" t="n">
        <f aca="false">'Historical Prices Outview - ALL'!E70*$B6/61.5</f>
        <v>511029658.536585</v>
      </c>
      <c r="F6" s="32" t="n">
        <f aca="false">'Historical Prices Outview - ALL'!F70*$B6/61.5</f>
        <v>445473070.507317</v>
      </c>
      <c r="G6" s="32" t="n">
        <f aca="false">'Historical Prices Outview - ALL'!G70*$B6/61.5</f>
        <v>442892370.731707</v>
      </c>
      <c r="H6" s="32" t="n">
        <f aca="false">'Historical Prices Outview - ALL'!H70*$B6/61.5</f>
        <v>452045479.726829</v>
      </c>
      <c r="I6" s="32" t="n">
        <f aca="false">'Historical Prices Outview - ALL'!I70*$B6/61.5</f>
        <v>429361440.995122</v>
      </c>
      <c r="J6" s="32" t="n">
        <f aca="false">'Historical Prices Outview - ALL'!J70*$B6/61.5</f>
        <v>400306565.853659</v>
      </c>
      <c r="K6" s="33" t="n">
        <f aca="false">'Historical Prices Outview - ALL'!K70*$B6/61.5</f>
        <v>374124813.014634</v>
      </c>
      <c r="L6" s="168" t="n">
        <f aca="false">'Historical Prices Outview - ALL'!L70*$B6/61.5</f>
        <v>380220261.219512</v>
      </c>
      <c r="M6" s="32" t="n">
        <f aca="false">'Historical Prices Outview - ALL'!M70*$B6/61.5</f>
        <v>368168478.439024</v>
      </c>
      <c r="N6" s="32" t="n">
        <f aca="false">'Historical Prices Outview - ALL'!N70*$B6/61.5</f>
        <v>368793070.243902</v>
      </c>
      <c r="O6" s="32" t="n">
        <f aca="false">'Historical Prices Outview - ALL'!O70*$B6/61.5</f>
        <v>365059714.682927</v>
      </c>
      <c r="P6" s="32" t="n">
        <f aca="false">'Historical Prices Outview - ALL'!P70*$B6/61.5</f>
        <v>350907032.195122</v>
      </c>
      <c r="Q6" s="32" t="n">
        <f aca="false">'Historical Prices Outview - ALL'!Q70*$B6/61.5</f>
        <v>373610944.302439</v>
      </c>
      <c r="R6" s="33" t="n">
        <f aca="false">'Historical Prices Outview - ALL'!R70*$B6/61.5</f>
        <v>382136622.439024</v>
      </c>
      <c r="S6" s="32" t="n">
        <f aca="false">'Historical Prices Outview - ALL'!S70*$B6/61.5</f>
        <v>383272243.902439</v>
      </c>
      <c r="T6" s="32" t="n">
        <f aca="false">'Historical Prices Outview - ALL'!T70*$B6/61.5</f>
        <v>399031830.760976</v>
      </c>
      <c r="U6" s="32" t="n">
        <f aca="false">'Historical Prices Outview - ALL'!U70*$B6/61.5</f>
        <v>388822593.804878</v>
      </c>
      <c r="V6" s="32" t="n">
        <f aca="false">'Historical Prices Outview - ALL'!V70*$B6/61.5</f>
        <v>425858048.780488</v>
      </c>
      <c r="W6" s="32" t="n">
        <f aca="false">'Historical Prices Outview - ALL'!W70*$B6/61.5</f>
        <v>398035322.926829</v>
      </c>
      <c r="X6" s="32" t="n">
        <f aca="false">'Historical Prices Outview - ALL'!X70*$B6/61.5</f>
        <v>384217648.770732</v>
      </c>
      <c r="Y6" s="32" t="n">
        <f aca="false">'Historical Prices Outview - ALL'!Y70*$B6/61.5</f>
        <v>425858048.780488</v>
      </c>
      <c r="Z6" s="33" t="n">
        <f aca="false">'Historical Prices Outview - ALL'!Z70*$B6/61.5</f>
        <v>389878721.765854</v>
      </c>
      <c r="AA6" s="32" t="n">
        <f aca="false">'Historical Prices Outview - ALL'!AA70*$B6/61.5</f>
        <v>371916029.268293</v>
      </c>
      <c r="AB6" s="32" t="n">
        <f aca="false">'Historical Prices Outview - ALL'!AB70*$B6/61.5</f>
        <v>381952083.95122</v>
      </c>
      <c r="AC6" s="32" t="n">
        <f aca="false">'Historical Prices Outview - ALL'!AC70*$B6/61.5</f>
        <v>340686439.02439</v>
      </c>
      <c r="AD6" s="32" t="n">
        <f aca="false">'Historical Prices Outview - ALL'!AD70*$B6/61.5</f>
        <v>338415196.097561</v>
      </c>
      <c r="AE6" s="33" t="n">
        <f aca="false">'Historical Prices Outview - ALL'!AE70*$B6/61.5</f>
        <v>325065965.795122</v>
      </c>
      <c r="AF6" s="32" t="n">
        <f aca="false">'Historical Prices Outview - ALL'!AF70*$B6/61.5</f>
        <v>323300074.419512</v>
      </c>
      <c r="AG6" s="32" t="n">
        <f aca="false">'Historical Prices Outview - ALL'!AG70*$B6/61.5</f>
        <v>335666992.156098</v>
      </c>
      <c r="AH6" s="32" t="n">
        <f aca="false">'Historical Prices Outview - ALL'!AH70*$B6/61.5</f>
        <v>298100634.146341</v>
      </c>
      <c r="AI6" s="32" t="n">
        <f aca="false">'Historical Prices Outview - ALL'!AI70*$B6/61.5</f>
        <v>251525958.878049</v>
      </c>
      <c r="AJ6" s="32" t="n">
        <f aca="false">'Historical Prices Outview - ALL'!AJ70*$B6/61.5</f>
        <v>354881707.317073</v>
      </c>
      <c r="AK6" s="33" t="n">
        <f aca="false">'Historical Prices Outview - ALL'!AK70*$B6/61.5</f>
        <v>341140687.609756</v>
      </c>
      <c r="AL6" s="32" t="n">
        <f aca="false">'Historical Prices Outview - ALL'!AL70*$B6/61.5</f>
        <v>340686439.02439</v>
      </c>
      <c r="AM6" s="32" t="n">
        <f aca="false">'Historical Prices Outview - ALL'!AM70*$B6/61.5</f>
        <v>340686439.02439</v>
      </c>
      <c r="AN6" s="32" t="n">
        <f aca="false">'Historical Prices Outview - ALL'!AN70*$B6/61.5</f>
        <v>293805145.960976</v>
      </c>
      <c r="AO6" s="32" t="n">
        <f aca="false">'Historical Prices Outview - ALL'!AO70*$B6/61.5</f>
        <v>334554083.121951</v>
      </c>
      <c r="AP6" s="33" t="n">
        <f aca="false">'Historical Prices Outview - ALL'!AP70*$B6/61.5</f>
        <v>340686439.02439</v>
      </c>
      <c r="AQ6" s="32" t="n">
        <f aca="false">'Historical Prices Outview - ALL'!AQ70*$B6/61.5</f>
        <v>328106592.263415</v>
      </c>
      <c r="AR6" s="32" t="n">
        <f aca="false">'Historical Prices Outview - ALL'!AR70*$B6/61.5</f>
        <v>322082120.4</v>
      </c>
    </row>
    <row r="7" customFormat="false" ht="12.8" hidden="false" customHeight="false" outlineLevel="0" collapsed="false">
      <c r="A7" s="139" t="s">
        <v>183</v>
      </c>
      <c r="B7" s="245" t="n">
        <v>563784</v>
      </c>
      <c r="C7" s="32" t="n">
        <f aca="false">'Historical Prices Outview - ALL'!C85*$B7/61.5</f>
        <v>332770068.292683</v>
      </c>
      <c r="D7" s="32" t="n">
        <f aca="false">'Historical Prices Outview - ALL'!D85*$B7/61.5</f>
        <v>340562204.878049</v>
      </c>
      <c r="E7" s="32" t="n">
        <f aca="false">'Historical Prices Outview - ALL'!E85*$B7/61.5</f>
        <v>340562204.878049</v>
      </c>
      <c r="F7" s="32" t="n">
        <f aca="false">'Historical Prices Outview - ALL'!F85*$B7/61.5</f>
        <v>341020565.853659</v>
      </c>
      <c r="G7" s="32" t="n">
        <f aca="false">'Historical Prices Outview - ALL'!G85*$B7/61.5</f>
        <v>341020565.853659</v>
      </c>
      <c r="H7" s="32" t="n">
        <f aca="false">'Historical Prices Outview - ALL'!H85*$B7/61.5</f>
        <v>286475609.756098</v>
      </c>
      <c r="I7" s="32" t="n">
        <f aca="false">'Historical Prices Outview - ALL'!I85*$B7/61.5</f>
        <v>286475609.756098</v>
      </c>
      <c r="J7" s="32" t="n">
        <f aca="false">'Historical Prices Outview - ALL'!J85*$B7/61.5</f>
        <v>279600195.121951</v>
      </c>
      <c r="K7" s="33" t="n">
        <f aca="false">'Historical Prices Outview - ALL'!K85*$B7/61.5</f>
        <v>278545964.878049</v>
      </c>
      <c r="L7" s="168" t="n">
        <f aca="false">'Historical Prices Outview - ALL'!L85*$B7/61.5</f>
        <v>264923476.682927</v>
      </c>
      <c r="M7" s="32" t="n">
        <f aca="false">'Historical Prices Outview - ALL'!M85*$B7/61.5</f>
        <v>264923476.682927</v>
      </c>
      <c r="N7" s="32" t="n">
        <f aca="false">'Historical Prices Outview - ALL'!N85*$B7/61.5</f>
        <v>264923476.682927</v>
      </c>
      <c r="O7" s="32" t="n">
        <f aca="false">'Historical Prices Outview - ALL'!O85*$B7/61.5</f>
        <v>264923476.682927</v>
      </c>
      <c r="P7" s="32" t="n">
        <f aca="false">'Historical Prices Outview - ALL'!P85*$B7/61.5</f>
        <v>267682809.756098</v>
      </c>
      <c r="Q7" s="32" t="n">
        <f aca="false">'Historical Prices Outview - ALL'!Q85*$B7/61.5</f>
        <v>273641502.439024</v>
      </c>
      <c r="R7" s="33" t="n">
        <f aca="false">'Historical Prices Outview - ALL'!R85*$B7/61.5</f>
        <v>265849365.853659</v>
      </c>
      <c r="S7" s="32" t="n">
        <f aca="false">'Historical Prices Outview - ALL'!S85*$B7/61.5</f>
        <v>261274923.317073</v>
      </c>
      <c r="T7" s="32" t="n">
        <f aca="false">'Historical Prices Outview - ALL'!T85*$B7/61.5</f>
        <v>258698934.634146</v>
      </c>
      <c r="U7" s="32" t="n">
        <f aca="false">'Historical Prices Outview - ALL'!U85*$B7/61.5</f>
        <v>320852682.926829</v>
      </c>
      <c r="V7" s="32" t="n">
        <f aca="false">'Historical Prices Outview - ALL'!V85*$B7/61.5</f>
        <v>375856000</v>
      </c>
      <c r="W7" s="32" t="n">
        <f aca="false">'Historical Prices Outview - ALL'!W85*$B7/61.5</f>
        <v>365772058.536585</v>
      </c>
      <c r="X7" s="32" t="n">
        <f aca="false">'Historical Prices Outview - ALL'!X85*$B7/61.5</f>
        <v>365772058.536585</v>
      </c>
      <c r="Y7" s="32" t="n">
        <f aca="false">'Historical Prices Outview - ALL'!Y85*$B7/61.5</f>
        <v>365772058.536585</v>
      </c>
      <c r="Z7" s="33" t="n">
        <f aca="false">'Historical Prices Outview - ALL'!Z85*$B7/61.5</f>
        <v>321833575.414634</v>
      </c>
      <c r="AA7" s="32" t="n">
        <f aca="false">'Historical Prices Outview - ALL'!AA85*$B7/61.5</f>
        <v>321778572.097561</v>
      </c>
      <c r="AB7" s="32" t="n">
        <f aca="false">'Historical Prices Outview - ALL'!AB85*$B7/61.5</f>
        <v>307431873.560976</v>
      </c>
      <c r="AC7" s="32" t="n">
        <f aca="false">'Historical Prices Outview - ALL'!AC85*$B7/61.5</f>
        <v>265858533.073171</v>
      </c>
      <c r="AD7" s="32" t="n">
        <f aca="false">'Historical Prices Outview - ALL'!AD85*$B7/61.5</f>
        <v>265849365.853659</v>
      </c>
      <c r="AE7" s="33" t="n">
        <f aca="false">'Historical Prices Outview - ALL'!AE85*$B7/61.5</f>
        <v>238356874.536585</v>
      </c>
      <c r="AF7" s="32" t="n">
        <f aca="false">'Historical Prices Outview - ALL'!AF85*$B7/61.5</f>
        <v>229189655.02439</v>
      </c>
      <c r="AG7" s="32" t="n">
        <f aca="false">'Historical Prices Outview - ALL'!AG85*$B7/61.5</f>
        <v>229180487.804878</v>
      </c>
      <c r="AH7" s="32" t="n">
        <f aca="false">'Historical Prices Outview - ALL'!AH85*$B7/61.5</f>
        <v>224596878.048781</v>
      </c>
      <c r="AI7" s="32" t="n">
        <f aca="false">'Historical Prices Outview - ALL'!AI85*$B7/61.5</f>
        <v>212221131.707317</v>
      </c>
      <c r="AJ7" s="32" t="n">
        <f aca="false">'Historical Prices Outview - ALL'!AJ85*$B7/61.5</f>
        <v>221846712.195122</v>
      </c>
      <c r="AK7" s="33" t="n">
        <f aca="false">'Historical Prices Outview - ALL'!AK85*$B7/61.5</f>
        <v>230097209.756098</v>
      </c>
      <c r="AL7" s="32" t="n">
        <f aca="false">'Historical Prices Outview - ALL'!AL85*$B7/61.5</f>
        <v>211313576.97561</v>
      </c>
      <c r="AM7" s="32" t="n">
        <f aca="false">'Historical Prices Outview - ALL'!AM85*$B7/61.5</f>
        <v>211304409.756098</v>
      </c>
      <c r="AN7" s="32" t="n">
        <f aca="false">'Historical Prices Outview - ALL'!AN85*$B7/61.5</f>
        <v>210855216</v>
      </c>
      <c r="AO7" s="32" t="n">
        <f aca="false">'Historical Prices Outview - ALL'!AO85*$B7/61.5</f>
        <v>215429658.536585</v>
      </c>
      <c r="AP7" s="33" t="n">
        <f aca="false">'Historical Prices Outview - ALL'!AP85*$B7/61.5</f>
        <v>210846048.780488</v>
      </c>
      <c r="AQ7" s="32" t="n">
        <f aca="false">'Historical Prices Outview - ALL'!AQ85*$B7/61.5</f>
        <v>218179824.390244</v>
      </c>
      <c r="AR7" s="32" t="n">
        <f aca="false">'Historical Prices Outview - ALL'!AR85*$B7/61.5</f>
        <v>218179824.390244</v>
      </c>
    </row>
    <row r="8" customFormat="false" ht="12.8" hidden="false" customHeight="false" outlineLevel="0" collapsed="false">
      <c r="A8" s="139" t="s">
        <v>27</v>
      </c>
      <c r="B8" s="245" t="n">
        <v>112382</v>
      </c>
      <c r="C8" s="32" t="n">
        <f aca="false">'Historical Prices Outview - ALL'!C40*$B8/61.5</f>
        <v>159310018.722602</v>
      </c>
      <c r="D8" s="32" t="n">
        <f aca="false">'Historical Prices Outview - ALL'!D40*$B8/61.5</f>
        <v>155096643.94439</v>
      </c>
      <c r="E8" s="32" t="n">
        <f aca="false">'Historical Prices Outview - ALL'!E40*$B8/61.5</f>
        <v>155324715.447154</v>
      </c>
      <c r="F8" s="32" t="n">
        <f aca="false">'Historical Prices Outview - ALL'!F40*$B8/61.5</f>
        <v>148928279.203577</v>
      </c>
      <c r="G8" s="32" t="n">
        <f aca="false">'Historical Prices Outview - ALL'!G40*$B8/61.5</f>
        <v>144269067.671545</v>
      </c>
      <c r="H8" s="20" t="n">
        <f aca="false">'Historical Prices Outview - ALL'!H40*$B8/61.5</f>
        <v>129700833.686829</v>
      </c>
      <c r="I8" s="20" t="n">
        <f aca="false">'Historical Prices Outview - ALL'!I40*$B8/61.5</f>
        <v>124259735.810732</v>
      </c>
      <c r="J8" s="20" t="n">
        <f aca="false">'Historical Prices Outview - ALL'!J40*$B8/61.5</f>
        <v>119691434.920976</v>
      </c>
      <c r="K8" s="33" t="n">
        <f aca="false">'Historical Prices Outview - ALL'!K40*$B8/61.5</f>
        <v>117636543.756098</v>
      </c>
      <c r="L8" s="168" t="n">
        <f aca="false">'Historical Prices Outview - ALL'!L40*$B8/61.5</f>
        <v>126998969.398374</v>
      </c>
      <c r="M8" s="32" t="n">
        <f aca="false">'Historical Prices Outview - ALL'!M40*$B8/61.5</f>
        <v>119234560.97561</v>
      </c>
      <c r="N8" s="32" t="n">
        <f aca="false">'Historical Prices Outview - ALL'!N40*$B8/61.5</f>
        <v>119325928.455285</v>
      </c>
      <c r="O8" s="32" t="n">
        <f aca="false">'Historical Prices Outview - ALL'!O40*$B8/61.5</f>
        <v>119326385.292683</v>
      </c>
      <c r="P8" s="32" t="n">
        <f aca="false">'Historical Prices Outview - ALL'!P40*$B8/61.5</f>
        <v>120480996.133333</v>
      </c>
      <c r="Q8" s="32" t="n">
        <f aca="false">'Historical Prices Outview - ALL'!Q40*$B8/61.5</f>
        <v>121650847.069593</v>
      </c>
      <c r="R8" s="33" t="n">
        <f aca="false">'Historical Prices Outview - ALL'!R40*$B8/61.5</f>
        <v>123152508.145041</v>
      </c>
      <c r="S8" s="32" t="n">
        <f aca="false">'Historical Prices Outview - ALL'!S40*$B8/61.5</f>
        <v>120605164.538211</v>
      </c>
      <c r="T8" s="32" t="n">
        <f aca="false">'Historical Prices Outview - ALL'!T40*$B8/61.5</f>
        <v>127608244.299837</v>
      </c>
      <c r="U8" s="32" t="n">
        <f aca="false">'Historical Prices Outview - ALL'!U40*$B8/61.5</f>
        <v>129741821.138211</v>
      </c>
      <c r="V8" s="32" t="n">
        <f aca="false">'Historical Prices Outview - ALL'!V40*$B8/61.5</f>
        <v>134316280.196098</v>
      </c>
      <c r="W8" s="32" t="n">
        <f aca="false">'Historical Prices Outview - ALL'!W40*$B8/61.5</f>
        <v>126074860.435447</v>
      </c>
      <c r="X8" s="32" t="n">
        <f aca="false">'Historical Prices Outview - ALL'!X40*$B8/61.5</f>
        <v>124990712.195122</v>
      </c>
      <c r="Y8" s="32" t="n">
        <f aca="false">'Historical Prices Outview - ALL'!Y40*$B8/61.5</f>
        <v>138878569.105691</v>
      </c>
      <c r="Z8" s="33" t="n">
        <f aca="false">'Historical Prices Outview - ALL'!Z40*$B8/61.5</f>
        <v>143044926.178862</v>
      </c>
      <c r="AA8" s="32" t="n">
        <f aca="false">'Historical Prices Outview - ALL'!AA40*$B8/61.5</f>
        <v>138029162.194146</v>
      </c>
      <c r="AB8" s="32" t="n">
        <f aca="false">'Historical Prices Outview - ALL'!AB40*$B8/61.5</f>
        <v>141135656.503089</v>
      </c>
      <c r="AC8" s="32" t="n">
        <f aca="false">'Historical Prices Outview - ALL'!AC40*$B8/61.5</f>
        <v>139238410.787642</v>
      </c>
      <c r="AD8" s="32" t="n">
        <f aca="false">'Historical Prices Outview - ALL'!AD40*$B8/61.5</f>
        <v>131569243.825691</v>
      </c>
      <c r="AE8" s="33" t="n">
        <f aca="false">'Historical Prices Outview - ALL'!AE40*$B8/61.5</f>
        <v>134541025.922602</v>
      </c>
      <c r="AF8" s="32" t="n">
        <f aca="false">'Historical Prices Outview - ALL'!AF40*$B8/61.5</f>
        <v>127841030.364553</v>
      </c>
      <c r="AG8" s="32" t="n">
        <f aca="false">'Historical Prices Outview - ALL'!AG40*$B8/61.5</f>
        <v>122864463.028618</v>
      </c>
      <c r="AH8" s="32" t="n">
        <f aca="false">'Historical Prices Outview - ALL'!AH40*$B8/61.5</f>
        <v>118777723.577236</v>
      </c>
      <c r="AI8" s="32" t="n">
        <f aca="false">'Historical Prices Outview - ALL'!AI40*$B8/61.5</f>
        <v>92274594.2865041</v>
      </c>
      <c r="AJ8" s="32" t="n">
        <f aca="false">'Historical Prices Outview - ALL'!AJ40*$B8/61.5</f>
        <v>140863728.610081</v>
      </c>
      <c r="AK8" s="33" t="n">
        <f aca="false">'Historical Prices Outview - ALL'!AK40*$B8/61.5</f>
        <v>142259513.050081</v>
      </c>
      <c r="AL8" s="32" t="n">
        <f aca="false">'Historical Prices Outview - ALL'!AL40*$B8/61.5</f>
        <v>133396447.23122</v>
      </c>
      <c r="AM8" s="32" t="n">
        <f aca="false">'Historical Prices Outview - ALL'!AM40*$B8/61.5</f>
        <v>121168043.033496</v>
      </c>
      <c r="AN8" s="32" t="n">
        <f aca="false">'Historical Prices Outview - ALL'!AN40*$B8/61.5</f>
        <v>113260918.60748</v>
      </c>
      <c r="AO8" s="32" t="n">
        <f aca="false">'Historical Prices Outview - ALL'!AO40*$B8/61.5</f>
        <v>94108504.0650407</v>
      </c>
      <c r="AP8" s="33" t="n">
        <f aca="false">'Historical Prices Outview - ALL'!AP40*$B8/61.5</f>
        <v>86790517.1479675</v>
      </c>
      <c r="AQ8" s="32" t="n">
        <f aca="false">'Historical Prices Outview - ALL'!AQ40*$B8/61.5</f>
        <v>88339762.4068293</v>
      </c>
      <c r="AR8" s="32" t="n">
        <f aca="false">'Historical Prices Outview - ALL'!AR40*$B8/61.5</f>
        <v>85068605.6260163</v>
      </c>
    </row>
    <row r="9" customFormat="false" ht="12.8" hidden="false" customHeight="false" outlineLevel="0" collapsed="false">
      <c r="A9" s="139" t="s">
        <v>31</v>
      </c>
      <c r="B9" s="245" t="n">
        <v>846360</v>
      </c>
      <c r="C9" s="20" t="n">
        <f aca="false">'Historical Prices Outview - ALL'!C50*$B9/61.5</f>
        <v>81456989.2682927</v>
      </c>
      <c r="D9" s="20" t="n">
        <f aca="false">'Historical Prices Outview - ALL'!D50*$B9/61.5</f>
        <v>81456989.2682927</v>
      </c>
      <c r="E9" s="20" t="n">
        <f aca="false">'Historical Prices Outview - ALL'!E50*$B9/61.5</f>
        <v>81456989.2682927</v>
      </c>
      <c r="F9" s="20" t="n">
        <f aca="false">'Historical Prices Outview - ALL'!F50*$B9/61.5</f>
        <v>73607860.3902439</v>
      </c>
      <c r="G9" s="20" t="n">
        <f aca="false">'Historical Prices Outview - ALL'!G50*$B9/61.5</f>
        <v>67433560.9756098</v>
      </c>
      <c r="H9" s="20" t="n">
        <f aca="false">'Historical Prices Outview - ALL'!H50*$B9/61.5</f>
        <v>70819000.9756098</v>
      </c>
      <c r="I9" s="32" t="n">
        <f aca="false">'Historical Prices Outview - ALL'!I50*$B9/61.5</f>
        <v>70819000.9756098</v>
      </c>
      <c r="J9" s="32" t="n">
        <f aca="false">'Historical Prices Outview - ALL'!J50*$B9/61.5</f>
        <v>67433560.9756098</v>
      </c>
      <c r="K9" s="33" t="n">
        <f aca="false">'Historical Prices Outview - ALL'!K50*$B9/61.5</f>
        <v>68672136.5853659</v>
      </c>
      <c r="L9" s="168" t="n">
        <f aca="false">'Historical Prices Outview - ALL'!L50*$B9/61.5</f>
        <v>83539172.4878049</v>
      </c>
      <c r="M9" s="32" t="n">
        <f aca="false">'Historical Prices Outview - ALL'!M50*$B9/61.5</f>
        <v>83539172.4878049</v>
      </c>
      <c r="N9" s="32" t="n">
        <f aca="false">'Historical Prices Outview - ALL'!N50*$B9/61.5</f>
        <v>83918176.6243903</v>
      </c>
      <c r="O9" s="32" t="n">
        <f aca="false">'Historical Prices Outview - ALL'!O50*$B9/61.5</f>
        <v>76547000.3121951</v>
      </c>
      <c r="P9" s="32" t="n">
        <f aca="false">'Historical Prices Outview - ALL'!P50*$B9/61.5</f>
        <v>45414439.0243902</v>
      </c>
      <c r="Q9" s="32" t="n">
        <f aca="false">'Historical Prices Outview - ALL'!Q50*$B9/61.5</f>
        <v>46102536.5853659</v>
      </c>
      <c r="R9" s="33" t="n">
        <f aca="false">'Historical Prices Outview - ALL'!R50*$B9/61.5</f>
        <v>48166829.2682927</v>
      </c>
      <c r="S9" s="32" t="n">
        <f aca="false">'Historical Prices Outview - ALL'!S50*$B9/61.5</f>
        <v>45455724.8780488</v>
      </c>
      <c r="T9" s="32" t="n">
        <f aca="false">'Historical Prices Outview - ALL'!T50*$B9/61.5</f>
        <v>49955882.9268293</v>
      </c>
      <c r="U9" s="32" t="n">
        <f aca="false">'Historical Prices Outview - ALL'!U50*$B9/61.5</f>
        <v>44905246.8292683</v>
      </c>
      <c r="V9" s="32" t="n">
        <f aca="false">'Historical Prices Outview - ALL'!V50*$B9/61.5</f>
        <v>50065978.5365854</v>
      </c>
      <c r="W9" s="32" t="n">
        <f aca="false">'Historical Prices Outview - ALL'!W50*$B9/61.5</f>
        <v>50244883.902439</v>
      </c>
      <c r="X9" s="32" t="n">
        <f aca="false">'Historical Prices Outview - ALL'!X50*$B9/61.5</f>
        <v>50244883.902439</v>
      </c>
      <c r="Y9" s="32" t="n">
        <f aca="false">'Historical Prices Outview - ALL'!Y50*$B9/61.5</f>
        <v>50244883.902439</v>
      </c>
      <c r="Z9" s="33" t="n">
        <f aca="false">'Historical Prices Outview - ALL'!Z50*$B9/61.5</f>
        <v>49446690.7317073</v>
      </c>
      <c r="AA9" s="32" t="n">
        <f aca="false">'Historical Prices Outview - ALL'!AA50*$B9/61.5</f>
        <v>49538207.7073171</v>
      </c>
      <c r="AB9" s="32" t="n">
        <f aca="false">'Historical Prices Outview - ALL'!AB50*$B9/61.5</f>
        <v>51543324</v>
      </c>
      <c r="AC9" s="32" t="n">
        <f aca="false">'Historical Prices Outview - ALL'!AC50*$B9/61.5</f>
        <v>46790634.1463415</v>
      </c>
      <c r="AD9" s="32" t="n">
        <f aca="false">'Historical Prices Outview - ALL'!AD50*$B9/61.5</f>
        <v>46790634.1463415</v>
      </c>
      <c r="AE9" s="33" t="n">
        <f aca="false">'Historical Prices Outview - ALL'!AE50*$B9/61.5</f>
        <v>46780725.5414634</v>
      </c>
      <c r="AF9" s="32" t="n">
        <f aca="false">'Historical Prices Outview - ALL'!AF50*$B9/61.5</f>
        <v>49439259.2780488</v>
      </c>
      <c r="AG9" s="32" t="n">
        <f aca="false">'Historical Prices Outview - ALL'!AG50*$B9/61.5</f>
        <v>43361568.7609756</v>
      </c>
      <c r="AH9" s="32" t="n">
        <f aca="false">'Historical Prices Outview - ALL'!AH50*$B9/61.5</f>
        <v>45414439.0243902</v>
      </c>
      <c r="AI9" s="32" t="n">
        <f aca="false">'Historical Prices Outview - ALL'!AI50*$B9/61.5</f>
        <v>41285853.6585366</v>
      </c>
      <c r="AJ9" s="32" t="n">
        <f aca="false">'Historical Prices Outview - ALL'!AJ50*$B9/61.5</f>
        <v>62148971.7073171</v>
      </c>
      <c r="AK9" s="33" t="n">
        <f aca="false">'Historical Prices Outview - ALL'!AK50*$B9/61.5</f>
        <v>66057365.8536585</v>
      </c>
      <c r="AL9" s="32" t="n">
        <f aca="false">'Historical Prices Outview - ALL'!AL50*$B9/61.5</f>
        <v>65860707.5707317</v>
      </c>
      <c r="AM9" s="32" t="n">
        <f aca="false">'Historical Prices Outview - ALL'!AM50*$B9/61.5</f>
        <v>62052638.0487805</v>
      </c>
      <c r="AN9" s="32" t="n">
        <f aca="false">'Historical Prices Outview - ALL'!AN50*$B9/61.5</f>
        <v>60552585.3658537</v>
      </c>
      <c r="AO9" s="32" t="n">
        <f aca="false">'Historical Prices Outview - ALL'!AO50*$B9/61.5</f>
        <v>58089196.097561</v>
      </c>
      <c r="AP9" s="33" t="n">
        <f aca="false">'Historical Prices Outview - ALL'!AP50*$B9/61.5</f>
        <v>55171662.4390244</v>
      </c>
      <c r="AQ9" s="32" t="n">
        <f aca="false">'Historical Prices Outview - ALL'!AQ50*$B9/61.5</f>
        <v>68075831.2390244</v>
      </c>
      <c r="AR9" s="32" t="n">
        <f aca="false">'Historical Prices Outview - ALL'!AR50*$B9/61.5</f>
        <v>60552585.3658537</v>
      </c>
    </row>
    <row r="10" customFormat="false" ht="12.8" hidden="false" customHeight="false" outlineLevel="0" collapsed="false">
      <c r="A10" s="139" t="s">
        <v>184</v>
      </c>
      <c r="B10" s="245" t="n">
        <v>3071377</v>
      </c>
      <c r="C10" s="32" t="n">
        <f aca="false">'Historical Prices Outview - ALL'!C16*$B10/61.5</f>
        <v>81419457.5100813</v>
      </c>
      <c r="D10" s="32" t="n">
        <f aca="false">'Historical Prices Outview - ALL'!D16*$B10/61.5</f>
        <v>71933147.5726829</v>
      </c>
      <c r="E10" s="32" t="n">
        <f aca="false">'Historical Prices Outview - ALL'!E16*$B10/61.5</f>
        <v>71915168.7804878</v>
      </c>
      <c r="F10" s="32" t="n">
        <f aca="false">'Historical Prices Outview - ALL'!F16*$B10/61.5</f>
        <v>71915168.7804878</v>
      </c>
      <c r="G10" s="32" t="n">
        <f aca="false">'Historical Prices Outview - ALL'!G16*$B10/61.5</f>
        <v>66921059.8373984</v>
      </c>
      <c r="H10" s="32" t="n">
        <f aca="false">'Historical Prices Outview - ALL'!H16*$B10/61.5</f>
        <v>68918703.4146342</v>
      </c>
      <c r="I10" s="32" t="n">
        <f aca="false">'Historical Prices Outview - ALL'!I16*$B10/61.5</f>
        <v>61427540</v>
      </c>
      <c r="J10" s="32" t="n">
        <f aca="false">'Historical Prices Outview - ALL'!J16*$B10/61.5</f>
        <v>58573906.1499187</v>
      </c>
      <c r="K10" s="33" t="n">
        <f aca="false">'Historical Prices Outview - ALL'!K16*$B10/61.5</f>
        <v>58893029.7113821</v>
      </c>
      <c r="L10" s="168" t="n">
        <f aca="false">'Historical Prices Outview - ALL'!L16*$B10/61.5</f>
        <v>55934020.1626016</v>
      </c>
      <c r="M10" s="32" t="n">
        <f aca="false">'Historical Prices Outview - ALL'!M16*$B10/61.5</f>
        <v>55714279.3691057</v>
      </c>
      <c r="N10" s="32" t="n">
        <f aca="false">'Historical Prices Outview - ALL'!N16*$B10/61.5</f>
        <v>55434609.2682927</v>
      </c>
      <c r="O10" s="32" t="n">
        <f aca="false">'Historical Prices Outview - ALL'!O16*$B10/61.5</f>
        <v>55434609.2682927</v>
      </c>
      <c r="P10" s="32" t="n">
        <f aca="false">'Historical Prices Outview - ALL'!P16*$B10/61.5</f>
        <v>57400789.959187</v>
      </c>
      <c r="Q10" s="32" t="n">
        <f aca="false">'Historical Prices Outview - ALL'!Q16*$B10/61.5</f>
        <v>59979248.4065041</v>
      </c>
      <c r="R10" s="33" t="n">
        <f aca="false">'Historical Prices Outview - ALL'!R16*$B10/61.5</f>
        <v>63678884.3115447</v>
      </c>
      <c r="S10" s="32" t="n">
        <f aca="false">'Historical Prices Outview - ALL'!S16*$B10/61.5</f>
        <v>74891657.7105691</v>
      </c>
      <c r="T10" s="32" t="n">
        <f aca="false">'Historical Prices Outview - ALL'!T16*$B10/61.5</f>
        <v>69336710.3331707</v>
      </c>
      <c r="U10" s="32" t="n">
        <f aca="false">'Historical Prices Outview - ALL'!U16*$B10/61.5</f>
        <v>65922238.0487805</v>
      </c>
      <c r="V10" s="32" t="n">
        <f aca="false">'Historical Prices Outview - ALL'!V16*$B10/61.5</f>
        <v>64920919.2056911</v>
      </c>
      <c r="W10" s="32" t="n">
        <f aca="false">'Historical Prices Outview - ALL'!W16*$B10/61.5</f>
        <v>59138240.4604878</v>
      </c>
      <c r="X10" s="32" t="n">
        <f aca="false">'Historical Prices Outview - ALL'!X16*$B10/61.5</f>
        <v>59138240.4604878</v>
      </c>
      <c r="Y10" s="32" t="n">
        <f aca="false">'Historical Prices Outview - ALL'!Y16*$B10/61.5</f>
        <v>65690511.3938211</v>
      </c>
      <c r="Z10" s="33" t="n">
        <f aca="false">'Historical Prices Outview - ALL'!Z16*$B10/61.5</f>
        <v>69556950.537561</v>
      </c>
      <c r="AA10" s="32" t="n">
        <f aca="false">'Historical Prices Outview - ALL'!AA16*$B10/61.5</f>
        <v>65173121.7073171</v>
      </c>
      <c r="AB10" s="32" t="n">
        <f aca="false">'Historical Prices Outview - ALL'!AB16*$B10/61.5</f>
        <v>64973357.3495935</v>
      </c>
      <c r="AC10" s="32" t="n">
        <f aca="false">'Historical Prices Outview - ALL'!AC16*$B10/61.5</f>
        <v>59929307.3170732</v>
      </c>
      <c r="AD10" s="32" t="n">
        <f aca="false">'Historical Prices Outview - ALL'!AD16*$B10/61.5</f>
        <v>52594958.923252</v>
      </c>
      <c r="AE10" s="33" t="n">
        <f aca="false">'Historical Prices Outview - ALL'!AE16*$B10/61.5</f>
        <v>55881582.0186992</v>
      </c>
      <c r="AF10" s="32" t="n">
        <f aca="false">'Historical Prices Outview - ALL'!AF16*$B10/61.5</f>
        <v>51439322.1138211</v>
      </c>
      <c r="AG10" s="32" t="n">
        <f aca="false">'Historical Prices Outview - ALL'!AG16*$B10/61.5</f>
        <v>51426337.4305691</v>
      </c>
      <c r="AH10" s="32" t="n">
        <f aca="false">'Historical Prices Outview - ALL'!AH16*$B10/61.5</f>
        <v>46500148.3691057</v>
      </c>
      <c r="AI10" s="32" t="n">
        <f aca="false">'Historical Prices Outview - ALL'!AI16*$B10/61.5</f>
        <v>39496409.9873171</v>
      </c>
      <c r="AJ10" s="32" t="n">
        <f aca="false">'Historical Prices Outview - ALL'!AJ16*$B10/61.5</f>
        <v>59899342.6634146</v>
      </c>
      <c r="AK10" s="33" t="n">
        <f aca="false">'Historical Prices Outview - ALL'!AK16*$B10/61.5</f>
        <v>56248149.615122</v>
      </c>
      <c r="AL10" s="32" t="n">
        <f aca="false">'Historical Prices Outview - ALL'!AL16*$B10/61.5</f>
        <v>51127190.3048781</v>
      </c>
      <c r="AM10" s="32" t="n">
        <f aca="false">'Historical Prices Outview - ALL'!AM16*$B10/61.5</f>
        <v>46815776.0543089</v>
      </c>
      <c r="AN10" s="32" t="n">
        <f aca="false">'Historical Prices Outview - ALL'!AN16*$B10/61.5</f>
        <v>43515169.4538211</v>
      </c>
      <c r="AO10" s="32" t="n">
        <f aca="false">'Historical Prices Outview - ALL'!AO16*$B10/61.5</f>
        <v>40951693.3333333</v>
      </c>
      <c r="AP10" s="33" t="n">
        <f aca="false">'Historical Prices Outview - ALL'!AP16*$B10/61.5</f>
        <v>39976843.2676423</v>
      </c>
      <c r="AQ10" s="32" t="n">
        <f aca="false">'Historical Prices Outview - ALL'!AQ16*$B10/61.5</f>
        <v>43178566.5110569</v>
      </c>
      <c r="AR10" s="32" t="n">
        <f aca="false">'Historical Prices Outview - ALL'!AR16*$B10/61.5</f>
        <v>40672522.6434146</v>
      </c>
    </row>
    <row r="11" customFormat="false" ht="12.8" hidden="false" customHeight="false" outlineLevel="0" collapsed="false">
      <c r="A11" s="139" t="s">
        <v>185</v>
      </c>
      <c r="B11" s="245" t="n">
        <v>545987</v>
      </c>
      <c r="C11" s="32" t="n">
        <f aca="false">'Historical Prices Outview - ALL'!C79*$B11/61.5</f>
        <v>62220057.0713821</v>
      </c>
      <c r="D11" s="32" t="n">
        <f aca="false">'Historical Prices Outview - ALL'!D79*$B11/61.5</f>
        <v>62144861.7886179</v>
      </c>
      <c r="E11" s="32" t="n">
        <f aca="false">'Historical Prices Outview - ALL'!E79*$B11/61.5</f>
        <v>63831650.8943089</v>
      </c>
      <c r="F11" s="32" t="n">
        <f aca="false">'Historical Prices Outview - ALL'!F79*$B11/61.5</f>
        <v>61700969.9186992</v>
      </c>
      <c r="G11" s="32" t="n">
        <f aca="false">'Historical Prices Outview - ALL'!G79*$B11/61.5</f>
        <v>59925402.4390244</v>
      </c>
      <c r="H11" s="32" t="n">
        <f aca="false">'Historical Prices Outview - ALL'!H79*$B11/61.5</f>
        <v>63338930.9186992</v>
      </c>
      <c r="I11" s="32" t="n">
        <f aca="false">'Historical Prices Outview - ALL'!I79*$B11/61.5</f>
        <v>61541168.8455285</v>
      </c>
      <c r="J11" s="32" t="n">
        <f aca="false">'Historical Prices Outview - ALL'!J79*$B11/61.5</f>
        <v>62855088.7804878</v>
      </c>
      <c r="K11" s="33" t="n">
        <f aca="false">'Historical Prices Outview - ALL'!K79*$B11/61.5</f>
        <v>50294280.5373984</v>
      </c>
      <c r="L11" s="168" t="n">
        <f aca="false">'Historical Prices Outview - ALL'!L79*$B11/61.5</f>
        <v>44407475.3369106</v>
      </c>
      <c r="M11" s="32" t="n">
        <f aca="false">'Historical Prices Outview - ALL'!M79*$B11/61.5</f>
        <v>44389186.9918699</v>
      </c>
      <c r="N11" s="32" t="n">
        <f aca="false">'Historical Prices Outview - ALL'!N79*$B11/61.5</f>
        <v>44389186.9918699</v>
      </c>
      <c r="O11" s="32" t="n">
        <f aca="false">'Historical Prices Outview - ALL'!O79*$B11/61.5</f>
        <v>44398064.8292683</v>
      </c>
      <c r="P11" s="32" t="n">
        <f aca="false">'Historical Prices Outview - ALL'!P79*$B11/61.5</f>
        <v>45720862.601626</v>
      </c>
      <c r="Q11" s="32" t="n">
        <f aca="false">'Historical Prices Outview - ALL'!Q79*$B11/61.5</f>
        <v>43501403.2520325</v>
      </c>
      <c r="R11" s="33" t="n">
        <f aca="false">'Historical Prices Outview - ALL'!R79*$B11/61.5</f>
        <v>35561065.4829268</v>
      </c>
      <c r="S11" s="32" t="n">
        <f aca="false">'Historical Prices Outview - ALL'!S79*$B11/61.5</f>
        <v>28142744.5528455</v>
      </c>
      <c r="T11" s="32" t="n">
        <f aca="false">'Historical Prices Outview - ALL'!T79*$B11/61.5</f>
        <v>25301836.5853659</v>
      </c>
      <c r="U11" s="32" t="n">
        <f aca="false">'Historical Prices Outview - ALL'!U79*$B11/61.5</f>
        <v>27521295.9349594</v>
      </c>
      <c r="V11" s="32" t="n">
        <f aca="false">'Historical Prices Outview - ALL'!V79*$B11/61.5</f>
        <v>24414052.8455285</v>
      </c>
      <c r="W11" s="32" t="n">
        <f aca="false">'Historical Prices Outview - ALL'!W79*$B11/61.5</f>
        <v>25854126.8499187</v>
      </c>
      <c r="X11" s="32" t="n">
        <f aca="false">'Historical Prices Outview - ALL'!X79*$B11/61.5</f>
        <v>25766857.7082927</v>
      </c>
      <c r="Y11" s="32" t="n">
        <f aca="false">'Historical Prices Outview - ALL'!Y79*$B11/61.5</f>
        <v>25766857.7082927</v>
      </c>
      <c r="Z11" s="33" t="n">
        <f aca="false">'Historical Prices Outview - ALL'!Z79*$B11/61.5</f>
        <v>23979038.8130081</v>
      </c>
      <c r="AA11" s="32" t="n">
        <f aca="false">'Historical Prices Outview - ALL'!AA79*$B11/61.5</f>
        <v>25648072.2439024</v>
      </c>
      <c r="AB11" s="32" t="n">
        <f aca="false">'Historical Prices Outview - ALL'!AB79*$B11/61.5</f>
        <v>25710217.1056911</v>
      </c>
      <c r="AC11" s="32" t="n">
        <f aca="false">'Historical Prices Outview - ALL'!AC79*$B11/61.5</f>
        <v>25914407.3658537</v>
      </c>
      <c r="AD11" s="32" t="n">
        <f aca="false">'Historical Prices Outview - ALL'!AD79*$B11/61.5</f>
        <v>22886443.3643902</v>
      </c>
      <c r="AE11" s="33" t="n">
        <f aca="false">'Historical Prices Outview - ALL'!AE79*$B11/61.5</f>
        <v>21306809.7560976</v>
      </c>
      <c r="AF11" s="32" t="n">
        <f aca="false">'Historical Prices Outview - ALL'!AF79*$B11/61.5</f>
        <v>21306809.7560976</v>
      </c>
      <c r="AG11" s="32" t="n">
        <f aca="false">'Historical Prices Outview - ALL'!AG79*$B11/61.5</f>
        <v>21306809.7560976</v>
      </c>
      <c r="AH11" s="32" t="n">
        <f aca="false">'Historical Prices Outview - ALL'!AH79*$B11/61.5</f>
        <v>18288345.0406504</v>
      </c>
      <c r="AI11" s="32" t="n">
        <f aca="false">'Historical Prices Outview - ALL'!AI79*$B11/61.5</f>
        <v>16734723.495935</v>
      </c>
      <c r="AJ11" s="32" t="n">
        <f aca="false">'Historical Prices Outview - ALL'!AJ79*$B11/61.5</f>
        <v>19979573.0650407</v>
      </c>
      <c r="AK11" s="33" t="n">
        <f aca="false">'Historical Prices Outview - ALL'!AK79*$B11/61.5</f>
        <v>21741557.4534959</v>
      </c>
      <c r="AL11" s="32" t="n">
        <f aca="false">'Historical Prices Outview - ALL'!AL79*$B11/61.5</f>
        <v>19486853.0894309</v>
      </c>
      <c r="AM11" s="32" t="n">
        <f aca="false">'Historical Prices Outview - ALL'!AM79*$B11/61.5</f>
        <v>19531242.2764228</v>
      </c>
      <c r="AN11" s="32" t="n">
        <f aca="false">'Historical Prices Outview - ALL'!AN79*$B11/61.5</f>
        <v>19531242.2764228</v>
      </c>
      <c r="AO11" s="32" t="n">
        <f aca="false">'Historical Prices Outview - ALL'!AO79*$B11/61.5</f>
        <v>20862917.8861789</v>
      </c>
      <c r="AP11" s="33" t="n">
        <f aca="false">'Historical Prices Outview - ALL'!AP79*$B11/61.5</f>
        <v>18643458.5365854</v>
      </c>
      <c r="AQ11" s="32" t="n">
        <f aca="false">'Historical Prices Outview - ALL'!AQ79*$B11/61.5</f>
        <v>20989693.4042276</v>
      </c>
      <c r="AR11" s="32" t="n">
        <f aca="false">'Historical Prices Outview - ALL'!AR79*$B11/61.5</f>
        <v>21297931.9186992</v>
      </c>
    </row>
    <row r="12" customFormat="false" ht="12.8" hidden="false" customHeight="false" outlineLevel="0" collapsed="false">
      <c r="A12" s="139" t="s">
        <v>29</v>
      </c>
      <c r="B12" s="245" t="n">
        <v>25920</v>
      </c>
      <c r="C12" s="20" t="n">
        <f aca="false">'Historical Prices Outview - ALL'!C56*$B12/61.5</f>
        <v>63105211.3170732</v>
      </c>
      <c r="D12" s="20" t="n">
        <f aca="false">'Historical Prices Outview - ALL'!D56*$B12/61.5</f>
        <v>60212370.7317073</v>
      </c>
      <c r="E12" s="20" t="n">
        <f aca="false">'Historical Prices Outview - ALL'!E56*$B12/61.5</f>
        <v>60212370.7317073</v>
      </c>
      <c r="F12" s="20" t="n">
        <f aca="false">'Historical Prices Outview - ALL'!F56*$B12/61.5</f>
        <v>62639789.2682927</v>
      </c>
      <c r="G12" s="20" t="n">
        <f aca="false">'Historical Prices Outview - ALL'!G56*$B12/61.5</f>
        <v>48889756.097561</v>
      </c>
      <c r="H12" s="32" t="n">
        <f aca="false">'Historical Prices Outview - ALL'!H56*$B12/61.5</f>
        <v>45939512.195122</v>
      </c>
      <c r="I12" s="32" t="n">
        <f aca="false">'Historical Prices Outview - ALL'!I56*$B12/61.5</f>
        <v>43655652.5268293</v>
      </c>
      <c r="J12" s="32" t="n">
        <f aca="false">'Historical Prices Outview - ALL'!J56*$B12/61.5</f>
        <v>41552461.5804878</v>
      </c>
      <c r="K12" s="33" t="n">
        <f aca="false">'Historical Prices Outview - ALL'!K56*$B12/61.5</f>
        <v>39196097.5609756</v>
      </c>
      <c r="L12" s="168" t="n">
        <f aca="false">'Historical Prices Outview - ALL'!L56*$B12/61.5</f>
        <v>36667317.0731707</v>
      </c>
      <c r="M12" s="32" t="n">
        <f aca="false">'Historical Prices Outview - ALL'!M56*$B12/61.5</f>
        <v>35824390.2439024</v>
      </c>
      <c r="N12" s="32" t="n">
        <f aca="false">'Historical Prices Outview - ALL'!N56*$B12/61.5</f>
        <v>35824390.2439024</v>
      </c>
      <c r="O12" s="32" t="n">
        <f aca="false">'Historical Prices Outview - ALL'!O56*$B12/61.5</f>
        <v>33717073.1707317</v>
      </c>
      <c r="P12" s="32" t="n">
        <f aca="false">'Historical Prices Outview - ALL'!P56*$B12/61.5</f>
        <v>33704488.2731707</v>
      </c>
      <c r="Q12" s="32" t="n">
        <f aca="false">'Historical Prices Outview - ALL'!Q56*$B12/61.5</f>
        <v>34560000</v>
      </c>
      <c r="R12" s="33" t="n">
        <f aca="false">'Historical Prices Outview - ALL'!R56*$B12/61.5</f>
        <v>36899121.9512195</v>
      </c>
      <c r="S12" s="32" t="n">
        <f aca="false">'Historical Prices Outview - ALL'!S56*$B12/61.5</f>
        <v>38353170.7317073</v>
      </c>
      <c r="T12" s="32" t="n">
        <f aca="false">'Historical Prices Outview - ALL'!T56*$B12/61.5</f>
        <v>38353170.7317073</v>
      </c>
      <c r="U12" s="32" t="n">
        <f aca="false">'Historical Prices Outview - ALL'!U56*$B12/61.5</f>
        <v>36250068.2926829</v>
      </c>
      <c r="V12" s="32" t="n">
        <f aca="false">'Historical Prices Outview - ALL'!V56*$B12/61.5</f>
        <v>34983570.7317073</v>
      </c>
      <c r="W12" s="32" t="n">
        <f aca="false">'Historical Prices Outview - ALL'!W56*$B12/61.5</f>
        <v>38775055.6097561</v>
      </c>
      <c r="X12" s="32" t="n">
        <f aca="false">'Historical Prices Outview - ALL'!X56*$B12/61.5</f>
        <v>38775055.6097561</v>
      </c>
      <c r="Y12" s="32" t="n">
        <f aca="false">'Historical Prices Outview - ALL'!Y56*$B12/61.5</f>
        <v>38775055.6097561</v>
      </c>
      <c r="Z12" s="33" t="n">
        <f aca="false">'Historical Prices Outview - ALL'!Z56*$B12/61.5</f>
        <v>42926048.7804878</v>
      </c>
      <c r="AA12" s="32" t="n">
        <f aca="false">'Historical Prices Outview - ALL'!AA56*$B12/61.5</f>
        <v>44675121.9512195</v>
      </c>
      <c r="AB12" s="32" t="n">
        <f aca="false">'Historical Prices Outview - ALL'!AB56*$B12/61.5</f>
        <v>43972681.5219512</v>
      </c>
      <c r="AC12" s="32" t="n">
        <f aca="false">'Historical Prices Outview - ALL'!AC56*$B12/61.5</f>
        <v>45518048.7804878</v>
      </c>
      <c r="AD12" s="32" t="n">
        <f aca="false">'Historical Prices Outview - ALL'!AD56*$B12/61.5</f>
        <v>42104195.1219512</v>
      </c>
      <c r="AE12" s="33" t="n">
        <f aca="false">'Historical Prices Outview - ALL'!AE56*$B12/61.5</f>
        <v>43832195.1219512</v>
      </c>
      <c r="AF12" s="32" t="n">
        <f aca="false">'Historical Prices Outview - ALL'!AF56*$B12/61.5</f>
        <v>37510243.902439</v>
      </c>
      <c r="AG12" s="32" t="n">
        <f aca="false">'Historical Prices Outview - ALL'!AG56*$B12/61.5</f>
        <v>35730732.6439024</v>
      </c>
      <c r="AH12" s="32" t="n">
        <f aca="false">'Historical Prices Outview - ALL'!AH56*$B12/61.5</f>
        <v>34559894.6341463</v>
      </c>
      <c r="AI12" s="32" t="n">
        <f aca="false">'Historical Prices Outview - ALL'!AI56*$B12/61.5</f>
        <v>35192195.1219512</v>
      </c>
      <c r="AJ12" s="32" t="n">
        <f aca="false">'Historical Prices Outview - ALL'!AJ56*$B12/61.5</f>
        <v>34981463.4146341</v>
      </c>
      <c r="AK12" s="33" t="n">
        <f aca="false">'Historical Prices Outview - ALL'!AK56*$B12/61.5</f>
        <v>32337737.2097561</v>
      </c>
      <c r="AL12" s="32" t="n">
        <f aca="false">'Historical Prices Outview - ALL'!AL56*$B12/61.5</f>
        <v>32667629.2682927</v>
      </c>
      <c r="AM12" s="32" t="n">
        <f aca="false">'Historical Prices Outview - ALL'!AM56*$B12/61.5</f>
        <v>32600195.1219512</v>
      </c>
      <c r="AN12" s="32" t="n">
        <f aca="false">'Historical Prices Outview - ALL'!AN56*$B12/61.5</f>
        <v>31188292.6829268</v>
      </c>
      <c r="AO12" s="32" t="n">
        <f aca="false">'Historical Prices Outview - ALL'!AO56*$B12/61.5</f>
        <v>32031219.5121951</v>
      </c>
      <c r="AP12" s="33" t="n">
        <f aca="false">'Historical Prices Outview - ALL'!AP56*$B12/61.5</f>
        <v>29519297.5609756</v>
      </c>
      <c r="AQ12" s="32" t="n">
        <f aca="false">'Historical Prices Outview - ALL'!AQ56*$B12/61.5</f>
        <v>28238048.7804878</v>
      </c>
      <c r="AR12" s="32" t="n">
        <f aca="false">'Historical Prices Outview - ALL'!AR56*$B12/61.5</f>
        <v>27605853.6585366</v>
      </c>
    </row>
    <row r="13" customFormat="false" ht="12.8" hidden="false" customHeight="false" outlineLevel="0" collapsed="false">
      <c r="A13" s="139" t="s">
        <v>186</v>
      </c>
      <c r="B13" s="245" t="n">
        <v>452247</v>
      </c>
      <c r="C13" s="32" t="n">
        <f aca="false">'Historical Prices Outview - ALL'!C36*$B13/61.5</f>
        <v>58997055.1039024</v>
      </c>
      <c r="D13" s="32" t="n">
        <f aca="false">'Historical Prices Outview - ALL'!D36*$B13/61.5</f>
        <v>55666825.8536585</v>
      </c>
      <c r="E13" s="32" t="n">
        <f aca="false">'Historical Prices Outview - ALL'!E36*$B13/61.5</f>
        <v>54049031.7073171</v>
      </c>
      <c r="F13" s="32" t="n">
        <f aca="false">'Historical Prices Outview - ALL'!F36*$B13/61.5</f>
        <v>58828878.0487805</v>
      </c>
      <c r="G13" s="32" t="n">
        <f aca="false">'Historical Prices Outview - ALL'!G36*$B13/61.5</f>
        <v>47813170.6341463</v>
      </c>
      <c r="H13" s="32" t="n">
        <f aca="false">'Historical Prices Outview - ALL'!H36*$B13/61.5</f>
        <v>42077355.0243902</v>
      </c>
      <c r="I13" s="32" t="n">
        <f aca="false">'Historical Prices Outview - ALL'!I36*$B13/61.5</f>
        <v>37871090.2439024</v>
      </c>
      <c r="J13" s="32" t="n">
        <f aca="false">'Historical Prices Outview - ALL'!J36*$B13/61.5</f>
        <v>36768048.7804878</v>
      </c>
      <c r="K13" s="33" t="n">
        <f aca="false">'Historical Prices Outview - ALL'!K36*$B13/61.5</f>
        <v>35107015.4087805</v>
      </c>
      <c r="L13" s="168" t="n">
        <f aca="false">'Historical Prices Outview - ALL'!L36*$B13/61.5</f>
        <v>32355882.9268293</v>
      </c>
      <c r="M13" s="32" t="n">
        <f aca="false">'Historical Prices Outview - ALL'!M36*$B13/61.5</f>
        <v>32355882.9268293</v>
      </c>
      <c r="N13" s="32" t="n">
        <f aca="false">'Historical Prices Outview - ALL'!N36*$B13/61.5</f>
        <v>32355882.9268293</v>
      </c>
      <c r="O13" s="32" t="n">
        <f aca="false">'Historical Prices Outview - ALL'!O36*$B13/61.5</f>
        <v>31988202.4390244</v>
      </c>
      <c r="P13" s="32" t="n">
        <f aca="false">'Historical Prices Outview - ALL'!P36*$B13/61.5</f>
        <v>32576491.2195122</v>
      </c>
      <c r="Q13" s="32" t="n">
        <f aca="false">'Historical Prices Outview - ALL'!Q36*$B13/61.5</f>
        <v>33458924.3902439</v>
      </c>
      <c r="R13" s="33" t="n">
        <f aca="false">'Historical Prices Outview - ALL'!R36*$B13/61.5</f>
        <v>32355882.9268293</v>
      </c>
      <c r="S13" s="32" t="n">
        <f aca="false">'Historical Prices Outview - ALL'!S36*$B13/61.5</f>
        <v>32355882.9268293</v>
      </c>
      <c r="T13" s="32" t="n">
        <f aca="false">'Historical Prices Outview - ALL'!T36*$B13/61.5</f>
        <v>32297568.8014634</v>
      </c>
      <c r="U13" s="32" t="n">
        <f aca="false">'Historical Prices Outview - ALL'!U36*$B13/61.5</f>
        <v>33525106.8780488</v>
      </c>
      <c r="V13" s="32" t="n">
        <f aca="false">'Historical Prices Outview - ALL'!V36*$B13/61.5</f>
        <v>33826604.8780488</v>
      </c>
      <c r="W13" s="32" t="n">
        <f aca="false">'Historical Prices Outview - ALL'!W36*$B13/61.5</f>
        <v>34561965.8536585</v>
      </c>
      <c r="X13" s="32" t="n">
        <f aca="false">'Historical Prices Outview - ALL'!X36*$B13/61.5</f>
        <v>34561965.8536585</v>
      </c>
      <c r="Y13" s="32" t="n">
        <f aca="false">'Historical Prices Outview - ALL'!Y36*$B13/61.5</f>
        <v>34561965.8536585</v>
      </c>
      <c r="Z13" s="33" t="n">
        <f aca="false">'Historical Prices Outview - ALL'!Z36*$B13/61.5</f>
        <v>35665007.3170732</v>
      </c>
      <c r="AA13" s="32" t="n">
        <f aca="false">'Historical Prices Outview - ALL'!AA36*$B13/61.5</f>
        <v>34561965.8536585</v>
      </c>
      <c r="AB13" s="32" t="n">
        <f aca="false">'Historical Prices Outview - ALL'!AB36*$B13/61.5</f>
        <v>36760695.1707317</v>
      </c>
      <c r="AC13" s="32" t="n">
        <f aca="false">'Historical Prices Outview - ALL'!AC36*$B13/61.5</f>
        <v>33091243.902439</v>
      </c>
      <c r="AD13" s="32" t="n">
        <f aca="false">'Historical Prices Outview - ALL'!AD36*$B13/61.5</f>
        <v>30598370.195122</v>
      </c>
      <c r="AE13" s="33" t="n">
        <f aca="false">'Historical Prices Outview - ALL'!AE36*$B13/61.5</f>
        <v>30641682.9565854</v>
      </c>
      <c r="AF13" s="32" t="n">
        <f aca="false">'Historical Prices Outview - ALL'!AF36*$B13/61.5</f>
        <v>29414439.0243902</v>
      </c>
      <c r="AG13" s="32" t="n">
        <f aca="false">'Historical Prices Outview - ALL'!AG36*$B13/61.5</f>
        <v>29414439.0243902</v>
      </c>
      <c r="AH13" s="32" t="n">
        <f aca="false">'Historical Prices Outview - ALL'!AH36*$B13/61.5</f>
        <v>32944171.7073171</v>
      </c>
      <c r="AI13" s="32" t="n">
        <f aca="false">'Historical Prices Outview - ALL'!AI36*$B13/61.5</f>
        <v>32355882.9268293</v>
      </c>
      <c r="AJ13" s="32" t="n">
        <f aca="false">'Historical Prices Outview - ALL'!AJ36*$B13/61.5</f>
        <v>41915575.6097561</v>
      </c>
      <c r="AK13" s="33" t="n">
        <f aca="false">'Historical Prices Outview - ALL'!AK36*$B13/61.5</f>
        <v>41402440.7209756</v>
      </c>
      <c r="AL13" s="32" t="n">
        <f aca="false">'Historical Prices Outview - ALL'!AL36*$B13/61.5</f>
        <v>39055021.4146341</v>
      </c>
      <c r="AM13" s="32" t="n">
        <f aca="false">'Historical Prices Outview - ALL'!AM36*$B13/61.5</f>
        <v>39047667.8048781</v>
      </c>
      <c r="AN13" s="32" t="n">
        <f aca="false">'Historical Prices Outview - ALL'!AN36*$B13/61.5</f>
        <v>39231508.0487805</v>
      </c>
      <c r="AO13" s="32" t="n">
        <f aca="false">'Historical Prices Outview - ALL'!AO36*$B13/61.5</f>
        <v>37144921.2804878</v>
      </c>
      <c r="AP13" s="33" t="n">
        <f aca="false">'Historical Prices Outview - ALL'!AP36*$B13/61.5</f>
        <v>36768048.7804878</v>
      </c>
      <c r="AQ13" s="32" t="n">
        <f aca="false">'Historical Prices Outview - ALL'!AQ36*$B13/61.5</f>
        <v>35853774.4795122</v>
      </c>
      <c r="AR13" s="32" t="n">
        <f aca="false">'Historical Prices Outview - ALL'!AR36*$B13/61.5</f>
        <v>34924866.495122</v>
      </c>
    </row>
    <row r="14" customFormat="false" ht="12.8" hidden="false" customHeight="false" outlineLevel="0" collapsed="false">
      <c r="A14" s="139" t="s">
        <v>187</v>
      </c>
      <c r="B14" s="245" t="n">
        <v>14622943</v>
      </c>
      <c r="C14" s="32" t="n">
        <f aca="false">'Historical Prices Outview - ALL'!C42*$B14/61.5</f>
        <v>32807702.0347967</v>
      </c>
      <c r="D14" s="32" t="n">
        <f aca="false">'Historical Prices Outview - ALL'!D42*$B14/61.5</f>
        <v>33288000.3252033</v>
      </c>
      <c r="E14" s="32" t="n">
        <f aca="false">'Historical Prices Outview - ALL'!E42*$B14/61.5</f>
        <v>33288000.3252033</v>
      </c>
      <c r="F14" s="32" t="n">
        <f aca="false">'Historical Prices Outview - ALL'!F42*$B14/61.5</f>
        <v>32486710.6030894</v>
      </c>
      <c r="G14" s="32" t="n">
        <f aca="false">'Historical Prices Outview - ALL'!G42*$B14/61.5</f>
        <v>33050228.8943089</v>
      </c>
      <c r="H14" s="32" t="n">
        <f aca="false">'Historical Prices Outview - ALL'!H42*$B14/61.5</f>
        <v>31385828.8780488</v>
      </c>
      <c r="I14" s="32" t="n">
        <f aca="false">'Historical Prices Outview - ALL'!I42*$B14/61.5</f>
        <v>31623600.3089431</v>
      </c>
      <c r="J14" s="32" t="n">
        <f aca="false">'Historical Prices Outview - ALL'!J42*$B14/61.5</f>
        <v>34476857.4796748</v>
      </c>
      <c r="K14" s="33" t="n">
        <f aca="false">'Historical Prices Outview - ALL'!K42*$B14/61.5</f>
        <v>30196971.7235772</v>
      </c>
      <c r="L14" s="168" t="n">
        <f aca="false">'Historical Prices Outview - ALL'!L42*$B14/61.5</f>
        <v>30860354.0157724</v>
      </c>
      <c r="M14" s="32" t="n">
        <f aca="false">'Historical Prices Outview - ALL'!M42*$B14/61.5</f>
        <v>29959200.2926829</v>
      </c>
      <c r="N14" s="32" t="n">
        <f aca="false">'Historical Prices Outview - ALL'!N42*$B14/61.5</f>
        <v>29959200.2926829</v>
      </c>
      <c r="O14" s="32" t="n">
        <f aca="false">'Historical Prices Outview - ALL'!O42*$B14/61.5</f>
        <v>29721428.8617886</v>
      </c>
      <c r="P14" s="32" t="n">
        <f aca="false">'Historical Prices Outview - ALL'!P42*$B14/61.5</f>
        <v>30910286.0162602</v>
      </c>
      <c r="Q14" s="32" t="n">
        <f aca="false">'Historical Prices Outview - ALL'!Q42*$B14/61.5</f>
        <v>31861371.7398374</v>
      </c>
      <c r="R14" s="33" t="n">
        <f aca="false">'Historical Prices Outview - ALL'!R42*$B14/61.5</f>
        <v>31385828.8780488</v>
      </c>
      <c r="S14" s="32" t="n">
        <f aca="false">'Historical Prices Outview - ALL'!S42*$B14/61.5</f>
        <v>28057028.8455285</v>
      </c>
      <c r="T14" s="32" t="n">
        <f aca="false">'Historical Prices Outview - ALL'!T42*$B14/61.5</f>
        <v>28882095.7107317</v>
      </c>
      <c r="U14" s="32" t="n">
        <f aca="false">'Historical Prices Outview - ALL'!U42*$B14/61.5</f>
        <v>28741810.5665041</v>
      </c>
      <c r="V14" s="32" t="n">
        <f aca="false">'Historical Prices Outview - ALL'!V42*$B14/61.5</f>
        <v>26154857.398374</v>
      </c>
      <c r="W14" s="32" t="n">
        <f aca="false">'Historical Prices Outview - ALL'!W42*$B14/61.5</f>
        <v>22826057.3658537</v>
      </c>
      <c r="X14" s="32" t="n">
        <f aca="false">'Historical Prices Outview - ALL'!X42*$B14/61.5</f>
        <v>20900108.7756098</v>
      </c>
      <c r="Y14" s="32" t="n">
        <f aca="false">'Historical Prices Outview - ALL'!Y42*$B14/61.5</f>
        <v>21637200.2113821</v>
      </c>
      <c r="Z14" s="33" t="n">
        <f aca="false">'Historical Prices Outview - ALL'!Z42*$B14/61.5</f>
        <v>23539371.6585366</v>
      </c>
      <c r="AA14" s="32" t="n">
        <f aca="false">'Historical Prices Outview - ALL'!AA42*$B14/61.5</f>
        <v>21473137.924065</v>
      </c>
      <c r="AB14" s="32" t="n">
        <f aca="false">'Historical Prices Outview - ALL'!AB42*$B14/61.5</f>
        <v>23301600.2276423</v>
      </c>
      <c r="AC14" s="32" t="n">
        <f aca="false">'Historical Prices Outview - ALL'!AC42*$B14/61.5</f>
        <v>22112743.0731707</v>
      </c>
      <c r="AD14" s="32" t="n">
        <f aca="false">'Historical Prices Outview - ALL'!AD42*$B14/61.5</f>
        <v>14741828.7154472</v>
      </c>
      <c r="AE14" s="33" t="n">
        <f aca="false">'Historical Prices Outview - ALL'!AE42*$B14/61.5</f>
        <v>15317235.5782114</v>
      </c>
      <c r="AF14" s="32" t="n">
        <f aca="false">'Historical Prices Outview - ALL'!AF42*$B14/61.5</f>
        <v>17119543.0243902</v>
      </c>
      <c r="AG14" s="32" t="n">
        <f aca="false">'Historical Prices Outview - ALL'!AG42*$B14/61.5</f>
        <v>18058740.1764228</v>
      </c>
      <c r="AH14" s="32" t="n">
        <f aca="false">'Historical Prices Outview - ALL'!AH42*$B14/61.5</f>
        <v>18308400.1788618</v>
      </c>
      <c r="AI14" s="32" t="n">
        <f aca="false">'Historical Prices Outview - ALL'!AI42*$B14/61.5</f>
        <v>17595085.8861789</v>
      </c>
      <c r="AJ14" s="32" t="n">
        <f aca="false">'Historical Prices Outview - ALL'!AJ42*$B14/61.5</f>
        <v>21874971.6422764</v>
      </c>
      <c r="AK14" s="33" t="n">
        <f aca="false">'Historical Prices Outview - ALL'!AK42*$B14/61.5</f>
        <v>22086588.2157724</v>
      </c>
      <c r="AL14" s="32" t="n">
        <f aca="false">'Historical Prices Outview - ALL'!AL42*$B14/61.5</f>
        <v>25679314.5365854</v>
      </c>
      <c r="AM14" s="32" t="n">
        <f aca="false">'Historical Prices Outview - ALL'!AM42*$B14/61.5</f>
        <v>23774765.375122</v>
      </c>
      <c r="AN14" s="32" t="n">
        <f aca="false">'Historical Prices Outview - ALL'!AN42*$B14/61.5</f>
        <v>24966000.2439024</v>
      </c>
      <c r="AO14" s="32" t="n">
        <f aca="false">'Historical Prices Outview - ALL'!AO42*$B14/61.5</f>
        <v>26154857.398374</v>
      </c>
      <c r="AP14" s="33" t="n">
        <f aca="false">'Historical Prices Outview - ALL'!AP42*$B14/61.5</f>
        <v>27105943.1219512</v>
      </c>
      <c r="AQ14" s="32" t="n">
        <f aca="false">'Historical Prices Outview - ALL'!AQ42*$B14/61.5</f>
        <v>34182020.9053659</v>
      </c>
      <c r="AR14" s="32" t="n">
        <f aca="false">'Historical Prices Outview - ALL'!AR42*$B14/61.5</f>
        <v>32099143.1707317</v>
      </c>
    </row>
    <row r="15" customFormat="false" ht="12.8" hidden="false" customHeight="false" outlineLevel="0" collapsed="false">
      <c r="A15" s="139" t="s">
        <v>188</v>
      </c>
      <c r="B15" s="245" t="n">
        <v>270450</v>
      </c>
      <c r="C15" s="32" t="n">
        <f aca="false">'Historical Prices Outview - ALL'!C9*$B15/61.5</f>
        <v>29463658.5365854</v>
      </c>
      <c r="D15" s="32" t="n">
        <f aca="false">'Historical Prices Outview - ALL'!D9*$B15/61.5</f>
        <v>29463658.5365854</v>
      </c>
      <c r="E15" s="32" t="n">
        <f aca="false">'Historical Prices Outview - ALL'!E9*$B15/61.5</f>
        <v>29463658.5365854</v>
      </c>
      <c r="F15" s="32" t="n">
        <f aca="false">'Historical Prices Outview - ALL'!F9*$B15/61.5</f>
        <v>29463658.5365854</v>
      </c>
      <c r="G15" s="32" t="n">
        <f aca="false">'Historical Prices Outview - ALL'!G9*$B15/61.5</f>
        <v>29463658.5365854</v>
      </c>
      <c r="H15" s="32" t="n">
        <f aca="false">'Historical Prices Outview - ALL'!H9*$B15/61.5</f>
        <v>28584146.3414634</v>
      </c>
      <c r="I15" s="32" t="n">
        <f aca="false">'Historical Prices Outview - ALL'!I9*$B15/61.5</f>
        <v>28584146.3414634</v>
      </c>
      <c r="J15" s="32" t="n">
        <f aca="false">'Historical Prices Outview - ALL'!J9*$B15/61.5</f>
        <v>26825121.9512195</v>
      </c>
      <c r="K15" s="33" t="n">
        <f aca="false">'Historical Prices Outview - ALL'!K9*$B15/61.5</f>
        <v>26829519.5121951</v>
      </c>
      <c r="L15" s="168" t="n">
        <f aca="false">'Historical Prices Outview - ALL'!L9*$B15/61.5</f>
        <v>25334348.7804878</v>
      </c>
      <c r="M15" s="32" t="n">
        <f aca="false">'Historical Prices Outview - ALL'!M9*$B15/61.5</f>
        <v>25334348.7804878</v>
      </c>
      <c r="N15" s="32" t="n">
        <f aca="false">'Historical Prices Outview - ALL'!N9*$B15/61.5</f>
        <v>25334348.7804878</v>
      </c>
      <c r="O15" s="32" t="n">
        <f aca="false">'Historical Prices Outview - ALL'!O9*$B15/61.5</f>
        <v>25066097.5609756</v>
      </c>
      <c r="P15" s="32" t="n">
        <f aca="false">'Historical Prices Outview - ALL'!P9*$B15/61.5</f>
        <v>25074892.6829268</v>
      </c>
      <c r="Q15" s="32" t="n">
        <f aca="false">'Historical Prices Outview - ALL'!Q9*$B15/61.5</f>
        <v>25167241.4634146</v>
      </c>
      <c r="R15" s="33" t="n">
        <f aca="false">'Historical Prices Outview - ALL'!R9*$B15/61.5</f>
        <v>24195380.4878049</v>
      </c>
      <c r="S15" s="32" t="n">
        <f aca="false">'Historical Prices Outview - ALL'!S9*$B15/61.5</f>
        <v>22823341.4634146</v>
      </c>
      <c r="T15" s="32" t="n">
        <f aca="false">'Historical Prices Outview - ALL'!T9*$B15/61.5</f>
        <v>22823341.4634146</v>
      </c>
      <c r="U15" s="32" t="n">
        <f aca="false">'Historical Prices Outview - ALL'!U9*$B15/61.5</f>
        <v>22031780.4878049</v>
      </c>
      <c r="V15" s="32" t="n">
        <f aca="false">'Historical Prices Outview - ALL'!V9*$B15/61.5</f>
        <v>24186585.3658537</v>
      </c>
      <c r="W15" s="32" t="n">
        <f aca="false">'Historical Prices Outview - ALL'!W9*$B15/61.5</f>
        <v>24186585.3658537</v>
      </c>
      <c r="X15" s="32" t="n">
        <f aca="false">'Historical Prices Outview - ALL'!X9*$B15/61.5</f>
        <v>24186585.3658537</v>
      </c>
      <c r="Y15" s="32" t="n">
        <f aca="false">'Historical Prices Outview - ALL'!Y9*$B15/61.5</f>
        <v>24186585.3658537</v>
      </c>
      <c r="Z15" s="33" t="n">
        <f aca="false">'Historical Prices Outview - ALL'!Z9*$B15/61.5</f>
        <v>24186585.3658537</v>
      </c>
      <c r="AA15" s="32" t="n">
        <f aca="false">'Historical Prices Outview - ALL'!AA9*$B15/61.5</f>
        <v>23883153.6585366</v>
      </c>
      <c r="AB15" s="32" t="n">
        <f aca="false">'Historical Prices Outview - ALL'!AB9*$B15/61.5</f>
        <v>23597312.195122</v>
      </c>
      <c r="AC15" s="32" t="n">
        <f aca="false">'Historical Prices Outview - ALL'!AC9*$B15/61.5</f>
        <v>22867317.0731707</v>
      </c>
      <c r="AD15" s="32" t="n">
        <f aca="false">'Historical Prices Outview - ALL'!AD9*$B15/61.5</f>
        <v>21987804.8780488</v>
      </c>
      <c r="AE15" s="33" t="n">
        <f aca="false">'Historical Prices Outview - ALL'!AE9*$B15/61.5</f>
        <v>19793421.9512195</v>
      </c>
      <c r="AF15" s="32" t="n">
        <f aca="false">'Historical Prices Outview - ALL'!AF9*$B15/61.5</f>
        <v>19797819.5121951</v>
      </c>
      <c r="AG15" s="32" t="n">
        <f aca="false">'Historical Prices Outview - ALL'!AG9*$B15/61.5</f>
        <v>19797819.5121951</v>
      </c>
      <c r="AH15" s="32" t="n">
        <f aca="false">'Historical Prices Outview - ALL'!AH9*$B15/61.5</f>
        <v>20818053.6585366</v>
      </c>
      <c r="AI15" s="32" t="n">
        <f aca="false">'Historical Prices Outview - ALL'!AI9*$B15/61.5</f>
        <v>21811902.4390244</v>
      </c>
      <c r="AJ15" s="32" t="n">
        <f aca="false">'Historical Prices Outview - ALL'!AJ9*$B15/61.5</f>
        <v>24136629.0731707</v>
      </c>
      <c r="AK15" s="33" t="n">
        <f aca="false">'Historical Prices Outview - ALL'!AK9*$B15/61.5</f>
        <v>25154048.7804878</v>
      </c>
      <c r="AL15" s="32" t="n">
        <f aca="false">'Historical Prices Outview - ALL'!AL9*$B15/61.5</f>
        <v>24186585.3658537</v>
      </c>
      <c r="AM15" s="32" t="n">
        <f aca="false">'Historical Prices Outview - ALL'!AM9*$B15/61.5</f>
        <v>22647439.0243902</v>
      </c>
      <c r="AN15" s="32" t="n">
        <f aca="false">'Historical Prices Outview - ALL'!AN9*$B15/61.5</f>
        <v>24186585.3658537</v>
      </c>
      <c r="AO15" s="167" t="n">
        <f aca="false">'Historical Prices Outview - ALL'!AO9*$B15/61.5</f>
        <v>24186585.3658537</v>
      </c>
      <c r="AP15" s="32" t="n">
        <f aca="false">'Historical Prices Outview - ALL'!AP9*$B15/61.5</f>
        <v>21143473.1707317</v>
      </c>
      <c r="AQ15" s="32" t="n">
        <f aca="false">'Historical Prices Outview - ALL'!AQ9*$B15/61.5</f>
        <v>21143473.1707317</v>
      </c>
      <c r="AR15" s="32" t="n">
        <f aca="false">'Historical Prices Outview - ALL'!AR9*$B15/61.5</f>
        <v>21548048.7804878</v>
      </c>
    </row>
    <row r="16" customFormat="false" ht="12.8" hidden="false" customHeight="false" outlineLevel="0" collapsed="false">
      <c r="A16" s="139" t="s">
        <v>189</v>
      </c>
      <c r="B16" s="245" t="n">
        <v>907888</v>
      </c>
      <c r="C16" s="32" t="n">
        <f aca="false">'Historical Prices Outview - ALL'!C77*$B16/61.5</f>
        <v>25761875.5902439</v>
      </c>
      <c r="D16" s="32" t="n">
        <f aca="false">'Historical Prices Outview - ALL'!D77*$B16/61.5</f>
        <v>26572331.7073171</v>
      </c>
      <c r="E16" s="32" t="n">
        <f aca="false">'Historical Prices Outview - ALL'!E77*$B16/61.5</f>
        <v>27059491.1219512</v>
      </c>
      <c r="F16" s="32" t="n">
        <f aca="false">'Historical Prices Outview - ALL'!F77*$B16/61.5</f>
        <v>22881730.0813008</v>
      </c>
      <c r="G16" s="32" t="n">
        <f aca="false">'Historical Prices Outview - ALL'!G77*$B16/61.5</f>
        <v>21590019.5121951</v>
      </c>
      <c r="H16" s="32" t="n">
        <f aca="false">'Historical Prices Outview - ALL'!H77*$B16/61.5</f>
        <v>21405489.4308943</v>
      </c>
      <c r="I16" s="32" t="n">
        <f aca="false">'Historical Prices Outview - ALL'!I77*$B16/61.5</f>
        <v>21479301.4634146</v>
      </c>
      <c r="J16" s="32" t="n">
        <f aca="false">'Historical Prices Outview - ALL'!J77*$B16/61.5</f>
        <v>21390727.0243902</v>
      </c>
      <c r="K16" s="33" t="n">
        <f aca="false">'Historical Prices Outview - ALL'!K77*$B16/61.5</f>
        <v>21405489.4308943</v>
      </c>
      <c r="L16" s="168" t="n">
        <f aca="false">'Historical Prices Outview - ALL'!L77*$B16/61.5</f>
        <v>18453451.0022764</v>
      </c>
      <c r="M16" s="32" t="n">
        <f aca="false">'Historical Prices Outview - ALL'!M77*$B16/61.5</f>
        <v>18455222.4910569</v>
      </c>
      <c r="N16" s="32" t="n">
        <f aca="false">'Historical Prices Outview - ALL'!N77*$B16/61.5</f>
        <v>18453008.1300813</v>
      </c>
      <c r="O16" s="32" t="n">
        <f aca="false">'Historical Prices Outview - ALL'!O77*$B16/61.5</f>
        <v>18452270.0097561</v>
      </c>
      <c r="P16" s="32" t="n">
        <f aca="false">'Historical Prices Outview - ALL'!P77*$B16/61.5</f>
        <v>18438245.7235772</v>
      </c>
      <c r="Q16" s="32" t="n">
        <f aca="false">'Historical Prices Outview - ALL'!Q77*$B16/61.5</f>
        <v>19944011.1869919</v>
      </c>
      <c r="R16" s="33" t="n">
        <f aca="false">'Historical Prices Outview - ALL'!R77*$B16/61.5</f>
        <v>20003060.8130081</v>
      </c>
      <c r="S16" s="32" t="n">
        <f aca="false">'Historical Prices Outview - ALL'!S77*$B16/61.5</f>
        <v>20372120.9756098</v>
      </c>
      <c r="T16" s="32" t="n">
        <f aca="false">'Historical Prices Outview - ALL'!T77*$B16/61.5</f>
        <v>20076872.8455285</v>
      </c>
      <c r="U16" s="32" t="n">
        <f aca="false">'Historical Prices Outview - ALL'!U77*$B16/61.5</f>
        <v>20973393.7925203</v>
      </c>
      <c r="V16" s="32" t="n">
        <f aca="false">'Historical Prices Outview - ALL'!V77*$B16/61.5</f>
        <v>20519745.0406504</v>
      </c>
      <c r="W16" s="32" t="n">
        <f aca="false">'Historical Prices Outview - ALL'!W77*$B16/61.5</f>
        <v>20572151.5837398</v>
      </c>
      <c r="X16" s="32" t="n">
        <f aca="false">'Historical Prices Outview - ALL'!X77*$B16/61.5</f>
        <v>19338752.5203252</v>
      </c>
      <c r="Y16" s="32" t="n">
        <f aca="false">'Historical Prices Outview - ALL'!Y77*$B16/61.5</f>
        <v>19338752.5203252</v>
      </c>
      <c r="Z16" s="33" t="n">
        <f aca="false">'Historical Prices Outview - ALL'!Z77*$B16/61.5</f>
        <v>21110241.300813</v>
      </c>
      <c r="AA16" s="32" t="n">
        <f aca="false">'Historical Prices Outview - ALL'!AA77*$B16/61.5</f>
        <v>20814993.1707317</v>
      </c>
      <c r="AB16" s="32" t="n">
        <f aca="false">'Historical Prices Outview - ALL'!AB77*$B16/61.5</f>
        <v>21376555.1141463</v>
      </c>
      <c r="AC16" s="32" t="n">
        <f aca="false">'Historical Prices Outview - ALL'!AC77*$B16/61.5</f>
        <v>21555770.7291057</v>
      </c>
      <c r="AD16" s="32" t="n">
        <f aca="false">'Historical Prices Outview - ALL'!AD77*$B16/61.5</f>
        <v>20667369.1056911</v>
      </c>
      <c r="AE16" s="33" t="n">
        <f aca="false">'Historical Prices Outview - ALL'!AE77*$B16/61.5</f>
        <v>19984607.8048781</v>
      </c>
      <c r="AF16" s="32" t="n">
        <f aca="false">'Historical Prices Outview - ALL'!AF77*$B16/61.5</f>
        <v>19191128.4552846</v>
      </c>
      <c r="AG16" s="32" t="n">
        <f aca="false">'Historical Prices Outview - ALL'!AG77*$B16/61.5</f>
        <v>19707369.8107317</v>
      </c>
      <c r="AH16" s="32" t="n">
        <f aca="false">'Historical Prices Outview - ALL'!AH77*$B16/61.5</f>
        <v>17272015.6097561</v>
      </c>
      <c r="AI16" s="32" t="n">
        <f aca="false">'Historical Prices Outview - ALL'!AI77*$B16/61.5</f>
        <v>17212965.9837398</v>
      </c>
      <c r="AJ16" s="32" t="n">
        <f aca="false">'Historical Prices Outview - ALL'!AJ77*$B16/61.5</f>
        <v>24697506.0813008</v>
      </c>
      <c r="AK16" s="33" t="n">
        <f aca="false">'Historical Prices Outview - ALL'!AK77*$B16/61.5</f>
        <v>23002781.8146341</v>
      </c>
      <c r="AL16" s="32" t="n">
        <f aca="false">'Historical Prices Outview - ALL'!AL77*$B16/61.5</f>
        <v>21110241.300813</v>
      </c>
      <c r="AM16" s="32" t="n">
        <f aca="false">'Historical Prices Outview - ALL'!AM77*$B16/61.5</f>
        <v>21848361.6260163</v>
      </c>
      <c r="AN16" s="32" t="n">
        <f aca="false">'Historical Prices Outview - ALL'!AN77*$B16/61.5</f>
        <v>19043504.3902439</v>
      </c>
      <c r="AO16" s="32" t="n">
        <f aca="false">'Historical Prices Outview - ALL'!AO77*$B16/61.5</f>
        <v>20372120.9756098</v>
      </c>
      <c r="AP16" s="33" t="n">
        <f aca="false">'Historical Prices Outview - ALL'!AP77*$B16/61.5</f>
        <v>18808929.7508943</v>
      </c>
      <c r="AQ16" s="32" t="n">
        <f aca="false">'Historical Prices Outview - ALL'!AQ77*$B16/61.5</f>
        <v>17700863.5186992</v>
      </c>
      <c r="AR16" s="32" t="n">
        <f aca="false">'Historical Prices Outview - ALL'!AR77*$B16/61.5</f>
        <v>16415796.0325203</v>
      </c>
    </row>
    <row r="17" customFormat="false" ht="12.8" hidden="false" customHeight="false" outlineLevel="0" collapsed="false">
      <c r="A17" s="139" t="s">
        <v>190</v>
      </c>
      <c r="B17" s="245" t="n">
        <v>39918</v>
      </c>
      <c r="C17" s="32" t="n">
        <f aca="false">'Historical Prices Outview - ALL'!C54*$B17/61.5</f>
        <v>22386533.6585366</v>
      </c>
      <c r="D17" s="32" t="n">
        <f aca="false">'Historical Prices Outview - ALL'!D54*$B17/61.5</f>
        <v>22393024.3902439</v>
      </c>
      <c r="E17" s="32" t="n">
        <f aca="false">'Historical Prices Outview - ALL'!E54*$B17/61.5</f>
        <v>22393024.3902439</v>
      </c>
      <c r="F17" s="32" t="n">
        <f aca="false">'Historical Prices Outview - ALL'!F54*$B17/61.5</f>
        <v>22393024.3902439</v>
      </c>
      <c r="G17" s="32" t="n">
        <f aca="false">'Historical Prices Outview - ALL'!G54*$B17/61.5</f>
        <v>22393024.3902439</v>
      </c>
      <c r="H17" s="32" t="n">
        <f aca="false">'Historical Prices Outview - ALL'!H54*$B17/61.5</f>
        <v>22263209.7560976</v>
      </c>
      <c r="I17" s="32" t="n">
        <f aca="false">'Historical Prices Outview - ALL'!I54*$B17/61.5</f>
        <v>21614785.6585366</v>
      </c>
      <c r="J17" s="32" t="n">
        <f aca="false">'Historical Prices Outview - ALL'!J54*$B17/61.5</f>
        <v>21614785.6585366</v>
      </c>
      <c r="K17" s="33" t="n">
        <f aca="false">'Historical Prices Outview - ALL'!K54*$B17/61.5</f>
        <v>19537751.5121951</v>
      </c>
      <c r="L17" s="168" t="n">
        <f aca="false">'Historical Prices Outview - ALL'!L54*$B17/61.5</f>
        <v>19537751.5121951</v>
      </c>
      <c r="M17" s="32" t="n">
        <f aca="false">'Historical Prices Outview - ALL'!M54*$B17/61.5</f>
        <v>19537751.5121951</v>
      </c>
      <c r="N17" s="32" t="n">
        <f aca="false">'Historical Prices Outview - ALL'!N54*$B17/61.5</f>
        <v>19537751.5121951</v>
      </c>
      <c r="O17" s="32" t="n">
        <f aca="false">'Historical Prices Outview - ALL'!O54*$B17/61.5</f>
        <v>19537751.5121951</v>
      </c>
      <c r="P17" s="32" t="n">
        <f aca="false">'Historical Prices Outview - ALL'!P54*$B17/61.5</f>
        <v>19472195.1219512</v>
      </c>
      <c r="Q17" s="32" t="n">
        <f aca="false">'Historical Prices Outview - ALL'!Q54*$B17/61.5</f>
        <v>20770341.4634146</v>
      </c>
      <c r="R17" s="33" t="n">
        <f aca="false">'Historical Prices Outview - ALL'!R54*$B17/61.5</f>
        <v>20770341.4634146</v>
      </c>
      <c r="S17" s="32" t="n">
        <f aca="false">'Historical Prices Outview - ALL'!S54*$B17/61.5</f>
        <v>21418116.4878049</v>
      </c>
      <c r="T17" s="32" t="n">
        <f aca="false">'Historical Prices Outview - ALL'!T54*$B17/61.5</f>
        <v>21419414.6341463</v>
      </c>
      <c r="U17" s="32" t="n">
        <f aca="false">'Historical Prices Outview - ALL'!U54*$B17/61.5</f>
        <v>21419414.6341463</v>
      </c>
      <c r="V17" s="32" t="n">
        <f aca="false">'Historical Prices Outview - ALL'!V54*$B17/61.5</f>
        <v>21419414.6341463</v>
      </c>
      <c r="W17" s="32" t="n">
        <f aca="false">'Historical Prices Outview - ALL'!W54*$B17/61.5</f>
        <v>24015707.3170732</v>
      </c>
      <c r="X17" s="32" t="n">
        <f aca="false">'Historical Prices Outview - ALL'!X54*$B17/61.5</f>
        <v>24015707.3170732</v>
      </c>
      <c r="Y17" s="32" t="n">
        <f aca="false">'Historical Prices Outview - ALL'!Y54*$B17/61.5</f>
        <v>24015707.3170732</v>
      </c>
      <c r="Z17" s="33" t="n">
        <f aca="false">'Historical Prices Outview - ALL'!Z54*$B17/61.5</f>
        <v>24009216.5853659</v>
      </c>
      <c r="AA17" s="32" t="n">
        <f aca="false">'Historical Prices Outview - ALL'!AA54*$B17/61.5</f>
        <v>24598575.0243902</v>
      </c>
      <c r="AB17" s="32" t="n">
        <f aca="false">'Historical Prices Outview - ALL'!AB54*$B17/61.5</f>
        <v>22393673.4634146</v>
      </c>
      <c r="AC17" s="32" t="n">
        <f aca="false">'Historical Prices Outview - ALL'!AC54*$B17/61.5</f>
        <v>22393024.3902439</v>
      </c>
      <c r="AD17" s="32" t="n">
        <f aca="false">'Historical Prices Outview - ALL'!AD54*$B17/61.5</f>
        <v>22393024.3902439</v>
      </c>
      <c r="AE17" s="33" t="n">
        <f aca="false">'Historical Prices Outview - ALL'!AE54*$B17/61.5</f>
        <v>21419414.6341463</v>
      </c>
      <c r="AF17" s="32" t="n">
        <f aca="false">'Historical Prices Outview - ALL'!AF54*$B17/61.5</f>
        <v>21059179.0243902</v>
      </c>
      <c r="AG17" s="32" t="n">
        <f aca="false">'Historical Prices Outview - ALL'!AG54*$B17/61.5</f>
        <v>21059179.0243902</v>
      </c>
      <c r="AH17" s="32" t="n">
        <f aca="false">'Historical Prices Outview - ALL'!AH54*$B17/61.5</f>
        <v>20445804.8780488</v>
      </c>
      <c r="AI17" s="32" t="n">
        <f aca="false">'Historical Prices Outview - ALL'!AI54*$B17/61.5</f>
        <v>24554438.0487805</v>
      </c>
      <c r="AJ17" s="32" t="n">
        <f aca="false">'Historical Prices Outview - ALL'!AJ54*$B17/61.5</f>
        <v>24554438.0487805</v>
      </c>
      <c r="AK17" s="33" t="n">
        <f aca="false">'Historical Prices Outview - ALL'!AK54*$B17/61.5</f>
        <v>26612000</v>
      </c>
      <c r="AL17" s="32" t="n">
        <f aca="false">'Historical Prices Outview - ALL'!AL54*$B17/61.5</f>
        <v>25638390.2439024</v>
      </c>
      <c r="AM17" s="32" t="n">
        <f aca="false">'Historical Prices Outview - ALL'!AM54*$B17/61.5</f>
        <v>25638390.2439024</v>
      </c>
      <c r="AN17" s="32" t="n">
        <f aca="false">'Historical Prices Outview - ALL'!AN54*$B17/61.5</f>
        <v>26678205.4634146</v>
      </c>
      <c r="AO17" s="32" t="n">
        <f aca="false">'Historical Prices Outview - ALL'!AO54*$B17/61.5</f>
        <v>28883756.097561</v>
      </c>
      <c r="AP17" s="33" t="n">
        <f aca="false">'Historical Prices Outview - ALL'!AP54*$B17/61.5</f>
        <v>29870347.3170732</v>
      </c>
      <c r="AQ17" s="32" t="n">
        <f aca="false">'Historical Prices Outview - ALL'!AQ54*$B17/61.5</f>
        <v>30181902.4390244</v>
      </c>
      <c r="AR17" s="32" t="n">
        <f aca="false">'Historical Prices Outview - ALL'!AR54*$B17/61.5</f>
        <v>28883756.097561</v>
      </c>
    </row>
    <row r="18" customFormat="false" ht="12.8" hidden="false" customHeight="false" outlineLevel="0" collapsed="false">
      <c r="A18" s="139" t="s">
        <v>26</v>
      </c>
      <c r="B18" s="245" t="n">
        <v>390377</v>
      </c>
      <c r="C18" s="20" t="n">
        <f aca="false">'Historical Prices Outview - ALL'!C69*$B18/61.5</f>
        <v>20312616.5666667</v>
      </c>
      <c r="D18" s="20" t="n">
        <f aca="false">'Historical Prices Outview - ALL'!D69*$B18/61.5</f>
        <v>21264438.2113821</v>
      </c>
      <c r="E18" s="20" t="n">
        <f aca="false">'Historical Prices Outview - ALL'!E69*$B18/61.5</f>
        <v>19553317.4326829</v>
      </c>
      <c r="F18" s="20" t="n">
        <f aca="false">'Historical Prices Outview - ALL'!F69*$B18/61.5</f>
        <v>19677539.8373984</v>
      </c>
      <c r="G18" s="20" t="n">
        <f aca="false">'Historical Prices Outview - ALL'!G69*$B18/61.5</f>
        <v>19042780.4878049</v>
      </c>
      <c r="H18" s="20" t="n">
        <f aca="false">'Historical Prices Outview - ALL'!H69*$B18/61.5</f>
        <v>18408021.1382114</v>
      </c>
      <c r="I18" s="20" t="n">
        <f aca="false">'Historical Prices Outview - ALL'!I69*$B18/61.5</f>
        <v>16802079.9837398</v>
      </c>
      <c r="J18" s="20" t="n">
        <f aca="false">'Historical Prices Outview - ALL'!J69*$B18/61.5</f>
        <v>16186363.4146341</v>
      </c>
      <c r="K18" s="29" t="n">
        <f aca="false">'Historical Prices Outview - ALL'!K69*$B18/61.5</f>
        <v>15234224.3902439</v>
      </c>
      <c r="L18" s="25" t="n">
        <f aca="false">'Historical Prices Outview - ALL'!L69*$B18/61.5</f>
        <v>17659005.1056911</v>
      </c>
      <c r="M18" s="20" t="n">
        <f aca="false">'Historical Prices Outview - ALL'!M69*$B18/61.5</f>
        <v>17144850.0325203</v>
      </c>
      <c r="N18" s="20" t="n">
        <f aca="false">'Historical Prices Outview - ALL'!N69*$B18/61.5</f>
        <v>15234224.3902439</v>
      </c>
      <c r="O18" s="32" t="n">
        <f aca="false">'Historical Prices Outview - ALL'!O69*$B18/61.5</f>
        <v>15234224.3902439</v>
      </c>
      <c r="P18" s="32" t="n">
        <f aca="false">'Historical Prices Outview - ALL'!P69*$B18/61.5</f>
        <v>15170748.4552846</v>
      </c>
      <c r="Q18" s="32" t="n">
        <f aca="false">'Historical Prices Outview - ALL'!Q69*$B18/61.5</f>
        <v>16503743.0894309</v>
      </c>
      <c r="R18" s="33" t="n">
        <f aca="false">'Historical Prices Outview - ALL'!R69*$B18/61.5</f>
        <v>15424652.195122</v>
      </c>
      <c r="S18" s="32" t="n">
        <f aca="false">'Historical Prices Outview - ALL'!S69*$B18/61.5</f>
        <v>17132154.8455285</v>
      </c>
      <c r="T18" s="32" t="n">
        <f aca="false">'Historical Prices Outview - ALL'!T69*$B18/61.5</f>
        <v>17132154.8455285</v>
      </c>
      <c r="U18" s="32" t="n">
        <f aca="false">'Historical Prices Outview - ALL'!U69*$B18/61.5</f>
        <v>19038527.6001626</v>
      </c>
      <c r="V18" s="32" t="n">
        <f aca="false">'Historical Prices Outview - ALL'!V69*$B18/61.5</f>
        <v>19360160.1626016</v>
      </c>
      <c r="W18" s="32" t="n">
        <f aca="false">'Historical Prices Outview - ALL'!W69*$B18/61.5</f>
        <v>19085499.7920325</v>
      </c>
      <c r="X18" s="32" t="n">
        <f aca="false">'Historical Prices Outview - ALL'!X69*$B18/61.5</f>
        <v>19085499.7920325</v>
      </c>
      <c r="Y18" s="32" t="n">
        <f aca="false">'Historical Prices Outview - ALL'!Y69*$B18/61.5</f>
        <v>20947058.5365854</v>
      </c>
      <c r="Z18" s="33" t="n">
        <f aca="false">'Historical Prices Outview - ALL'!Z69*$B18/61.5</f>
        <v>19677539.8373984</v>
      </c>
      <c r="AA18" s="32" t="n">
        <f aca="false">'Historical Prices Outview - ALL'!AA69*$B18/61.5</f>
        <v>19042780.4878049</v>
      </c>
      <c r="AB18" s="32" t="n">
        <f aca="false">'Historical Prices Outview - ALL'!AB69*$B18/61.5</f>
        <v>19042780.4878049</v>
      </c>
      <c r="AC18" s="32" t="n">
        <f aca="false">'Historical Prices Outview - ALL'!AC69*$B18/61.5</f>
        <v>19994919.5121951</v>
      </c>
      <c r="AD18" s="32" t="n">
        <f aca="false">'Historical Prices Outview - ALL'!AD69*$B18/61.5</f>
        <v>18953914.1788618</v>
      </c>
      <c r="AE18" s="33" t="n">
        <f aca="false">'Historical Prices Outview - ALL'!AE69*$B18/61.5</f>
        <v>18344545.203252</v>
      </c>
      <c r="AF18" s="32" t="n">
        <f aca="false">'Historical Prices Outview - ALL'!AF69*$B18/61.5</f>
        <v>18547668.195122</v>
      </c>
      <c r="AG18" s="32" t="n">
        <f aca="false">'Historical Prices Outview - ALL'!AG69*$B18/61.5</f>
        <v>17484509.7604878</v>
      </c>
      <c r="AH18" s="32" t="n">
        <f aca="false">'Historical Prices Outview - ALL'!AH69*$B18/61.5</f>
        <v>16507678.5973984</v>
      </c>
      <c r="AI18" s="32" t="n">
        <f aca="false">'Historical Prices Outview - ALL'!AI69*$B18/61.5</f>
        <v>14599465.0406504</v>
      </c>
      <c r="AJ18" s="32" t="n">
        <f aca="false">'Historical Prices Outview - ALL'!AJ69*$B18/61.5</f>
        <v>20419636.9930081</v>
      </c>
      <c r="AK18" s="33" t="n">
        <f aca="false">'Historical Prices Outview - ALL'!AK69*$B18/61.5</f>
        <v>19677539.8373984</v>
      </c>
      <c r="AL18" s="32" t="n">
        <f aca="false">'Historical Prices Outview - ALL'!AL69*$B18/61.5</f>
        <v>16837563.0313821</v>
      </c>
      <c r="AM18" s="32" t="n">
        <f aca="false">'Historical Prices Outview - ALL'!AM69*$B18/61.5</f>
        <v>16090832.1325203</v>
      </c>
      <c r="AN18" s="32" t="n">
        <f aca="false">'Historical Prices Outview - ALL'!AN69*$B18/61.5</f>
        <v>15111208.0282927</v>
      </c>
      <c r="AO18" s="32" t="n">
        <f aca="false">'Historical Prices Outview - ALL'!AO69*$B18/61.5</f>
        <v>16810966.6146342</v>
      </c>
      <c r="AP18" s="33" t="n">
        <f aca="false">'Historical Prices Outview - ALL'!AP69*$B18/61.5</f>
        <v>13583850.0813008</v>
      </c>
      <c r="AQ18" s="32" t="n">
        <f aca="false">'Historical Prices Outview - ALL'!AQ69*$B18/61.5</f>
        <v>15494475.7235772</v>
      </c>
      <c r="AR18" s="32" t="n">
        <f aca="false">'Historical Prices Outview - ALL'!AR69*$B18/61.5</f>
        <v>14599465.0406504</v>
      </c>
    </row>
    <row r="19" customFormat="false" ht="12.8" hidden="false" customHeight="false" outlineLevel="0" collapsed="false">
      <c r="A19" s="139" t="s">
        <v>191</v>
      </c>
      <c r="B19" s="245" t="n">
        <v>414171</v>
      </c>
      <c r="C19" s="32" t="n">
        <f aca="false">'Historical Prices Outview - ALL'!C72*$B19/61.5</f>
        <v>18856565.8536585</v>
      </c>
      <c r="D19" s="32" t="n">
        <f aca="false">'Historical Prices Outview - ALL'!D72*$B19/61.5</f>
        <v>20558168.8873171</v>
      </c>
      <c r="E19" s="32" t="n">
        <f aca="false">'Historical Prices Outview - ALL'!E72*$B19/61.5</f>
        <v>20558168.8873171</v>
      </c>
      <c r="F19" s="32" t="n">
        <f aca="false">'Historical Prices Outview - ALL'!F72*$B19/61.5</f>
        <v>20001428.7804878</v>
      </c>
      <c r="G19" s="32" t="n">
        <f aca="false">'Historical Prices Outview - ALL'!G72*$B19/61.5</f>
        <v>20203463.4146341</v>
      </c>
      <c r="H19" s="32" t="n">
        <f aca="false">'Historical Prices Outview - ALL'!H72*$B19/61.5</f>
        <v>19402059.3658537</v>
      </c>
      <c r="I19" s="32" t="n">
        <f aca="false">'Historical Prices Outview - ALL'!I72*$B19/61.5</f>
        <v>18856565.8536585</v>
      </c>
      <c r="J19" s="32" t="n">
        <f aca="false">'Historical Prices Outview - ALL'!J72*$B19/61.5</f>
        <v>18856565.8536585</v>
      </c>
      <c r="K19" s="33" t="n">
        <f aca="false">'Historical Prices Outview - ALL'!K72*$B19/61.5</f>
        <v>20129384.0487805</v>
      </c>
      <c r="L19" s="168" t="n">
        <f aca="false">'Historical Prices Outview - ALL'!L72*$B19/61.5</f>
        <v>20876912.195122</v>
      </c>
      <c r="M19" s="32" t="n">
        <f aca="false">'Historical Prices Outview - ALL'!M72*$B19/61.5</f>
        <v>20876912.195122</v>
      </c>
      <c r="N19" s="32" t="n">
        <f aca="false">'Historical Prices Outview - ALL'!N72*$B19/61.5</f>
        <v>20876912.195122</v>
      </c>
      <c r="O19" s="32" t="n">
        <f aca="false">'Historical Prices Outview - ALL'!O72*$B19/61.5</f>
        <v>20809567.3170732</v>
      </c>
      <c r="P19" s="32" t="n">
        <f aca="false">'Historical Prices Outview - ALL'!P72*$B19/61.5</f>
        <v>20876912.195122</v>
      </c>
      <c r="Q19" s="32" t="n">
        <f aca="false">'Historical Prices Outview - ALL'!Q72*$B19/61.5</f>
        <v>17464749.2590244</v>
      </c>
      <c r="R19" s="33" t="n">
        <f aca="false">'Historical Prices Outview - ALL'!R72*$B19/61.5</f>
        <v>16836219.5121951</v>
      </c>
      <c r="S19" s="32" t="n">
        <f aca="false">'Historical Prices Outview - ALL'!S72*$B19/61.5</f>
        <v>15267083.8536585</v>
      </c>
      <c r="T19" s="32" t="n">
        <f aca="false">'Historical Prices Outview - ALL'!T72*$B19/61.5</f>
        <v>15354632.195122</v>
      </c>
      <c r="U19" s="32" t="n">
        <f aca="false">'Historical Prices Outview - ALL'!U72*$B19/61.5</f>
        <v>15222232.1648781</v>
      </c>
      <c r="V19" s="32" t="n">
        <f aca="false">'Historical Prices Outview - ALL'!V72*$B19/61.5</f>
        <v>15826046.3414634</v>
      </c>
      <c r="W19" s="32" t="n">
        <f aca="false">'Historical Prices Outview - ALL'!W72*$B19/61.5</f>
        <v>15522994.3902439</v>
      </c>
      <c r="X19" s="32" t="n">
        <f aca="false">'Historical Prices Outview - ALL'!X72*$B19/61.5</f>
        <v>15522994.3902439</v>
      </c>
      <c r="Y19" s="32" t="n">
        <f aca="false">'Historical Prices Outview - ALL'!Y72*$B19/61.5</f>
        <v>15522994.3902439</v>
      </c>
      <c r="Z19" s="33" t="n">
        <f aca="false">'Historical Prices Outview - ALL'!Z72*$B19/61.5</f>
        <v>15826046.3414634</v>
      </c>
      <c r="AA19" s="32" t="n">
        <f aca="false">'Historical Prices Outview - ALL'!AA72*$B19/61.5</f>
        <v>14977500.8780488</v>
      </c>
      <c r="AB19" s="32" t="n">
        <f aca="false">'Historical Prices Outview - ALL'!AB72*$B19/61.5</f>
        <v>15112190.6341463</v>
      </c>
      <c r="AC19" s="32" t="n">
        <f aca="false">'Historical Prices Outview - ALL'!AC72*$B19/61.5</f>
        <v>13738355.1219512</v>
      </c>
      <c r="AD19" s="32" t="n">
        <f aca="false">'Historical Prices Outview - ALL'!AD72*$B19/61.5</f>
        <v>12795526.8292683</v>
      </c>
      <c r="AE19" s="33" t="n">
        <f aca="false">'Historical Prices Outview - ALL'!AE72*$B19/61.5</f>
        <v>13132251.2195122</v>
      </c>
      <c r="AF19" s="32" t="n">
        <f aca="false">'Historical Prices Outview - ALL'!AF72*$B19/61.5</f>
        <v>13495913.5609756</v>
      </c>
      <c r="AG19" s="32" t="n">
        <f aca="false">'Historical Prices Outview - ALL'!AG72*$B19/61.5</f>
        <v>12707978.4878049</v>
      </c>
      <c r="AH19" s="32" t="n">
        <f aca="false">'Historical Prices Outview - ALL'!AH72*$B19/61.5</f>
        <v>9592671.77414634</v>
      </c>
      <c r="AI19" s="32" t="n">
        <f aca="false">'Historical Prices Outview - ALL'!AI72*$B19/61.5</f>
        <v>13435303.1707317</v>
      </c>
      <c r="AJ19" s="32" t="n">
        <f aca="false">'Historical Prices Outview - ALL'!AJ72*$B19/61.5</f>
        <v>15151048.6287805</v>
      </c>
      <c r="AK19" s="33" t="n">
        <f aca="false">'Historical Prices Outview - ALL'!AK72*$B19/61.5</f>
        <v>15489321.9512195</v>
      </c>
      <c r="AL19" s="32" t="n">
        <f aca="false">'Historical Prices Outview - ALL'!AL72*$B19/61.5</f>
        <v>16162770.7317073</v>
      </c>
      <c r="AM19" s="32" t="n">
        <f aca="false">'Historical Prices Outview - ALL'!AM72*$B19/61.5</f>
        <v>15832780.8292683</v>
      </c>
      <c r="AN19" s="32" t="n">
        <f aca="false">'Historical Prices Outview - ALL'!AN72*$B19/61.5</f>
        <v>16059194.3092683</v>
      </c>
      <c r="AO19" s="32" t="n">
        <f aca="false">'Historical Prices Outview - ALL'!AO72*$B19/61.5</f>
        <v>15024642.2926829</v>
      </c>
      <c r="AP19" s="33" t="n">
        <f aca="false">'Historical Prices Outview - ALL'!AP72*$B19/61.5</f>
        <v>15455447.477561</v>
      </c>
      <c r="AQ19" s="32" t="n">
        <f aca="false">'Historical Prices Outview - ALL'!AQ72*$B19/61.5</f>
        <v>15489321.9512195</v>
      </c>
      <c r="AR19" s="32" t="n">
        <f aca="false">'Historical Prices Outview - ALL'!AR72*$B19/61.5</f>
        <v>15152597.5609756</v>
      </c>
    </row>
    <row r="20" customFormat="false" ht="12.8" hidden="false" customHeight="false" outlineLevel="0" collapsed="false">
      <c r="A20" s="139" t="s">
        <v>192</v>
      </c>
      <c r="B20" s="245" t="n">
        <v>18113</v>
      </c>
      <c r="C20" s="32" t="n">
        <f aca="false">'Historical Prices Outview - ALL'!C80*$B20/61.5</f>
        <v>15774803.1382114</v>
      </c>
      <c r="D20" s="32" t="n">
        <f aca="false">'Historical Prices Outview - ALL'!D80*$B20/61.5</f>
        <v>15774508.6178862</v>
      </c>
      <c r="E20" s="32" t="n">
        <f aca="false">'Historical Prices Outview - ALL'!E80*$B20/61.5</f>
        <v>15774508.6178862</v>
      </c>
      <c r="F20" s="32" t="n">
        <f aca="false">'Historical Prices Outview - ALL'!F80*$B20/61.5</f>
        <v>15774508.6178862</v>
      </c>
      <c r="G20" s="32" t="n">
        <f aca="false">'Historical Prices Outview - ALL'!G80*$B20/61.5</f>
        <v>15774508.6178862</v>
      </c>
      <c r="H20" s="32" t="n">
        <f aca="false">'Historical Prices Outview - ALL'!H80*$B20/61.5</f>
        <v>15315645.9512195</v>
      </c>
      <c r="I20" s="32" t="n">
        <f aca="false">'Historical Prices Outview - ALL'!I80*$B20/61.5</f>
        <v>14873276.4227642</v>
      </c>
      <c r="J20" s="32" t="n">
        <f aca="false">'Historical Prices Outview - ALL'!J80*$B20/61.5</f>
        <v>15138344.7154472</v>
      </c>
      <c r="K20" s="33" t="n">
        <f aca="false">'Historical Prices Outview - ALL'!K80*$B20/61.5</f>
        <v>15138344.7154472</v>
      </c>
      <c r="L20" s="168" t="n">
        <f aca="false">'Historical Prices Outview - ALL'!L80*$B20/61.5</f>
        <v>15142173.4796748</v>
      </c>
      <c r="M20" s="32" t="n">
        <f aca="false">'Historical Prices Outview - ALL'!M80*$B20/61.5</f>
        <v>15141289.9186992</v>
      </c>
      <c r="N20" s="32" t="n">
        <f aca="false">'Historical Prices Outview - ALL'!N80*$B20/61.5</f>
        <v>15141289.9186992</v>
      </c>
      <c r="O20" s="32" t="n">
        <f aca="false">'Historical Prices Outview - ALL'!O80*$B20/61.5</f>
        <v>15141289.9186992</v>
      </c>
      <c r="P20" s="32" t="n">
        <f aca="false">'Historical Prices Outview - ALL'!P80*$B20/61.5</f>
        <v>15141289.9186992</v>
      </c>
      <c r="Q20" s="32" t="n">
        <f aca="false">'Historical Prices Outview - ALL'!Q80*$B20/61.5</f>
        <v>15624303.2520325</v>
      </c>
      <c r="R20" s="33" t="n">
        <f aca="false">'Historical Prices Outview - ALL'!R80*$B20/61.5</f>
        <v>15609577.2357724</v>
      </c>
      <c r="S20" s="32" t="n">
        <f aca="false">'Historical Prices Outview - ALL'!S80*$B20/61.5</f>
        <v>15904097.5609756</v>
      </c>
      <c r="T20" s="32" t="n">
        <f aca="false">'Historical Prices Outview - ALL'!T80*$B20/61.5</f>
        <v>15904097.5609756</v>
      </c>
      <c r="U20" s="32" t="n">
        <f aca="false">'Historical Prices Outview - ALL'!U80*$B20/61.5</f>
        <v>16345878.0487805</v>
      </c>
      <c r="V20" s="32" t="n">
        <f aca="false">'Historical Prices Outview - ALL'!V80*$B20/61.5</f>
        <v>16787658.5365854</v>
      </c>
      <c r="W20" s="32" t="n">
        <f aca="false">'Historical Prices Outview - ALL'!W80*$B20/61.5</f>
        <v>17523959.3495935</v>
      </c>
      <c r="X20" s="32" t="n">
        <f aca="false">'Historical Prices Outview - ALL'!X80*$B20/61.5</f>
        <v>17523959.3495935</v>
      </c>
      <c r="Y20" s="32" t="n">
        <f aca="false">'Historical Prices Outview - ALL'!Y80*$B20/61.5</f>
        <v>17523959.3495935</v>
      </c>
      <c r="Z20" s="33" t="n">
        <f aca="false">'Historical Prices Outview - ALL'!Z80*$B20/61.5</f>
        <v>17627041.4634146</v>
      </c>
      <c r="AA20" s="32" t="n">
        <f aca="false">'Historical Prices Outview - ALL'!AA80*$B20/61.5</f>
        <v>18283821.7886179</v>
      </c>
      <c r="AB20" s="32" t="n">
        <f aca="false">'Historical Prices Outview - ALL'!AB80*$B20/61.5</f>
        <v>18283821.7886179</v>
      </c>
      <c r="AC20" s="32" t="n">
        <f aca="false">'Historical Prices Outview - ALL'!AC80*$B20/61.5</f>
        <v>19438341.4634146</v>
      </c>
      <c r="AD20" s="32" t="n">
        <f aca="false">'Historical Prices Outview - ALL'!AD80*$B20/61.5</f>
        <v>20027676.6341463</v>
      </c>
      <c r="AE20" s="33" t="n">
        <f aca="false">'Historical Prices Outview - ALL'!AE80*$B20/61.5</f>
        <v>17965739.8373984</v>
      </c>
      <c r="AF20" s="32" t="n">
        <f aca="false">'Historical Prices Outview - ALL'!AF80*$B20/61.5</f>
        <v>17965739.8373984</v>
      </c>
      <c r="AG20" s="32" t="n">
        <f aca="false">'Historical Prices Outview - ALL'!AG80*$B20/61.5</f>
        <v>18260260.1626016</v>
      </c>
      <c r="AH20" s="32" t="n">
        <f aca="false">'Historical Prices Outview - ALL'!AH80*$B20/61.5</f>
        <v>17523959.3495935</v>
      </c>
      <c r="AI20" s="32" t="n">
        <f aca="false">'Historical Prices Outview - ALL'!AI80*$B20/61.5</f>
        <v>15745056.5853659</v>
      </c>
      <c r="AJ20" s="32" t="n">
        <f aca="false">'Historical Prices Outview - ALL'!AJ80*$B20/61.5</f>
        <v>21794504.0650407</v>
      </c>
      <c r="AK20" s="33" t="n">
        <f aca="false">'Historical Prices Outview - ALL'!AK80*$B20/61.5</f>
        <v>21794504.0650407</v>
      </c>
      <c r="AL20" s="32" t="n">
        <f aca="false">'Historical Prices Outview - ALL'!AL80*$B20/61.5</f>
        <v>22236284.5528455</v>
      </c>
      <c r="AM20" s="32" t="n">
        <f aca="false">'Historical Prices Outview - ALL'!AM80*$B20/61.5</f>
        <v>22236284.5528455</v>
      </c>
      <c r="AN20" s="32" t="n">
        <f aca="false">'Historical Prices Outview - ALL'!AN80*$B20/61.5</f>
        <v>22707517.0731707</v>
      </c>
      <c r="AO20" s="32" t="n">
        <f aca="false">'Historical Prices Outview - ALL'!AO80*$B20/61.5</f>
        <v>22383544.7154472</v>
      </c>
      <c r="AP20" s="33" t="n">
        <f aca="false">'Historical Prices Outview - ALL'!AP80*$B20/61.5</f>
        <v>19997930.0813008</v>
      </c>
      <c r="AQ20" s="32" t="n">
        <f aca="false">'Historical Prices Outview - ALL'!AQ80*$B20/61.5</f>
        <v>18504785.6626016</v>
      </c>
      <c r="AR20" s="32" t="n">
        <f aca="false">'Historical Prices Outview - ALL'!AR80*$B20/61.5</f>
        <v>17995191.8699187</v>
      </c>
    </row>
    <row r="21" customFormat="false" ht="12.8" hidden="false" customHeight="false" outlineLevel="0" collapsed="false">
      <c r="A21" s="139" t="s">
        <v>193</v>
      </c>
      <c r="B21" s="245" t="n">
        <v>717462</v>
      </c>
      <c r="C21" s="32" t="n">
        <f aca="false">'Historical Prices Outview - ALL'!C35*$B21/61.5</f>
        <v>13999258.5365854</v>
      </c>
      <c r="D21" s="32" t="n">
        <f aca="false">'Historical Prices Outview - ALL'!D35*$B21/61.5</f>
        <v>13999258.5365854</v>
      </c>
      <c r="E21" s="32" t="n">
        <f aca="false">'Historical Prices Outview - ALL'!E35*$B21/61.5</f>
        <v>13999258.5365854</v>
      </c>
      <c r="F21" s="32" t="n">
        <f aca="false">'Historical Prices Outview - ALL'!F35*$B21/61.5</f>
        <v>13999258.5365854</v>
      </c>
      <c r="G21" s="32" t="n">
        <f aca="false">'Historical Prices Outview - ALL'!G35*$B21/61.5</f>
        <v>13999258.5365854</v>
      </c>
      <c r="H21" s="32" t="n">
        <f aca="false">'Historical Prices Outview - ALL'!H35*$B21/61.5</f>
        <v>14430902.3414634</v>
      </c>
      <c r="I21" s="32" t="n">
        <f aca="false">'Historical Prices Outview - ALL'!I35*$B21/61.5</f>
        <v>14430902.3414634</v>
      </c>
      <c r="J21" s="32" t="n">
        <f aca="false">'Historical Prices Outview - ALL'!J35*$B21/61.5</f>
        <v>14430902.3414634</v>
      </c>
      <c r="K21" s="33" t="n">
        <f aca="false">'Historical Prices Outview - ALL'!K35*$B21/61.5</f>
        <v>14430902.3414634</v>
      </c>
      <c r="L21" s="168" t="n">
        <f aca="false">'Historical Prices Outview - ALL'!L35*$B21/61.5</f>
        <v>14430902.3414634</v>
      </c>
      <c r="M21" s="32" t="n">
        <f aca="false">'Historical Prices Outview - ALL'!M35*$B21/61.5</f>
        <v>14430902.3414634</v>
      </c>
      <c r="N21" s="32" t="n">
        <f aca="false">'Historical Prices Outview - ALL'!N35*$B21/61.5</f>
        <v>14430902.3414634</v>
      </c>
      <c r="O21" s="32" t="n">
        <f aca="false">'Historical Prices Outview - ALL'!O35*$B21/61.5</f>
        <v>14430902.3414634</v>
      </c>
      <c r="P21" s="32" t="n">
        <f aca="false">'Historical Prices Outview - ALL'!P35*$B21/61.5</f>
        <v>14430902.3414634</v>
      </c>
      <c r="Q21" s="32" t="n">
        <f aca="false">'Historical Prices Outview - ALL'!Q35*$B21/61.5</f>
        <v>14419236.2926829</v>
      </c>
      <c r="R21" s="33" t="n">
        <f aca="false">'Historical Prices Outview - ALL'!R35*$B21/61.5</f>
        <v>13999258.5365854</v>
      </c>
      <c r="S21" s="32" t="n">
        <f aca="false">'Historical Prices Outview - ALL'!S35*$B21/61.5</f>
        <v>13999258.5365854</v>
      </c>
      <c r="T21" s="32" t="n">
        <f aca="false">'Historical Prices Outview - ALL'!T35*$B21/61.5</f>
        <v>13999258.5365854</v>
      </c>
      <c r="U21" s="32" t="n">
        <f aca="false">'Historical Prices Outview - ALL'!U35*$B21/61.5</f>
        <v>13999258.5365854</v>
      </c>
      <c r="V21" s="32" t="n">
        <f aca="false">'Historical Prices Outview - ALL'!V35*$B21/61.5</f>
        <v>13194301.1707317</v>
      </c>
      <c r="W21" s="32" t="n">
        <f aca="false">'Historical Prices Outview - ALL'!W35*$B21/61.5</f>
        <v>13194301.1707317</v>
      </c>
      <c r="X21" s="32" t="n">
        <f aca="false">'Historical Prices Outview - ALL'!X35*$B21/61.5</f>
        <v>13194301.1707317</v>
      </c>
      <c r="Y21" s="32" t="n">
        <f aca="false">'Historical Prices Outview - ALL'!Y35*$B21/61.5</f>
        <v>13194301.1707317</v>
      </c>
      <c r="Z21" s="33" t="n">
        <f aca="false">'Historical Prices Outview - ALL'!Z35*$B21/61.5</f>
        <v>13194301.1707317</v>
      </c>
      <c r="AA21" s="32" t="n">
        <f aca="false">'Historical Prices Outview - ALL'!AA35*$B21/61.5</f>
        <v>14710887.5121951</v>
      </c>
      <c r="AB21" s="32" t="n">
        <f aca="false">'Historical Prices Outview - ALL'!AB35*$B21/61.5</f>
        <v>14710887.5121951</v>
      </c>
      <c r="AC21" s="32" t="n">
        <f aca="false">'Historical Prices Outview - ALL'!AC35*$B21/61.5</f>
        <v>14710887.5121951</v>
      </c>
      <c r="AD21" s="167" t="n">
        <f aca="false">'Historical Prices Outview - ALL'!AD35*$B21/61.5</f>
        <v>14710887.5121951</v>
      </c>
      <c r="AE21" s="32" t="n">
        <f aca="false">'Historical Prices Outview - ALL'!AE35*$B21/61.5</f>
        <v>14710887.5121951</v>
      </c>
      <c r="AF21" s="32" t="n">
        <f aca="false">'Historical Prices Outview - ALL'!AF35*$B21/61.5</f>
        <v>19260646.5365854</v>
      </c>
      <c r="AG21" s="32" t="n">
        <f aca="false">'Historical Prices Outview - ALL'!AG35*$B21/61.5</f>
        <v>19260646.5365854</v>
      </c>
      <c r="AH21" s="32" t="n">
        <f aca="false">'Historical Prices Outview - ALL'!AH35*$B21/61.5</f>
        <v>19260646.5365854</v>
      </c>
      <c r="AI21" s="32" t="n">
        <f aca="false">'Historical Prices Outview - ALL'!AI35*$B21/61.5</f>
        <v>19260646.5365854</v>
      </c>
      <c r="AJ21" s="167" t="n">
        <f aca="false">'Historical Prices Outview - ALL'!AJ35*$B21/61.5</f>
        <v>19260646.5365854</v>
      </c>
      <c r="AK21" s="32" t="n">
        <f aca="false">'Historical Prices Outview - ALL'!AK35*$B21/61.5</f>
        <v>18094041.6585366</v>
      </c>
      <c r="AL21" s="32" t="n">
        <f aca="false">'Historical Prices Outview - ALL'!AL35*$B21/61.5</f>
        <v>18094041.6585366</v>
      </c>
      <c r="AM21" s="32" t="n">
        <f aca="false">'Historical Prices Outview - ALL'!AM35*$B21/61.5</f>
        <v>18094041.6585366</v>
      </c>
      <c r="AN21" s="32" t="n">
        <f aca="false">'Historical Prices Outview - ALL'!AN35*$B21/61.5</f>
        <v>17499073.1707317</v>
      </c>
      <c r="AO21" s="32" t="n">
        <f aca="false">'Historical Prices Outview - ALL'!AO35*$B21/61.5</f>
        <v>17499073.1707317</v>
      </c>
      <c r="AP21" s="33" t="n">
        <f aca="false">'Historical Prices Outview - ALL'!AP35*$B21/61.5</f>
        <v>18082375.6097561</v>
      </c>
      <c r="AQ21" s="32" t="n">
        <f aca="false">'Historical Prices Outview - ALL'!AQ35*$B21/61.5</f>
        <v>18082375.6097561</v>
      </c>
      <c r="AR21" s="32" t="n">
        <f aca="false">'Historical Prices Outview - ALL'!AR35*$B21/61.5</f>
        <v>18094041.6585366</v>
      </c>
    </row>
    <row r="22" customFormat="false" ht="12.8" hidden="false" customHeight="false" outlineLevel="0" collapsed="false">
      <c r="A22" s="139" t="s">
        <v>194</v>
      </c>
      <c r="B22" s="245" t="n">
        <v>255583</v>
      </c>
      <c r="C22" s="32" t="n">
        <f aca="false">'Historical Prices Outview - ALL'!C21*$B22/61.5</f>
        <v>13165641.3658537</v>
      </c>
      <c r="D22" s="32" t="n">
        <f aca="false">'Historical Prices Outview - ALL'!D21*$B22/61.5</f>
        <v>13165641.3658537</v>
      </c>
      <c r="E22" s="32" t="n">
        <f aca="false">'Historical Prices Outview - ALL'!E21*$B22/61.5</f>
        <v>13165641.3658537</v>
      </c>
      <c r="F22" s="32" t="n">
        <f aca="false">'Historical Prices Outview - ALL'!F21*$B22/61.5</f>
        <v>13165641.3658537</v>
      </c>
      <c r="G22" s="32" t="n">
        <f aca="false">'Historical Prices Outview - ALL'!G21*$B22/61.5</f>
        <v>13165641.3658537</v>
      </c>
      <c r="H22" s="32" t="n">
        <f aca="false">'Historical Prices Outview - ALL'!H21*$B22/61.5</f>
        <v>13165641.3658537</v>
      </c>
      <c r="I22" s="32" t="n">
        <f aca="false">'Historical Prices Outview - ALL'!I21*$B22/61.5</f>
        <v>13165641.3658537</v>
      </c>
      <c r="J22" s="32" t="n">
        <f aca="false">'Historical Prices Outview - ALL'!J21*$B22/61.5</f>
        <v>12413437.7398374</v>
      </c>
      <c r="K22" s="33" t="n">
        <f aca="false">'Historical Prices Outview - ALL'!K21*$B22/61.5</f>
        <v>12413437.7398374</v>
      </c>
      <c r="L22" s="168" t="n">
        <f aca="false">'Historical Prices Outview - ALL'!L21*$B22/61.5</f>
        <v>12051881.300813</v>
      </c>
      <c r="M22" s="32" t="n">
        <f aca="false">'Historical Prices Outview - ALL'!M21*$B22/61.5</f>
        <v>12051881.300813</v>
      </c>
      <c r="N22" s="32" t="n">
        <f aca="false">'Historical Prices Outview - ALL'!N21*$B22/61.5</f>
        <v>12051881.300813</v>
      </c>
      <c r="O22" s="32" t="n">
        <f aca="false">'Historical Prices Outview - ALL'!O21*$B22/61.5</f>
        <v>12051881.300813</v>
      </c>
      <c r="P22" s="32" t="n">
        <f aca="false">'Historical Prices Outview - ALL'!P21*$B22/61.5</f>
        <v>12051881.300813</v>
      </c>
      <c r="Q22" s="32" t="n">
        <f aca="false">'Historical Prices Outview - ALL'!Q21*$B22/61.5</f>
        <v>12051881.300813</v>
      </c>
      <c r="R22" s="33" t="n">
        <f aca="false">'Historical Prices Outview - ALL'!R21*$B22/61.5</f>
        <v>12051881.300813</v>
      </c>
      <c r="S22" s="32" t="n">
        <f aca="false">'Historical Prices Outview - ALL'!S21*$B22/61.5</f>
        <v>12051881.300813</v>
      </c>
      <c r="T22" s="32" t="n">
        <f aca="false">'Historical Prices Outview - ALL'!T21*$B22/61.5</f>
        <v>12051881.300813</v>
      </c>
      <c r="U22" s="32" t="n">
        <f aca="false">'Historical Prices Outview - ALL'!U21*$B22/61.5</f>
        <v>12051881.300813</v>
      </c>
      <c r="V22" s="32" t="n">
        <f aca="false">'Historical Prices Outview - ALL'!V21*$B22/61.5</f>
        <v>12051881.300813</v>
      </c>
      <c r="W22" s="32" t="n">
        <f aca="false">'Historical Prices Outview - ALL'!W21*$B22/61.5</f>
        <v>12051881.300813</v>
      </c>
      <c r="X22" s="32" t="n">
        <f aca="false">'Historical Prices Outview - ALL'!X21*$B22/61.5</f>
        <v>12051881.300813</v>
      </c>
      <c r="Y22" s="32" t="n">
        <f aca="false">'Historical Prices Outview - ALL'!Y21*$B22/61.5</f>
        <v>12051881.300813</v>
      </c>
      <c r="Z22" s="33" t="n">
        <f aca="false">'Historical Prices Outview - ALL'!Z21*$B22/61.5</f>
        <v>12051881.300813</v>
      </c>
      <c r="AA22" s="32" t="n">
        <f aca="false">'Historical Prices Outview - ALL'!AA21*$B22/61.5</f>
        <v>12051881.300813</v>
      </c>
      <c r="AB22" s="32" t="n">
        <f aca="false">'Historical Prices Outview - ALL'!AB21*$B22/61.5</f>
        <v>12051881.300813</v>
      </c>
      <c r="AC22" s="32" t="n">
        <f aca="false">'Historical Prices Outview - ALL'!AC21*$B22/61.5</f>
        <v>13718365.5772358</v>
      </c>
      <c r="AD22" s="32" t="n">
        <f aca="false">'Historical Prices Outview - ALL'!AD21*$B22/61.5</f>
        <v>13718365.5772358</v>
      </c>
      <c r="AE22" s="33" t="n">
        <f aca="false">'Historical Prices Outview - ALL'!AE21*$B22/61.5</f>
        <v>13718365.5772358</v>
      </c>
      <c r="AF22" s="32" t="n">
        <f aca="false">'Historical Prices Outview - ALL'!AF21*$B22/61.5</f>
        <v>12509021.6260163</v>
      </c>
      <c r="AG22" s="32" t="n">
        <f aca="false">'Historical Prices Outview - ALL'!AG21*$B22/61.5</f>
        <v>12509021.6260163</v>
      </c>
      <c r="AH22" s="32" t="n">
        <f aca="false">'Historical Prices Outview - ALL'!AH21*$B22/61.5</f>
        <v>12509021.6260163</v>
      </c>
      <c r="AI22" s="32" t="n">
        <f aca="false">'Historical Prices Outview - ALL'!AI21*$B22/61.5</f>
        <v>12509021.6260163</v>
      </c>
      <c r="AJ22" s="32" t="n">
        <f aca="false">'Historical Prices Outview - ALL'!AJ21*$B22/61.5</f>
        <v>12509021.6260163</v>
      </c>
      <c r="AK22" s="33" t="n">
        <f aca="false">'Historical Prices Outview - ALL'!AK21*$B22/61.5</f>
        <v>12509021.6260163</v>
      </c>
      <c r="AL22" s="32" t="n">
        <f aca="false">'Historical Prices Outview - ALL'!AL21*$B22/61.5</f>
        <v>12509021.6260163</v>
      </c>
      <c r="AM22" s="32" t="n">
        <f aca="false">'Historical Prices Outview - ALL'!AM21*$B22/61.5</f>
        <v>12509021.6260163</v>
      </c>
      <c r="AN22" s="32" t="n">
        <f aca="false">'Historical Prices Outview - ALL'!AN21*$B22/61.5</f>
        <v>12509021.6260163</v>
      </c>
      <c r="AO22" s="32" t="n">
        <f aca="false">'Historical Prices Outview - ALL'!AO21*$B22/61.5</f>
        <v>12509021.6260163</v>
      </c>
      <c r="AP22" s="33" t="n">
        <f aca="false">'Historical Prices Outview - ALL'!AP21*$B22/61.5</f>
        <v>13614470.0487805</v>
      </c>
      <c r="AQ22" s="32" t="n">
        <f aca="false">'Historical Prices Outview - ALL'!AQ21*$B22/61.5</f>
        <v>13614470.0487805</v>
      </c>
      <c r="AR22" s="32" t="n">
        <f aca="false">'Historical Prices Outview - ALL'!AR21*$B22/61.5</f>
        <v>13614470.0487805</v>
      </c>
    </row>
    <row r="23" customFormat="false" ht="12.8" hidden="false" customHeight="false" outlineLevel="0" collapsed="false">
      <c r="A23" s="139" t="s">
        <v>195</v>
      </c>
      <c r="B23" s="245" t="n">
        <v>76720</v>
      </c>
      <c r="C23" s="32" t="n">
        <f aca="false">'Historical Prices Outview - ALL'!C11*$B23/61.5</f>
        <v>12619504.3902439</v>
      </c>
      <c r="D23" s="32" t="n">
        <f aca="false">'Historical Prices Outview - ALL'!D11*$B23/61.5</f>
        <v>12488519.0243902</v>
      </c>
      <c r="E23" s="32" t="n">
        <f aca="false">'Historical Prices Outview - ALL'!E11*$B23/61.5</f>
        <v>12488519.0243902</v>
      </c>
      <c r="F23" s="32" t="n">
        <f aca="false">'Historical Prices Outview - ALL'!F11*$B23/61.5</f>
        <v>12474796.7479675</v>
      </c>
      <c r="G23" s="32" t="n">
        <f aca="false">'Historical Prices Outview - ALL'!G11*$B23/61.5</f>
        <v>13721028.9430894</v>
      </c>
      <c r="H23" s="32" t="n">
        <f aca="false">'Historical Prices Outview - ALL'!H11*$B23/61.5</f>
        <v>12487271.5447154</v>
      </c>
      <c r="I23" s="32" t="n">
        <f aca="false">'Historical Prices Outview - ALL'!I11*$B23/61.5</f>
        <v>12474796.7479675</v>
      </c>
      <c r="J23" s="32" t="n">
        <f aca="false">'Historical Prices Outview - ALL'!J11*$B23/61.5</f>
        <v>12477291.7073171</v>
      </c>
      <c r="K23" s="33" t="n">
        <f aca="false">'Historical Prices Outview - ALL'!K11*$B23/61.5</f>
        <v>13348032.5203252</v>
      </c>
      <c r="L23" s="168" t="n">
        <f aca="false">'Historical Prices Outview - ALL'!L11*$B23/61.5</f>
        <v>13535154.4715447</v>
      </c>
      <c r="M23" s="32" t="n">
        <f aca="false">'Historical Prices Outview - ALL'!M11*$B23/61.5</f>
        <v>13535154.4715447</v>
      </c>
      <c r="N23" s="32" t="n">
        <f aca="false">'Historical Prices Outview - ALL'!N11*$B23/61.5</f>
        <v>13535154.4715447</v>
      </c>
      <c r="O23" s="32" t="n">
        <f aca="false">'Historical Prices Outview - ALL'!O11*$B23/61.5</f>
        <v>13535154.4715447</v>
      </c>
      <c r="P23" s="32" t="n">
        <f aca="false">'Historical Prices Outview - ALL'!P11*$B23/61.5</f>
        <v>13722276.4227642</v>
      </c>
      <c r="Q23" s="32" t="n">
        <f aca="false">'Historical Prices Outview - ALL'!Q11*$B23/61.5</f>
        <v>13722276.4227642</v>
      </c>
      <c r="R23" s="33" t="n">
        <f aca="false">'Historical Prices Outview - ALL'!R11*$B23/61.5</f>
        <v>15219252.0325203</v>
      </c>
      <c r="S23" s="32" t="n">
        <f aca="false">'Historical Prices Outview - ALL'!S11*$B23/61.5</f>
        <v>15219252.0325203</v>
      </c>
      <c r="T23" s="32" t="n">
        <f aca="false">'Historical Prices Outview - ALL'!T11*$B23/61.5</f>
        <v>15219252.0325203</v>
      </c>
      <c r="U23" s="32" t="n">
        <f aca="false">'Historical Prices Outview - ALL'!U11*$B23/61.5</f>
        <v>15219252.0325203</v>
      </c>
      <c r="V23" s="32" t="n">
        <f aca="false">'Historical Prices Outview - ALL'!V11*$B23/61.5</f>
        <v>15156878.0487805</v>
      </c>
      <c r="W23" s="32" t="n">
        <f aca="false">'Historical Prices Outview - ALL'!W11*$B23/61.5</f>
        <v>15156878.0487805</v>
      </c>
      <c r="X23" s="32" t="n">
        <f aca="false">'Historical Prices Outview - ALL'!X11*$B23/61.5</f>
        <v>15156878.0487805</v>
      </c>
      <c r="Y23" s="32" t="n">
        <f aca="false">'Historical Prices Outview - ALL'!Y11*$B23/61.5</f>
        <v>15156878.0487805</v>
      </c>
      <c r="Z23" s="33" t="n">
        <f aca="false">'Historical Prices Outview - ALL'!Z11*$B23/61.5</f>
        <v>15156878.0487805</v>
      </c>
      <c r="AA23" s="32" t="n">
        <f aca="false">'Historical Prices Outview - ALL'!AA11*$B23/61.5</f>
        <v>16843470.5691057</v>
      </c>
      <c r="AB23" s="32" t="n">
        <f aca="false">'Historical Prices Outview - ALL'!AB11*$B23/61.5</f>
        <v>16843470.5691057</v>
      </c>
      <c r="AC23" s="32" t="n">
        <f aca="false">'Historical Prices Outview - ALL'!AC11*$B23/61.5</f>
        <v>16840975.6097561</v>
      </c>
      <c r="AD23" s="32" t="n">
        <f aca="false">'Historical Prices Outview - ALL'!AD11*$B23/61.5</f>
        <v>16385645.5284553</v>
      </c>
      <c r="AE23" s="33" t="n">
        <f aca="false">'Historical Prices Outview - ALL'!AE11*$B23/61.5</f>
        <v>16385645.5284553</v>
      </c>
      <c r="AF23" s="32" t="n">
        <f aca="false">'Historical Prices Outview - ALL'!AF11*$B23/61.5</f>
        <v>17564513.8211382</v>
      </c>
      <c r="AG23" s="32" t="n">
        <f aca="false">'Historical Prices Outview - ALL'!AG11*$B23/61.5</f>
        <v>17564513.8211382</v>
      </c>
      <c r="AH23" s="32" t="n">
        <f aca="false">'Historical Prices Outview - ALL'!AH11*$B23/61.5</f>
        <v>17564513.8211382</v>
      </c>
      <c r="AI23" s="32" t="n">
        <f aca="false">'Historical Prices Outview - ALL'!AI11*$B23/61.5</f>
        <v>17564513.8211382</v>
      </c>
      <c r="AJ23" s="32" t="n">
        <f aca="false">'Historical Prices Outview - ALL'!AJ11*$B23/61.5</f>
        <v>17567008.7804878</v>
      </c>
      <c r="AK23" s="33" t="n">
        <f aca="false">'Historical Prices Outview - ALL'!AK11*$B23/61.5</f>
        <v>16299569.4308943</v>
      </c>
      <c r="AL23" s="32" t="n">
        <f aca="false">'Historical Prices Outview - ALL'!AL11*$B23/61.5</f>
        <v>14894907.3170732</v>
      </c>
      <c r="AM23" s="32" t="n">
        <f aca="false">'Historical Prices Outview - ALL'!AM11*$B23/61.5</f>
        <v>13819579.8373984</v>
      </c>
      <c r="AN23" s="32" t="n">
        <f aca="false">'Historical Prices Outview - ALL'!AN11*$B23/61.5</f>
        <v>13410406.504065</v>
      </c>
      <c r="AO23" s="32" t="n">
        <f aca="false">'Historical Prices Outview - ALL'!AO11*$B23/61.5</f>
        <v>13444088.4552846</v>
      </c>
      <c r="AP23" s="33" t="n">
        <f aca="false">'Historical Prices Outview - ALL'!AP11*$B23/61.5</f>
        <v>11764980.8130081</v>
      </c>
      <c r="AQ23" s="32" t="n">
        <f aca="false">'Historical Prices Outview - ALL'!AQ11*$B23/61.5</f>
        <v>11463090.7317073</v>
      </c>
      <c r="AR23" s="32" t="n">
        <f aca="false">'Historical Prices Outview - ALL'!AR11*$B23/61.5</f>
        <v>10936654.3089431</v>
      </c>
    </row>
    <row r="24" customFormat="false" ht="12.8" hidden="false" customHeight="false" outlineLevel="0" collapsed="false">
      <c r="A24" s="139" t="s">
        <v>196</v>
      </c>
      <c r="B24" s="245" t="n">
        <v>202891</v>
      </c>
      <c r="C24" s="32" t="n">
        <f aca="false">'Historical Prices Outview - ALL'!C26*$B24/61.5</f>
        <v>11876546.3414634</v>
      </c>
      <c r="D24" s="32" t="n">
        <f aca="false">'Historical Prices Outview - ALL'!D26*$B24/61.5</f>
        <v>11929330.9918699</v>
      </c>
      <c r="E24" s="32" t="n">
        <f aca="false">'Historical Prices Outview - ALL'!E26*$B24/61.5</f>
        <v>11929330.9918699</v>
      </c>
      <c r="F24" s="32" t="n">
        <f aca="false">'Historical Prices Outview - ALL'!F26*$B24/61.5</f>
        <v>11929330.9918699</v>
      </c>
      <c r="G24" s="32" t="n">
        <f aca="false">'Historical Prices Outview - ALL'!G26*$B24/61.5</f>
        <v>11929330.9918699</v>
      </c>
      <c r="H24" s="32" t="n">
        <f aca="false">'Historical Prices Outview - ALL'!H26*$B24/61.5</f>
        <v>11929330.9918699</v>
      </c>
      <c r="I24" s="32" t="n">
        <f aca="false">'Historical Prices Outview - ALL'!I26*$B24/61.5</f>
        <v>11889742.504065</v>
      </c>
      <c r="J24" s="32" t="n">
        <f aca="false">'Historical Prices Outview - ALL'!J26*$B24/61.5</f>
        <v>11876546.3414634</v>
      </c>
      <c r="K24" s="33" t="n">
        <f aca="false">'Historical Prices Outview - ALL'!K26*$B24/61.5</f>
        <v>11876546.3414634</v>
      </c>
      <c r="L24" s="168" t="n">
        <f aca="false">'Historical Prices Outview - ALL'!L26*$B24/61.5</f>
        <v>11876546.3414634</v>
      </c>
      <c r="M24" s="32" t="n">
        <f aca="false">'Historical Prices Outview - ALL'!M26*$B24/61.5</f>
        <v>11876546.3414634</v>
      </c>
      <c r="N24" s="32" t="n">
        <f aca="false">'Historical Prices Outview - ALL'!N26*$B24/61.5</f>
        <v>11876546.3414634</v>
      </c>
      <c r="O24" s="32" t="n">
        <f aca="false">'Historical Prices Outview - ALL'!O26*$B24/61.5</f>
        <v>11876546.3414634</v>
      </c>
      <c r="P24" s="32" t="n">
        <f aca="false">'Historical Prices Outview - ALL'!P26*$B24/61.5</f>
        <v>11876546.3414634</v>
      </c>
      <c r="Q24" s="32" t="n">
        <f aca="false">'Historical Prices Outview - ALL'!Q26*$B24/61.5</f>
        <v>11912835.7886179</v>
      </c>
      <c r="R24" s="33" t="n">
        <f aca="false">'Historical Prices Outview - ALL'!R26*$B24/61.5</f>
        <v>11289317.1056911</v>
      </c>
      <c r="S24" s="32" t="n">
        <f aca="false">'Historical Prices Outview - ALL'!S26*$B24/61.5</f>
        <v>11546642.2764228</v>
      </c>
      <c r="T24" s="32" t="n">
        <f aca="false">'Historical Prices Outview - ALL'!T26*$B24/61.5</f>
        <v>11546642.2764228</v>
      </c>
      <c r="U24" s="32" t="n">
        <f aca="false">'Historical Prices Outview - ALL'!U26*$B24/61.5</f>
        <v>11876546.3414634</v>
      </c>
      <c r="V24" s="32" t="n">
        <f aca="false">'Historical Prices Outview - ALL'!V26*$B24/61.5</f>
        <v>11873247.300813</v>
      </c>
      <c r="W24" s="32" t="n">
        <f aca="false">'Historical Prices Outview - ALL'!W26*$B24/61.5</f>
        <v>11873247.300813</v>
      </c>
      <c r="X24" s="32" t="n">
        <f aca="false">'Historical Prices Outview - ALL'!X26*$B24/61.5</f>
        <v>11873247.300813</v>
      </c>
      <c r="Y24" s="32" t="n">
        <f aca="false">'Historical Prices Outview - ALL'!Y26*$B24/61.5</f>
        <v>11873247.300813</v>
      </c>
      <c r="Z24" s="33" t="n">
        <f aca="false">'Historical Prices Outview - ALL'!Z26*$B24/61.5</f>
        <v>11873247.300813</v>
      </c>
      <c r="AA24" s="32" t="n">
        <f aca="false">'Historical Prices Outview - ALL'!AA26*$B24/61.5</f>
        <v>11879845.3821138</v>
      </c>
      <c r="AB24" s="32" t="n">
        <f aca="false">'Historical Prices Outview - ALL'!AB26*$B24/61.5</f>
        <v>11879845.3821138</v>
      </c>
      <c r="AC24" s="32" t="n">
        <f aca="false">'Historical Prices Outview - ALL'!AC26*$B24/61.5</f>
        <v>12074488.7804878</v>
      </c>
      <c r="AD24" s="32" t="n">
        <f aca="false">'Historical Prices Outview - ALL'!AD26*$B24/61.5</f>
        <v>13341320.3902439</v>
      </c>
      <c r="AE24" s="33" t="n">
        <f aca="false">'Historical Prices Outview - ALL'!AE26*$B24/61.5</f>
        <v>9897913.72097561</v>
      </c>
      <c r="AF24" s="32" t="n">
        <f aca="false">'Historical Prices Outview - ALL'!AF26*$B24/61.5</f>
        <v>8740742.22243902</v>
      </c>
      <c r="AG24" s="32" t="n">
        <f aca="false">'Historical Prices Outview - ALL'!AG26*$B24/61.5</f>
        <v>8247601.62601626</v>
      </c>
      <c r="AH24" s="32" t="n">
        <f aca="false">'Historical Prices Outview - ALL'!AH26*$B24/61.5</f>
        <v>8247601.62601626</v>
      </c>
      <c r="AI24" s="32" t="n">
        <f aca="false">'Historical Prices Outview - ALL'!AI26*$B24/61.5</f>
        <v>9567217.88617886</v>
      </c>
      <c r="AJ24" s="32" t="n">
        <f aca="false">'Historical Prices Outview - ALL'!AJ26*$B24/61.5</f>
        <v>9567217.88617886</v>
      </c>
      <c r="AK24" s="33" t="n">
        <f aca="false">'Historical Prices Outview - ALL'!AK26*$B24/61.5</f>
        <v>4849589.75609756</v>
      </c>
      <c r="AL24" s="32" t="n">
        <f aca="false">'Historical Prices Outview - ALL'!AL26*$B24/61.5</f>
        <v>5426921.8699187</v>
      </c>
      <c r="AM24" s="32" t="n">
        <f aca="false">'Historical Prices Outview - ALL'!AM26*$B24/61.5</f>
        <v>6106524.24390244</v>
      </c>
      <c r="AN24" s="32" t="n">
        <f aca="false">'Historical Prices Outview - ALL'!AN26*$B24/61.5</f>
        <v>7752745.52845528</v>
      </c>
      <c r="AO24" s="32" t="n">
        <f aca="false">'Historical Prices Outview - ALL'!AO26*$B24/61.5</f>
        <v>7752745.52845528</v>
      </c>
      <c r="AP24" s="33" t="n">
        <f aca="false">'Historical Prices Outview - ALL'!AP26*$B24/61.5</f>
        <v>7752745.52845528</v>
      </c>
      <c r="AQ24" s="32" t="n">
        <f aca="false">'Historical Prices Outview - ALL'!AQ26*$B24/61.5</f>
        <v>9412162.97560976</v>
      </c>
      <c r="AR24" s="32" t="n">
        <f aca="false">'Historical Prices Outview - ALL'!AR26*$B24/61.5</f>
        <v>9412162.97560976</v>
      </c>
    </row>
    <row r="25" customFormat="false" ht="12.8" hidden="false" customHeight="false" outlineLevel="0" collapsed="false">
      <c r="A25" s="139" t="s">
        <v>197</v>
      </c>
      <c r="B25" s="245" t="n">
        <v>386400</v>
      </c>
      <c r="C25" s="32" t="n">
        <f aca="false">'Historical Prices Outview - ALL'!C3*$B25 /61.5</f>
        <v>10341697.5609756</v>
      </c>
      <c r="D25" s="32" t="n">
        <f aca="false">'Historical Prices Outview - ALL'!D3*$B25 /61.5</f>
        <v>9424390.24390244</v>
      </c>
      <c r="E25" s="32" t="n">
        <f aca="false">'Historical Prices Outview - ALL'!E3*$B25 /61.5</f>
        <v>9424390.24390244</v>
      </c>
      <c r="F25" s="32" t="n">
        <f aca="false">'Historical Prices Outview - ALL'!F3*$B25 /61.5</f>
        <v>9424390.24390244</v>
      </c>
      <c r="G25" s="32" t="n">
        <f aca="false">'Historical Prices Outview - ALL'!G3*$B25 /61.5</f>
        <v>10052682.9268293</v>
      </c>
      <c r="H25" s="32" t="n">
        <f aca="false">'Historical Prices Outview - ALL'!H3*$B25 /61.5</f>
        <v>7539512.19512195</v>
      </c>
      <c r="I25" s="32" t="n">
        <f aca="false">'Historical Prices Outview - ALL'!I3*$B25 /61.5</f>
        <v>7539512.19512195</v>
      </c>
      <c r="J25" s="32" t="n">
        <f aca="false">'Historical Prices Outview - ALL'!J3*$B25 /61.5</f>
        <v>7539512.19512195</v>
      </c>
      <c r="K25" s="33" t="n">
        <f aca="false">'Historical Prices Outview - ALL'!K3*$B25 /61.5</f>
        <v>6282926.82926829</v>
      </c>
      <c r="L25" s="168" t="n">
        <f aca="false">'Historical Prices Outview - ALL'!L3*$B25 /61.5</f>
        <v>6282926.82926829</v>
      </c>
      <c r="M25" s="32" t="n">
        <f aca="false">'Historical Prices Outview - ALL'!M3*$B25 /61.5</f>
        <v>5434731.70731707</v>
      </c>
      <c r="N25" s="32" t="n">
        <f aca="false">'Historical Prices Outview - ALL'!N3*$B25 /61.5</f>
        <v>5434731.70731707</v>
      </c>
      <c r="O25" s="32" t="n">
        <f aca="false">'Historical Prices Outview - ALL'!O3*$B25 /61.5</f>
        <v>5434731.70731707</v>
      </c>
      <c r="P25" s="32" t="n">
        <f aca="false">'Historical Prices Outview - ALL'!P3*$B25 /61.5</f>
        <v>4536273.17073171</v>
      </c>
      <c r="Q25" s="32" t="n">
        <f aca="false">'Historical Prices Outview - ALL'!Q3*$B25 /61.5</f>
        <v>4536273.17073171</v>
      </c>
      <c r="R25" s="33" t="n">
        <f aca="false">'Historical Prices Outview - ALL'!R3*$B25 /61.5</f>
        <v>5277658.53658537</v>
      </c>
      <c r="S25" s="32" t="n">
        <f aca="false">'Historical Prices Outview - ALL'!S3*$B25 /61.5</f>
        <v>5120585.36585366</v>
      </c>
      <c r="T25" s="32" t="n">
        <f aca="false">'Historical Prices Outview - ALL'!T3*$B25 /61.5</f>
        <v>5120585.36585366</v>
      </c>
      <c r="U25" s="32" t="n">
        <f aca="false">'Historical Prices Outview - ALL'!U3*$B25 /61.5</f>
        <v>5057756.09756098</v>
      </c>
      <c r="V25" s="32" t="n">
        <f aca="false">'Historical Prices Outview - ALL'!V3*$B25 /61.5</f>
        <v>4775024.3902439</v>
      </c>
      <c r="W25" s="32" t="n">
        <f aca="false">'Historical Prices Outview - ALL'!W3*$B25 /61.5</f>
        <v>4712195.12195122</v>
      </c>
      <c r="X25" s="32" t="n">
        <f aca="false">'Historical Prices Outview - ALL'!X3*$B25 /61.5</f>
        <v>4712195.12195122</v>
      </c>
      <c r="Y25" s="32" t="n">
        <f aca="false">'Historical Prices Outview - ALL'!Y3*$B25 /61.5</f>
        <v>4599102.43902439</v>
      </c>
      <c r="Z25" s="33" t="n">
        <f aca="false">'Historical Prices Outview - ALL'!Z3*$B25 /61.5</f>
        <v>4398048.78048781</v>
      </c>
      <c r="AA25" s="32" t="n">
        <f aca="false">'Historical Prices Outview - ALL'!AA3*$B25 /61.5</f>
        <v>4398048.78048781</v>
      </c>
      <c r="AB25" s="32" t="n">
        <f aca="false">'Historical Prices Outview - ALL'!AB3*$B25 /61.5</f>
        <v>4096468.29268293</v>
      </c>
      <c r="AC25" s="32" t="n">
        <f aca="false">'Historical Prices Outview - ALL'!AC3*$B25 /61.5</f>
        <v>4153014.63414634</v>
      </c>
      <c r="AD25" s="32" t="n">
        <f aca="false">'Historical Prices Outview - ALL'!AD3*$B25 /61.5</f>
        <v>4712195.12195122</v>
      </c>
      <c r="AE25" s="33" t="n">
        <f aca="false">'Historical Prices Outview - ALL'!AE3*$B25 /61.5</f>
        <v>4266107.31707317</v>
      </c>
      <c r="AF25" s="32" t="n">
        <f aca="false">'Historical Prices Outview - ALL'!AF3*$B25 /61.5</f>
        <v>3882848.7804878</v>
      </c>
      <c r="AG25" s="32" t="n">
        <f aca="false">'Historical Prices Outview - ALL'!AG3*$B25 /61.5</f>
        <v>3882848.7804878</v>
      </c>
      <c r="AH25" s="32" t="n">
        <f aca="false">'Historical Prices Outview - ALL'!AH3*$B25 /61.5</f>
        <v>3882848.7804878</v>
      </c>
      <c r="AI25" s="32" t="n">
        <f aca="false">'Historical Prices Outview - ALL'!AI3*$B25 /61.5</f>
        <v>4146731.70731707</v>
      </c>
      <c r="AJ25" s="32" t="n">
        <f aca="false">'Historical Prices Outview - ALL'!AJ3*$B25 /61.5</f>
        <v>4146731.70731707</v>
      </c>
      <c r="AK25" s="33" t="n">
        <f aca="false">'Historical Prices Outview - ALL'!AK3*$B25 /61.5</f>
        <v>4146731.70731707</v>
      </c>
      <c r="AL25" s="32" t="n">
        <f aca="false">'Historical Prices Outview - ALL'!AL3*$B25 /61.5</f>
        <v>4146731.70731707</v>
      </c>
      <c r="AM25" s="32" t="n">
        <f aca="false">'Historical Prices Outview - ALL'!AM3*$B25 /61.5</f>
        <v>4266107.31707317</v>
      </c>
      <c r="AN25" s="32" t="n">
        <f aca="false">'Historical Prices Outview - ALL'!AN3*$B25 /61.5</f>
        <v>4266107.31707317</v>
      </c>
      <c r="AO25" s="32" t="n">
        <f aca="false">'Historical Prices Outview - ALL'!AO3*$B25 /61.5</f>
        <v>4341502.43902439</v>
      </c>
      <c r="AP25" s="33" t="n">
        <f aca="false">'Historical Prices Outview - ALL'!AP3*$B25 /61.5</f>
        <v>4146731.70731707</v>
      </c>
      <c r="AQ25" s="32" t="n">
        <f aca="false">'Historical Prices Outview - ALL'!AQ3*$B25 /61.5</f>
        <v>3518439.02439024</v>
      </c>
      <c r="AR25" s="32" t="n">
        <f aca="false">'Historical Prices Outview - ALL'!AR3*$B25 /61.5</f>
        <v>3606400</v>
      </c>
    </row>
    <row r="26" customFormat="false" ht="12.8" hidden="false" customHeight="false" outlineLevel="0" collapsed="false">
      <c r="A26" s="139" t="s">
        <v>198</v>
      </c>
      <c r="B26" s="245" t="n">
        <v>206230</v>
      </c>
      <c r="C26" s="32" t="n">
        <f aca="false">'Historical Prices Outview - ALL'!C55*$B26/61.5</f>
        <v>6706666.66666667</v>
      </c>
      <c r="D26" s="32" t="n">
        <f aca="false">'Historical Prices Outview - ALL'!D55*$B26/61.5</f>
        <v>6706666.66666667</v>
      </c>
      <c r="E26" s="32" t="n">
        <f aca="false">'Historical Prices Outview - ALL'!E55*$B26/61.5</f>
        <v>6706666.66666667</v>
      </c>
      <c r="F26" s="32" t="n">
        <f aca="false">'Historical Prices Outview - ALL'!F55*$B26/61.5</f>
        <v>6706666.66666667</v>
      </c>
      <c r="G26" s="32" t="n">
        <f aca="false">'Historical Prices Outview - ALL'!G55*$B26/61.5</f>
        <v>6706666.66666667</v>
      </c>
      <c r="H26" s="32" t="n">
        <f aca="false">'Historical Prices Outview - ALL'!H55*$B26/61.5</f>
        <v>6706666.66666667</v>
      </c>
      <c r="I26" s="32" t="n">
        <f aca="false">'Historical Prices Outview - ALL'!I55*$B26/61.5</f>
        <v>6706666.66666667</v>
      </c>
      <c r="J26" s="32" t="n">
        <f aca="false">'Historical Prices Outview - ALL'!J55*$B26/61.5</f>
        <v>6706666.66666667</v>
      </c>
      <c r="K26" s="33" t="n">
        <f aca="false">'Historical Prices Outview - ALL'!K55*$B26/61.5</f>
        <v>4694666.66666667</v>
      </c>
      <c r="L26" s="168" t="n">
        <f aca="false">'Historical Prices Outview - ALL'!L55*$B26/61.5</f>
        <v>6706666.66666667</v>
      </c>
      <c r="M26" s="32" t="n">
        <f aca="false">'Historical Prices Outview - ALL'!M55*$B26/61.5</f>
        <v>6706666.66666667</v>
      </c>
      <c r="N26" s="32" t="n">
        <f aca="false">'Historical Prices Outview - ALL'!N55*$B26/61.5</f>
        <v>6706666.66666667</v>
      </c>
      <c r="O26" s="32" t="n">
        <f aca="false">'Historical Prices Outview - ALL'!O55*$B26/61.5</f>
        <v>6706666.66666667</v>
      </c>
      <c r="P26" s="32" t="n">
        <f aca="false">'Historical Prices Outview - ALL'!P55*$B26/61.5</f>
        <v>6706666.66666667</v>
      </c>
      <c r="Q26" s="32" t="n">
        <f aca="false">'Historical Prices Outview - ALL'!Q55*$B26/61.5</f>
        <v>7042000</v>
      </c>
      <c r="R26" s="33" t="n">
        <f aca="false">'Historical Prices Outview - ALL'!R55*$B26/61.5</f>
        <v>7042000</v>
      </c>
      <c r="S26" s="32" t="n">
        <f aca="false">'Historical Prices Outview - ALL'!S55*$B26/61.5</f>
        <v>7042000</v>
      </c>
      <c r="T26" s="32" t="n">
        <f aca="false">'Historical Prices Outview - ALL'!T55*$B26/61.5</f>
        <v>7042000</v>
      </c>
      <c r="U26" s="32" t="n">
        <f aca="false">'Historical Prices Outview - ALL'!U55*$B26/61.5</f>
        <v>7209666.66666667</v>
      </c>
      <c r="V26" s="32" t="n">
        <f aca="false">'Historical Prices Outview - ALL'!V55*$B26/61.5</f>
        <v>7209666.66666667</v>
      </c>
      <c r="W26" s="32" t="n">
        <f aca="false">'Historical Prices Outview - ALL'!W55*$B26/61.5</f>
        <v>7209666.66666667</v>
      </c>
      <c r="X26" s="32" t="n">
        <f aca="false">'Historical Prices Outview - ALL'!X55*$B26/61.5</f>
        <v>7209666.66666667</v>
      </c>
      <c r="Y26" s="32" t="n">
        <f aca="false">'Historical Prices Outview - ALL'!Y55*$B26/61.5</f>
        <v>7209666.66666667</v>
      </c>
      <c r="Z26" s="33" t="n">
        <f aca="false">'Historical Prices Outview - ALL'!Z55*$B26/61.5</f>
        <v>6706666.66666667</v>
      </c>
      <c r="AA26" s="32" t="n">
        <f aca="false">'Historical Prices Outview - ALL'!AA55*$B26/61.5</f>
        <v>6706666.66666667</v>
      </c>
      <c r="AB26" s="32" t="n">
        <f aca="false">'Historical Prices Outview - ALL'!AB55*$B26/61.5</f>
        <v>6710020</v>
      </c>
      <c r="AC26" s="32" t="n">
        <f aca="false">'Historical Prices Outview - ALL'!AC55*$B26/61.5</f>
        <v>6710020</v>
      </c>
      <c r="AD26" s="32" t="n">
        <f aca="false">'Historical Prices Outview - ALL'!AD55*$B26/61.5</f>
        <v>6710020</v>
      </c>
      <c r="AE26" s="33" t="n">
        <f aca="false">'Historical Prices Outview - ALL'!AE55*$B26/61.5</f>
        <v>6371333.33333333</v>
      </c>
      <c r="AF26" s="32" t="n">
        <f aca="false">'Historical Prices Outview - ALL'!AF55*$B26/61.5</f>
        <v>6039353.33333333</v>
      </c>
      <c r="AG26" s="32" t="n">
        <f aca="false">'Historical Prices Outview - ALL'!AG55*$B26/61.5</f>
        <v>6039353.33333333</v>
      </c>
      <c r="AH26" s="32" t="n">
        <f aca="false">'Historical Prices Outview - ALL'!AH55*$B26/61.5</f>
        <v>6039353.33333333</v>
      </c>
      <c r="AI26" s="32" t="n">
        <f aca="false">'Historical Prices Outview - ALL'!AI55*$B26/61.5</f>
        <v>6039353.33333333</v>
      </c>
      <c r="AJ26" s="32" t="n">
        <f aca="false">'Historical Prices Outview - ALL'!AJ55*$B26/61.5</f>
        <v>6039353.33333333</v>
      </c>
      <c r="AK26" s="33" t="n">
        <f aca="false">'Historical Prices Outview - ALL'!AK55*$B26/61.5</f>
        <v>6039353.33333333</v>
      </c>
      <c r="AL26" s="32" t="n">
        <f aca="false">'Historical Prices Outview - ALL'!AL55*$B26/61.5</f>
        <v>6039353.33333333</v>
      </c>
      <c r="AM26" s="32" t="n">
        <f aca="false">'Historical Prices Outview - ALL'!AM55*$B26/61.5</f>
        <v>6039353.33333333</v>
      </c>
      <c r="AN26" s="32" t="n">
        <f aca="false">'Historical Prices Outview - ALL'!AN55*$B26/61.5</f>
        <v>6039353.33333333</v>
      </c>
      <c r="AO26" s="32" t="n">
        <f aca="false">'Historical Prices Outview - ALL'!AO55*$B26/61.5</f>
        <v>6039353.33333333</v>
      </c>
      <c r="AP26" s="33" t="n">
        <f aca="false">'Historical Prices Outview - ALL'!AP55*$B26/61.5</f>
        <v>6039353.33333333</v>
      </c>
      <c r="AQ26" s="32" t="n">
        <f aca="false">'Historical Prices Outview - ALL'!AQ55*$B26/61.5</f>
        <v>5700666.66666667</v>
      </c>
      <c r="AR26" s="32" t="n">
        <f aca="false">'Historical Prices Outview - ALL'!AR55*$B26/61.5</f>
        <v>5700666.66666667</v>
      </c>
    </row>
    <row r="27" customFormat="false" ht="12.8" hidden="false" customHeight="false" outlineLevel="0" collapsed="false">
      <c r="A27" s="139" t="s">
        <v>28</v>
      </c>
      <c r="B27" s="245" t="n">
        <v>1035000</v>
      </c>
      <c r="C27" s="20" t="n">
        <f aca="false">'Historical Prices Outview - ALL'!C84*$B27/61.5</f>
        <v>5301219.51219512</v>
      </c>
      <c r="D27" s="20" t="n">
        <f aca="false">'Historical Prices Outview - ALL'!D84*$B27/61.5</f>
        <v>5301219.51219512</v>
      </c>
      <c r="E27" s="20" t="n">
        <f aca="false">'Historical Prices Outview - ALL'!E84*$B27/61.5</f>
        <v>5301219.51219512</v>
      </c>
      <c r="F27" s="20" t="n">
        <f aca="false">'Historical Prices Outview - ALL'!F84*$B27/61.5</f>
        <v>5301219.51219512</v>
      </c>
      <c r="G27" s="20" t="n">
        <f aca="false">'Historical Prices Outview - ALL'!G84*$B27/61.5</f>
        <v>5301219.51219512</v>
      </c>
      <c r="H27" s="20" t="n">
        <f aca="false">'Historical Prices Outview - ALL'!H84*$B27/61.5</f>
        <v>5301219.51219512</v>
      </c>
      <c r="I27" s="20" t="n">
        <f aca="false">'Historical Prices Outview - ALL'!I84*$B27/61.5</f>
        <v>5200243.90243902</v>
      </c>
      <c r="J27" s="20" t="n">
        <f aca="false">'Historical Prices Outview - ALL'!J84*$B27/61.5</f>
        <v>5048780.48780488</v>
      </c>
      <c r="K27" s="33" t="n">
        <f aca="false">'Historical Prices Outview - ALL'!K84*$B27/61.5</f>
        <v>5048780.48780488</v>
      </c>
      <c r="L27" s="168" t="n">
        <f aca="false">'Historical Prices Outview - ALL'!L84*$B27/61.5</f>
        <v>5048780.48780488</v>
      </c>
      <c r="M27" s="32" t="n">
        <f aca="false">'Historical Prices Outview - ALL'!M84*$B27/61.5</f>
        <v>5048780.48780488</v>
      </c>
      <c r="N27" s="32" t="n">
        <f aca="false">'Historical Prices Outview - ALL'!N84*$B27/61.5</f>
        <v>5048780.48780488</v>
      </c>
      <c r="O27" s="32" t="n">
        <f aca="false">'Historical Prices Outview - ALL'!O84*$B27/61.5</f>
        <v>3281707.31707317</v>
      </c>
      <c r="P27" s="32" t="n">
        <f aca="false">'Historical Prices Outview - ALL'!P84*$B27/61.5</f>
        <v>3281707.31707317</v>
      </c>
      <c r="Q27" s="32" t="n">
        <f aca="false">'Historical Prices Outview - ALL'!Q84*$B27/61.5</f>
        <v>5183414.63414634</v>
      </c>
      <c r="R27" s="33" t="n">
        <f aca="false">'Historical Prices Outview - ALL'!R84*$B27/61.5</f>
        <v>5183414.63414634</v>
      </c>
      <c r="S27" s="32" t="n">
        <f aca="false">'Historical Prices Outview - ALL'!S84*$B27/61.5</f>
        <v>5183414.63414634</v>
      </c>
      <c r="T27" s="32" t="n">
        <f aca="false">'Historical Prices Outview - ALL'!T84*$B27/61.5</f>
        <v>5183414.63414634</v>
      </c>
      <c r="U27" s="32" t="n">
        <f aca="false">'Historical Prices Outview - ALL'!U84*$B27/61.5</f>
        <v>5183414.63414634</v>
      </c>
      <c r="V27" s="32" t="n">
        <f aca="false">'Historical Prices Outview - ALL'!V84*$B27/61.5</f>
        <v>5183414.63414634</v>
      </c>
      <c r="W27" s="32" t="n">
        <f aca="false">'Historical Prices Outview - ALL'!W84*$B27/61.5</f>
        <v>5183414.63414634</v>
      </c>
      <c r="X27" s="32" t="n">
        <f aca="false">'Historical Prices Outview - ALL'!X84*$B27/61.5</f>
        <v>5183414.63414634</v>
      </c>
      <c r="Y27" s="32" t="n">
        <f aca="false">'Historical Prices Outview - ALL'!Y84*$B27/61.5</f>
        <v>5183414.63414634</v>
      </c>
      <c r="Z27" s="33" t="n">
        <f aca="false">'Historical Prices Outview - ALL'!Z84*$B27/61.5</f>
        <v>5183414.63414634</v>
      </c>
      <c r="AA27" s="32" t="n">
        <f aca="false">'Historical Prices Outview - ALL'!AA84*$B27/61.5</f>
        <v>4207317.07317073</v>
      </c>
      <c r="AB27" s="32" t="n">
        <f aca="false">'Historical Prices Outview - ALL'!AB84*$B27/61.5</f>
        <v>4207317.07317073</v>
      </c>
      <c r="AC27" s="32" t="n">
        <f aca="false">'Historical Prices Outview - ALL'!AC84*$B27/61.5</f>
        <v>4207317.07317073</v>
      </c>
      <c r="AD27" s="32" t="n">
        <f aca="false">'Historical Prices Outview - ALL'!AD84*$B27/61.5</f>
        <v>4207317.07317073</v>
      </c>
      <c r="AE27" s="33" t="n">
        <f aca="false">'Historical Prices Outview - ALL'!AE84*$B27/61.5</f>
        <v>4207317.07317073</v>
      </c>
      <c r="AF27" s="32" t="n">
        <f aca="false">'Historical Prices Outview - ALL'!AF84*$B27/61.5</f>
        <v>4897317.07317073</v>
      </c>
      <c r="AG27" s="32" t="n">
        <f aca="false">'Historical Prices Outview - ALL'!AG84*$B27/61.5</f>
        <v>5048780.48780488</v>
      </c>
      <c r="AH27" s="32" t="n">
        <f aca="false">'Historical Prices Outview - ALL'!AH84*$B27/61.5</f>
        <v>5385365.85365854</v>
      </c>
      <c r="AI27" s="32" t="n">
        <f aca="false">'Historical Prices Outview - ALL'!AI84*$B27/61.5</f>
        <v>5402195.12195122</v>
      </c>
      <c r="AJ27" s="32" t="n">
        <f aca="false">'Historical Prices Outview - ALL'!AJ84*$B27/61.5</f>
        <v>5402195.12195122</v>
      </c>
      <c r="AK27" s="33" t="n">
        <f aca="false">'Historical Prices Outview - ALL'!AK84*$B27/61.5</f>
        <v>4796341.46341464</v>
      </c>
      <c r="AL27" s="32" t="n">
        <f aca="false">'Historical Prices Outview - ALL'!AL84*$B27/61.5</f>
        <v>4964634.14634146</v>
      </c>
      <c r="AM27" s="32" t="n">
        <f aca="false">'Historical Prices Outview - ALL'!AM84*$B27/61.5</f>
        <v>4981463.41463415</v>
      </c>
      <c r="AN27" s="32" t="n">
        <f aca="false">'Historical Prices Outview - ALL'!AN84*$B27/61.5</f>
        <v>6344634.14634146</v>
      </c>
      <c r="AO27" s="32" t="n">
        <f aca="false">'Historical Prices Outview - ALL'!AO84*$B27/61.5</f>
        <v>6546585.36585366</v>
      </c>
      <c r="AP27" s="33" t="n">
        <f aca="false">'Historical Prices Outview - ALL'!AP84*$B27/61.5</f>
        <v>6058536.58536585</v>
      </c>
      <c r="AQ27" s="32" t="n">
        <f aca="false">'Historical Prices Outview - ALL'!AQ84*$B27/61.5</f>
        <v>5890243.90243902</v>
      </c>
      <c r="AR27" s="32" t="n">
        <f aca="false">'Historical Prices Outview - ALL'!AR84*$B27/61.5</f>
        <v>5132926.82926829</v>
      </c>
    </row>
    <row r="28" customFormat="false" ht="12.8" hidden="false" customHeight="false" outlineLevel="0" collapsed="false">
      <c r="A28" s="139" t="s">
        <v>199</v>
      </c>
      <c r="B28" s="245" t="n">
        <v>10155</v>
      </c>
      <c r="C28" s="32" t="n">
        <f aca="false">'Historical Prices Outview - ALL'!C7*$B28/61.5</f>
        <v>2972360.24390244</v>
      </c>
      <c r="D28" s="32" t="n">
        <f aca="false">'Historical Prices Outview - ALL'!D7*$B28/61.5</f>
        <v>2972360.24390244</v>
      </c>
      <c r="E28" s="32" t="n">
        <f aca="false">'Historical Prices Outview - ALL'!E7*$B28/61.5</f>
        <v>2972360.24390244</v>
      </c>
      <c r="F28" s="32" t="n">
        <f aca="false">'Historical Prices Outview - ALL'!F7*$B28/61.5</f>
        <v>2567646.34146341</v>
      </c>
      <c r="G28" s="32" t="n">
        <f aca="false">'Historical Prices Outview - ALL'!G7*$B28/61.5</f>
        <v>2567646.34146341</v>
      </c>
      <c r="H28" s="32" t="n">
        <f aca="false">'Historical Prices Outview - ALL'!H7*$B28/61.5</f>
        <v>2567646.34146341</v>
      </c>
      <c r="I28" s="32" t="n">
        <f aca="false">'Historical Prices Outview - ALL'!I7*$B28/61.5</f>
        <v>2567646.34146341</v>
      </c>
      <c r="J28" s="32" t="n">
        <f aca="false">'Historical Prices Outview - ALL'!J7*$B28/61.5</f>
        <v>2567646.34146341</v>
      </c>
      <c r="K28" s="33" t="n">
        <f aca="false">'Historical Prices Outview - ALL'!K7*$B28/61.5</f>
        <v>2567646.34146341</v>
      </c>
      <c r="L28" s="168" t="n">
        <f aca="false">'Historical Prices Outview - ALL'!L7*$B28/61.5</f>
        <v>2567646.34146341</v>
      </c>
      <c r="M28" s="32" t="n">
        <f aca="false">'Historical Prices Outview - ALL'!M7*$B28/61.5</f>
        <v>2567646.34146341</v>
      </c>
      <c r="N28" s="32" t="n">
        <f aca="false">'Historical Prices Outview - ALL'!N7*$B28/61.5</f>
        <v>2567646.34146341</v>
      </c>
      <c r="O28" s="32" t="n">
        <f aca="false">'Historical Prices Outview - ALL'!O7*$B28/61.5</f>
        <v>2567646.34146341</v>
      </c>
      <c r="P28" s="32" t="n">
        <f aca="false">'Historical Prices Outview - ALL'!P7*$B28/61.5</f>
        <v>2567646.34146341</v>
      </c>
      <c r="Q28" s="32" t="n">
        <f aca="false">'Historical Prices Outview - ALL'!Q7*$B28/61.5</f>
        <v>2567646.34146341</v>
      </c>
      <c r="R28" s="33" t="n">
        <f aca="false">'Historical Prices Outview - ALL'!R7*$B28/61.5</f>
        <v>2567646.34146341</v>
      </c>
      <c r="S28" s="32" t="n">
        <f aca="false">'Historical Prices Outview - ALL'!S7*$B28/61.5</f>
        <v>2567646.34146341</v>
      </c>
      <c r="T28" s="32" t="n">
        <f aca="false">'Historical Prices Outview - ALL'!T7*$B28/61.5</f>
        <v>2567646.34146341</v>
      </c>
      <c r="U28" s="32" t="n">
        <f aca="false">'Historical Prices Outview - ALL'!U7*$B28/61.5</f>
        <v>2567646.34146341</v>
      </c>
      <c r="V28" s="32" t="n">
        <f aca="false">'Historical Prices Outview - ALL'!V7*$B28/61.5</f>
        <v>2567646.34146341</v>
      </c>
      <c r="W28" s="32" t="n">
        <f aca="false">'Historical Prices Outview - ALL'!W7*$B28/61.5</f>
        <v>2567646.34146341</v>
      </c>
      <c r="X28" s="32" t="n">
        <f aca="false">'Historical Prices Outview - ALL'!X7*$B28/61.5</f>
        <v>2567646.34146341</v>
      </c>
      <c r="Y28" s="32" t="n">
        <f aca="false">'Historical Prices Outview - ALL'!Y7*$B28/61.5</f>
        <v>2567646.34146341</v>
      </c>
      <c r="Z28" s="33" t="n">
        <f aca="false">'Historical Prices Outview - ALL'!Z7*$B28/61.5</f>
        <v>2567646.34146341</v>
      </c>
      <c r="AA28" s="32" t="n">
        <f aca="false">'Historical Prices Outview - ALL'!AA7*$B28/61.5</f>
        <v>2031000</v>
      </c>
      <c r="AB28" s="32" t="n">
        <f aca="false">'Historical Prices Outview - ALL'!AB7*$B28/61.5</f>
        <v>2031000</v>
      </c>
      <c r="AC28" s="32" t="n">
        <f aca="false">'Historical Prices Outview - ALL'!AC7*$B28/61.5</f>
        <v>2031000</v>
      </c>
      <c r="AD28" s="32" t="n">
        <f aca="false">'Historical Prices Outview - ALL'!AD7*$B28/61.5</f>
        <v>2031000</v>
      </c>
      <c r="AE28" s="33" t="n">
        <f aca="false">'Historical Prices Outview - ALL'!AE7*$B28/61.5</f>
        <v>2031000</v>
      </c>
      <c r="AF28" s="32" t="n">
        <f aca="false">'Historical Prices Outview - ALL'!AF7*$B28/61.5</f>
        <v>1667731.70731707</v>
      </c>
      <c r="AG28" s="32" t="n">
        <f aca="false">'Historical Prices Outview - ALL'!AG7*$B28/61.5</f>
        <v>1667731.70731707</v>
      </c>
      <c r="AH28" s="32" t="n">
        <f aca="false">'Historical Prices Outview - ALL'!AH7*$B28/61.5</f>
        <v>1667731.70731707</v>
      </c>
      <c r="AI28" s="32" t="n">
        <f aca="false">'Historical Prices Outview - ALL'!AI7*$B28/61.5</f>
        <v>1667731.70731707</v>
      </c>
      <c r="AJ28" s="32" t="n">
        <f aca="false">'Historical Prices Outview - ALL'!AJ7*$B28/61.5</f>
        <v>1667731.70731707</v>
      </c>
      <c r="AK28" s="33" t="n">
        <f aca="false">'Historical Prices Outview - ALL'!AK7*$B28/61.5</f>
        <v>1667731.70731707</v>
      </c>
      <c r="AL28" s="32" t="n">
        <f aca="false">'Historical Prices Outview - ALL'!AL7*$B28/61.5</f>
        <v>1667731.70731707</v>
      </c>
      <c r="AM28" s="32" t="n">
        <f aca="false">'Historical Prices Outview - ALL'!AM7*$B28/61.5</f>
        <v>1667731.70731707</v>
      </c>
      <c r="AN28" s="32" t="n">
        <f aca="false">'Historical Prices Outview - ALL'!AN7*$B28/61.5</f>
        <v>1667731.70731707</v>
      </c>
      <c r="AO28" s="32" t="n">
        <f aca="false">'Historical Prices Outview - ALL'!AO7*$B28/61.5</f>
        <v>1667731.70731707</v>
      </c>
      <c r="AP28" s="33" t="n">
        <f aca="false">'Historical Prices Outview - ALL'!AP7*$B28/61.5</f>
        <v>1667731.70731707</v>
      </c>
      <c r="AQ28" s="32" t="n">
        <f aca="false">'Historical Prices Outview - ALL'!AQ7*$B28/61.5</f>
        <v>1667731.70731707</v>
      </c>
      <c r="AR28" s="32" t="n">
        <f aca="false">'Historical Prices Outview - ALL'!AR7*$B28/61.5</f>
        <v>1667731.70731707</v>
      </c>
    </row>
    <row r="29" customFormat="false" ht="12.8" hidden="false" customHeight="false" outlineLevel="0" collapsed="false">
      <c r="A29" s="139" t="s">
        <v>200</v>
      </c>
      <c r="B29" s="245" t="n">
        <v>788424</v>
      </c>
      <c r="C29" s="32" t="n">
        <f aca="false">'Historical Prices Outview - ALL'!C39*$B29/61.5</f>
        <v>2961397.46341463</v>
      </c>
      <c r="D29" s="32" t="n">
        <f aca="false">'Historical Prices Outview - ALL'!D39*$B29/61.5</f>
        <v>2961397.46341463</v>
      </c>
      <c r="E29" s="32" t="n">
        <f aca="false">'Historical Prices Outview - ALL'!E39*$B29/61.5</f>
        <v>2961397.46341463</v>
      </c>
      <c r="F29" s="32" t="n">
        <f aca="false">'Historical Prices Outview - ALL'!F39*$B29/61.5</f>
        <v>2961397.46341463</v>
      </c>
      <c r="G29" s="32" t="n">
        <f aca="false">'Historical Prices Outview - ALL'!G39*$B29/61.5</f>
        <v>2961397.46341463</v>
      </c>
      <c r="H29" s="32" t="n">
        <f aca="false">'Historical Prices Outview - ALL'!H39*$B29/61.5</f>
        <v>2961397.46341463</v>
      </c>
      <c r="I29" s="32" t="n">
        <f aca="false">'Historical Prices Outview - ALL'!I39*$B29/61.5</f>
        <v>2961397.46341463</v>
      </c>
      <c r="J29" s="32" t="n">
        <f aca="false">'Historical Prices Outview - ALL'!J39*$B29/61.5</f>
        <v>2807558.63414634</v>
      </c>
      <c r="K29" s="33" t="n">
        <f aca="false">'Historical Prices Outview - ALL'!K39*$B29/61.5</f>
        <v>2820378.53658537</v>
      </c>
      <c r="L29" s="168" t="n">
        <f aca="false">'Historical Prices Outview - ALL'!L39*$B29/61.5</f>
        <v>2640899.90243902</v>
      </c>
      <c r="M29" s="32" t="n">
        <f aca="false">'Historical Prices Outview - ALL'!M39*$B29/61.5</f>
        <v>2640899.90243902</v>
      </c>
      <c r="N29" s="32" t="n">
        <f aca="false">'Historical Prices Outview - ALL'!N39*$B29/61.5</f>
        <v>2640899.90243902</v>
      </c>
      <c r="O29" s="32" t="n">
        <f aca="false">'Historical Prices Outview - ALL'!O39*$B29/61.5</f>
        <v>2640899.90243902</v>
      </c>
      <c r="P29" s="32" t="n">
        <f aca="false">'Historical Prices Outview - ALL'!P39*$B29/61.5</f>
        <v>2448601.36585366</v>
      </c>
      <c r="Q29" s="32" t="n">
        <f aca="false">'Historical Prices Outview - ALL'!Q39*$B29/61.5</f>
        <v>2499880.97560976</v>
      </c>
      <c r="R29" s="33" t="n">
        <f aca="false">'Historical Prices Outview - ALL'!R39*$B29/61.5</f>
        <v>2563980.48780488</v>
      </c>
      <c r="S29" s="32" t="n">
        <f aca="false">'Historical Prices Outview - ALL'!S39*$B29/61.5</f>
        <v>2563980.48780488</v>
      </c>
      <c r="T29" s="32" t="n">
        <f aca="false">'Historical Prices Outview - ALL'!T39*$B29/61.5</f>
        <v>2615260.09756098</v>
      </c>
      <c r="U29" s="32" t="n">
        <f aca="false">'Historical Prices Outview - ALL'!U39*$B29/61.5</f>
        <v>2435781.46341463</v>
      </c>
      <c r="V29" s="32" t="n">
        <f aca="false">'Historical Prices Outview - ALL'!V39*$B29/61.5</f>
        <v>2371681.95121951</v>
      </c>
      <c r="W29" s="32" t="n">
        <f aca="false">'Historical Prices Outview - ALL'!W39*$B29/61.5</f>
        <v>2371681.95121951</v>
      </c>
      <c r="X29" s="32" t="n">
        <f aca="false">'Historical Prices Outview - ALL'!X39*$B29/61.5</f>
        <v>2371681.95121951</v>
      </c>
      <c r="Y29" s="32" t="n">
        <f aca="false">'Historical Prices Outview - ALL'!Y39*$B29/61.5</f>
        <v>2679359.6097561</v>
      </c>
      <c r="Z29" s="33" t="n">
        <f aca="false">'Historical Prices Outview - ALL'!Z39*$B29/61.5</f>
        <v>2089644.09756098</v>
      </c>
      <c r="AA29" s="32" t="n">
        <f aca="false">'Historical Prices Outview - ALL'!AA39*$B29/61.5</f>
        <v>2448601.36585366</v>
      </c>
      <c r="AB29" s="32" t="n">
        <f aca="false">'Historical Prices Outview - ALL'!AB39*$B29/61.5</f>
        <v>3204975.6097561</v>
      </c>
      <c r="AC29" s="32" t="n">
        <f aca="false">'Historical Prices Outview - ALL'!AC39*$B29/61.5</f>
        <v>3204975.6097561</v>
      </c>
      <c r="AD29" s="32" t="n">
        <f aca="false">'Historical Prices Outview - ALL'!AD39*$B29/61.5</f>
        <v>3204975.6097561</v>
      </c>
      <c r="AE29" s="33" t="n">
        <f aca="false">'Historical Prices Outview - ALL'!AE39*$B29/61.5</f>
        <v>2448601.36585366</v>
      </c>
      <c r="AF29" s="32" t="n">
        <f aca="false">'Historical Prices Outview - ALL'!AF39*$B29/61.5</f>
        <v>2448601.36585366</v>
      </c>
      <c r="AG29" s="32" t="n">
        <f aca="false">'Historical Prices Outview - ALL'!AG39*$B29/61.5</f>
        <v>2448601.36585366</v>
      </c>
      <c r="AH29" s="32" t="n">
        <f aca="false">'Historical Prices Outview - ALL'!AH39*$B29/61.5</f>
        <v>2563980.48780488</v>
      </c>
      <c r="AI29" s="32" t="n">
        <f aca="false">'Historical Prices Outview - ALL'!AI39*$B29/61.5</f>
        <v>2563980.48780488</v>
      </c>
      <c r="AJ29" s="32" t="n">
        <f aca="false">'Historical Prices Outview - ALL'!AJ39*$B29/61.5</f>
        <v>2563980.48780488</v>
      </c>
      <c r="AK29" s="33" t="n">
        <f aca="false">'Historical Prices Outview - ALL'!AK39*$B29/61.5</f>
        <v>3012677.07317073</v>
      </c>
      <c r="AL29" s="32" t="n">
        <f aca="false">'Historical Prices Outview - ALL'!AL39*$B29/61.5</f>
        <v>2563980.48780488</v>
      </c>
      <c r="AM29" s="32" t="n">
        <f aca="false">'Historical Prices Outview - ALL'!AM39*$B29/61.5</f>
        <v>2563980.48780488</v>
      </c>
      <c r="AN29" s="32" t="n">
        <f aca="false">'Historical Prices Outview - ALL'!AN39*$B29/61.5</f>
        <v>2628080</v>
      </c>
      <c r="AO29" s="32" t="n">
        <f aca="false">'Historical Prices Outview - ALL'!AO39*$B29/61.5</f>
        <v>2704999.41463415</v>
      </c>
      <c r="AP29" s="33" t="n">
        <f aca="false">'Historical Prices Outview - ALL'!AP39*$B29/61.5</f>
        <v>2064004.29268293</v>
      </c>
      <c r="AQ29" s="32" t="n">
        <f aca="false">'Historical Prices Outview - ALL'!AQ39*$B29/61.5</f>
        <v>3051136.7804878</v>
      </c>
      <c r="AR29" s="32" t="n">
        <f aca="false">'Historical Prices Outview - ALL'!AR39*$B29/61.5</f>
        <v>2948577.56097561</v>
      </c>
    </row>
    <row r="30" customFormat="false" ht="12.8" hidden="false" customHeight="false" outlineLevel="0" collapsed="false">
      <c r="B30" s="1"/>
      <c r="K30" s="21"/>
      <c r="L30" s="32"/>
      <c r="R30" s="21"/>
      <c r="Z30" s="21"/>
      <c r="AE30" s="21"/>
      <c r="AK30" s="21"/>
      <c r="AP30" s="21"/>
    </row>
    <row r="31" customFormat="false" ht="12.8" hidden="false" customHeight="false" outlineLevel="0" collapsed="false">
      <c r="A31" s="16" t="s">
        <v>271</v>
      </c>
      <c r="B31" s="16"/>
      <c r="C31" s="32" t="n">
        <f aca="false">SUM(C2:C29)</f>
        <v>4318216952.68992</v>
      </c>
      <c r="D31" s="32" t="n">
        <f aca="false">SUM(D2:D29)</f>
        <v>4208420683.89642</v>
      </c>
      <c r="E31" s="32" t="n">
        <f aca="false">SUM(E2:E29)</f>
        <v>4268607951.56098</v>
      </c>
      <c r="F31" s="32" t="n">
        <f aca="false">SUM(F2:F29)</f>
        <v>4117064479.51073</v>
      </c>
      <c r="G31" s="32" t="n">
        <f aca="false">SUM(G2:G29)</f>
        <v>3939407169.81496</v>
      </c>
      <c r="H31" s="32" t="n">
        <f aca="false">SUM(H2:H29)</f>
        <v>3711044090.33528</v>
      </c>
      <c r="I31" s="32" t="n">
        <f aca="false">SUM(I2:I29)</f>
        <v>3692499234.66244</v>
      </c>
      <c r="J31" s="32" t="n">
        <f aca="false">SUM(J2:J29)</f>
        <v>3507425978.38325</v>
      </c>
      <c r="K31" s="33" t="n">
        <f aca="false">SUM(K2:K29)</f>
        <v>3202486239.32715</v>
      </c>
      <c r="L31" s="168" t="n">
        <f aca="false">SUM(L2:L29)</f>
        <v>3180733070.53919</v>
      </c>
      <c r="M31" s="32" t="n">
        <f aca="false">SUM(M2:M29)</f>
        <v>3112182397.23496</v>
      </c>
      <c r="N31" s="32" t="n">
        <f aca="false">SUM(N2:N29)</f>
        <v>3108771801.70699</v>
      </c>
      <c r="O31" s="32" t="n">
        <f aca="false">SUM(O2:O29)</f>
        <v>3081484398.78423</v>
      </c>
      <c r="P31" s="32" t="n">
        <f aca="false">SUM(P2:P29)</f>
        <v>3008677449.59561</v>
      </c>
      <c r="Q31" s="32" t="n">
        <f aca="false">SUM(Q2:Q29)</f>
        <v>3053185707.39415</v>
      </c>
      <c r="R31" s="33" t="n">
        <f aca="false">SUM(R2:R29)</f>
        <v>2937237011.45594</v>
      </c>
      <c r="S31" s="32" t="n">
        <f aca="false">SUM(S2:S29)</f>
        <v>2846283423.82244</v>
      </c>
      <c r="T31" s="32" t="n">
        <f aca="false">SUM(T2:T29)</f>
        <v>2954125459.93382</v>
      </c>
      <c r="U31" s="32" t="n">
        <f aca="false">SUM(U2:U29)</f>
        <v>3012337904.18569</v>
      </c>
      <c r="V31" s="32" t="n">
        <f aca="false">SUM(V2:V29)</f>
        <v>3201674856.22163</v>
      </c>
      <c r="W31" s="32" t="n">
        <f aca="false">SUM(W2:W29)</f>
        <v>3120319068.47854</v>
      </c>
      <c r="X31" s="32" t="n">
        <f aca="false">SUM(X2:X29)</f>
        <v>3008284641.36098</v>
      </c>
      <c r="Y31" s="32" t="n">
        <f aca="false">SUM(Y2:Y29)</f>
        <v>3211920468.07154</v>
      </c>
      <c r="Z31" s="33" t="n">
        <f aca="false">SUM(Z2:Z29)</f>
        <v>3102311824.17333</v>
      </c>
      <c r="AA31" s="32" t="n">
        <f aca="false">SUM(AA2:AA29)</f>
        <v>2931307251.28065</v>
      </c>
      <c r="AB31" s="32" t="n">
        <f aca="false">SUM(AB2:AB29)</f>
        <v>3011639853.76228</v>
      </c>
      <c r="AC31" s="32" t="n">
        <f aca="false">SUM(AC2:AC29)</f>
        <v>2706444187.25268</v>
      </c>
      <c r="AD31" s="32" t="n">
        <f aca="false">SUM(AD2:AD29)</f>
        <v>2535565659.1987</v>
      </c>
      <c r="AE31" s="33" t="n">
        <f aca="false">SUM(AE2:AE29)</f>
        <v>2419277376.14325</v>
      </c>
      <c r="AF31" s="32" t="n">
        <f aca="false">SUM(AF2:AF29)</f>
        <v>2360406001.87187</v>
      </c>
      <c r="AG31" s="32" t="n">
        <f aca="false">SUM(AG2:AG29)</f>
        <v>2372203304.98033</v>
      </c>
      <c r="AH31" s="32" t="n">
        <f aca="false">SUM(AH2:AH29)</f>
        <v>2218618692.21886</v>
      </c>
      <c r="AI31" s="32" t="n">
        <f aca="false">SUM(AI2:AI29)</f>
        <v>1985637092.15366</v>
      </c>
      <c r="AJ31" s="32" t="n">
        <f aca="false">SUM(AJ2:AJ29)</f>
        <v>2521729234.78195</v>
      </c>
      <c r="AK31" s="33" t="n">
        <f aca="false">SUM(AK2:AK29)</f>
        <v>2417432673.22228</v>
      </c>
      <c r="AL31" s="32" t="n">
        <f aca="false">SUM(AL2:AL29)</f>
        <v>2301355597.69561</v>
      </c>
      <c r="AM31" s="32" t="n">
        <f aca="false">SUM(AM2:AM29)</f>
        <v>2231479799.48293</v>
      </c>
      <c r="AN31" s="32" t="n">
        <f aca="false">SUM(AN2:AN29)</f>
        <v>2116338406.05024</v>
      </c>
      <c r="AO31" s="32" t="n">
        <f aca="false">SUM(AO2:AO29)</f>
        <v>2135570025.55252</v>
      </c>
      <c r="AP31" s="33" t="n">
        <f aca="false">SUM(AP2:AP29)</f>
        <v>2062417092.61187</v>
      </c>
      <c r="AQ31" s="32" t="n">
        <f aca="false">SUM(AQ2:AQ29)</f>
        <v>2093218131.33935</v>
      </c>
      <c r="AR31" s="32" t="n">
        <f aca="false">SUM(AR2:AR29)</f>
        <v>2047759122.44228</v>
      </c>
    </row>
    <row r="32" customFormat="false" ht="12.8" hidden="false" customHeight="false" outlineLevel="0" collapsed="false">
      <c r="A32" s="16" t="s">
        <v>272</v>
      </c>
      <c r="B32" s="16"/>
      <c r="C32" s="32" t="n">
        <f aca="false">PERCENTILE(C2:C29,0.8)</f>
        <v>263386048.464651</v>
      </c>
      <c r="D32" s="32" t="n">
        <f aca="false">PERCENTILE(D2:D29,0.8)</f>
        <v>266375980.504586</v>
      </c>
      <c r="E32" s="32" t="n">
        <f aca="false">PERCENTILE(E2:E29,0.8)</f>
        <v>266467209.105691</v>
      </c>
      <c r="F32" s="32" t="n">
        <f aca="false">PERCENTILE(F2:F29,0.8)</f>
        <v>264183651.193626</v>
      </c>
      <c r="G32" s="32" t="n">
        <f aca="false">PERCENTILE(G2:G29,0.8)</f>
        <v>262319966.580813</v>
      </c>
      <c r="H32" s="32" t="n">
        <f aca="false">PERCENTILE(H2:H29,0.8)</f>
        <v>223765699.32839</v>
      </c>
      <c r="I32" s="32" t="n">
        <f aca="false">PERCENTILE(I2:I29,0.8)</f>
        <v>221589260.177951</v>
      </c>
      <c r="J32" s="32" t="n">
        <f aca="false">PERCENTILE(J2:J29,0.8)</f>
        <v>215636691.041561</v>
      </c>
      <c r="K32" s="33" t="n">
        <f aca="false">PERCENTILE(K2:K29,0.8)</f>
        <v>214182196.429269</v>
      </c>
      <c r="L32" s="168" t="n">
        <f aca="false">PERCENTILE(L2:L29,0.8)</f>
        <v>209753673.769106</v>
      </c>
      <c r="M32" s="32" t="n">
        <f aca="false">PERCENTILE(M2:M29,0.8)</f>
        <v>206647910.4</v>
      </c>
      <c r="N32" s="32" t="n">
        <f aca="false">PERCENTILE(N2:N29,0.8)</f>
        <v>206684457.39187</v>
      </c>
      <c r="O32" s="32" t="n">
        <f aca="false">PERCENTILE(O2:O29,0.8)</f>
        <v>206684640.126829</v>
      </c>
      <c r="P32" s="32" t="n">
        <f aca="false">PERCENTILE(P2:P29,0.8)</f>
        <v>208802084.306992</v>
      </c>
      <c r="Q32" s="32" t="n">
        <f aca="false">PERCENTILE(Q2:Q29,0.8)</f>
        <v>212845240.291252</v>
      </c>
      <c r="R32" s="33" t="n">
        <f aca="false">PERCENTILE(R2:R29,0.8)</f>
        <v>208770622.770212</v>
      </c>
      <c r="S32" s="32" t="n">
        <f aca="false">PERCENTILE(S2:S29,0.8)</f>
        <v>205007019.805529</v>
      </c>
      <c r="T32" s="32" t="n">
        <f aca="false">PERCENTILE(T2:T29,0.8)</f>
        <v>206262658.500423</v>
      </c>
      <c r="U32" s="32" t="n">
        <f aca="false">PERCENTILE(U2:U29,0.8)</f>
        <v>244408338.211382</v>
      </c>
      <c r="V32" s="32" t="n">
        <f aca="false">PERCENTILE(V2:V29,0.8)</f>
        <v>279240112.078439</v>
      </c>
      <c r="W32" s="32" t="n">
        <f aca="false">PERCENTILE(W2:W29,0.8)</f>
        <v>269893179.29613</v>
      </c>
      <c r="X32" s="32" t="n">
        <f aca="false">PERCENTILE(X2:X29,0.8)</f>
        <v>269459520</v>
      </c>
      <c r="Y32" s="32" t="n">
        <f aca="false">PERCENTILE(Y2:Y29,0.8)</f>
        <v>275014662.764228</v>
      </c>
      <c r="Z32" s="33" t="n">
        <f aca="false">PERCENTILE(Z2:Z29,0.8)</f>
        <v>250318115.720325</v>
      </c>
      <c r="AA32" s="32" t="n">
        <f aca="false">PERCENTILE(AA2:AA29,0.8)</f>
        <v>248278808.136195</v>
      </c>
      <c r="AB32" s="32" t="n">
        <f aca="false">PERCENTILE(AB2:AB29,0.8)</f>
        <v>240913386.737821</v>
      </c>
      <c r="AC32" s="32" t="n">
        <f aca="false">PERCENTILE(AC2:AC29,0.8)</f>
        <v>215210484.15896</v>
      </c>
      <c r="AD32" s="32" t="n">
        <f aca="false">PERCENTILE(AD2:AD29,0.8)</f>
        <v>207159745.086764</v>
      </c>
      <c r="AE32" s="33" t="n">
        <f aca="false">PERCENTILE(AE2:AE29,0.8)</f>
        <v>196830535.090992</v>
      </c>
      <c r="AF32" s="32" t="n">
        <f aca="false">PERCENTILE(AF2:AF29,0.8)</f>
        <v>188650205.160455</v>
      </c>
      <c r="AG32" s="32" t="n">
        <f aca="false">PERCENTILE(AG2:AG29,0.8)</f>
        <v>186654077.894374</v>
      </c>
      <c r="AH32" s="32" t="n">
        <f aca="false">PERCENTILE(AH2:AH29,0.8)</f>
        <v>176499166.494894</v>
      </c>
      <c r="AI32" s="32" t="n">
        <f aca="false">PERCENTILE(AI2:AI29,0.8)</f>
        <v>152545530.963382</v>
      </c>
      <c r="AJ32" s="32" t="n">
        <f aca="false">PERCENTILE(AJ2:AJ29,0.8)</f>
        <v>189453518.761106</v>
      </c>
      <c r="AK32" s="33" t="n">
        <f aca="false">PERCENTILE(AK2:AK29,0.8)</f>
        <v>194962131.073691</v>
      </c>
      <c r="AL32" s="32" t="n">
        <f aca="false">PERCENTILE(AL2:AL29,0.8)</f>
        <v>178982308.368488</v>
      </c>
      <c r="AM32" s="32" t="n">
        <f aca="false">PERCENTILE(AM2:AM29,0.8)</f>
        <v>170928046.389399</v>
      </c>
      <c r="AN32" s="32" t="n">
        <f aca="false">PERCENTILE(AN2:AN29,0.8)</f>
        <v>163523463.822992</v>
      </c>
      <c r="AO32" s="32" t="n">
        <f aca="false">PERCENTILE(AO2:AO29,0.8)</f>
        <v>156340967.479675</v>
      </c>
      <c r="AP32" s="33" t="n">
        <f aca="false">PERCENTILE(AP2:AP29,0.8)</f>
        <v>147010840.779187</v>
      </c>
      <c r="AQ32" s="32" t="n">
        <f aca="false">PERCENTILE(AQ2:AQ29,0.8)</f>
        <v>151971484.63122</v>
      </c>
      <c r="AR32" s="32" t="n">
        <f aca="false">PERCENTILE(AR2:AR29,0.8)</f>
        <v>146408342.581919</v>
      </c>
    </row>
    <row r="33" customFormat="false" ht="12.8" hidden="false" customHeight="false" outlineLevel="0" collapsed="false">
      <c r="A33" s="16" t="s">
        <v>273</v>
      </c>
      <c r="B33" s="16"/>
      <c r="C33" s="1" t="n">
        <f aca="false">COUNTIF(C2:C29,"&gt;"&amp;C32)</f>
        <v>6</v>
      </c>
      <c r="D33" s="1" t="n">
        <f aca="false">COUNTIF(D2:D29,"&gt;"&amp;D32)</f>
        <v>6</v>
      </c>
      <c r="E33" s="1" t="n">
        <f aca="false">COUNTIF(E2:E29,"&gt;"&amp;E32)</f>
        <v>6</v>
      </c>
      <c r="F33" s="1" t="n">
        <f aca="false">COUNTIF(F2:F29,"&gt;"&amp;F32)</f>
        <v>6</v>
      </c>
      <c r="G33" s="1" t="n">
        <f aca="false">COUNTIF(G2:G29,"&gt;"&amp;G32)</f>
        <v>6</v>
      </c>
      <c r="H33" s="1" t="n">
        <f aca="false">COUNTIF(H2:H29,"&gt;"&amp;H32)</f>
        <v>6</v>
      </c>
      <c r="I33" s="1" t="n">
        <f aca="false">COUNTIF(I2:I29,"&gt;"&amp;I32)</f>
        <v>6</v>
      </c>
      <c r="J33" s="1" t="n">
        <f aca="false">COUNTIF(J2:J29,"&gt;"&amp;J32)</f>
        <v>6</v>
      </c>
      <c r="K33" s="21" t="n">
        <f aca="false">COUNTIF(K2:K29,"&gt;"&amp;K32)</f>
        <v>6</v>
      </c>
      <c r="L33" s="22" t="n">
        <f aca="false">COUNTIF(L2:L29,"&gt;"&amp;L32)</f>
        <v>6</v>
      </c>
      <c r="M33" s="1" t="n">
        <f aca="false">COUNTIF(M2:M29,"&gt;"&amp;M32)</f>
        <v>6</v>
      </c>
      <c r="N33" s="1" t="n">
        <f aca="false">COUNTIF(N2:N29,"&gt;"&amp;N32)</f>
        <v>6</v>
      </c>
      <c r="O33" s="1" t="n">
        <f aca="false">COUNTIF(O2:O29,"&gt;"&amp;O32)</f>
        <v>6</v>
      </c>
      <c r="P33" s="1" t="n">
        <f aca="false">COUNTIF(P2:P29,"&gt;"&amp;P32)</f>
        <v>6</v>
      </c>
      <c r="Q33" s="1" t="n">
        <f aca="false">COUNTIF(Q2:Q29,"&gt;"&amp;Q32)</f>
        <v>6</v>
      </c>
      <c r="R33" s="21" t="n">
        <f aca="false">COUNTIF(R2:R29,"&gt;"&amp;R32)</f>
        <v>6</v>
      </c>
      <c r="S33" s="1" t="n">
        <f aca="false">COUNTIF(S2:S29,"&gt;"&amp;S32)</f>
        <v>6</v>
      </c>
      <c r="T33" s="1" t="n">
        <f aca="false">COUNTIF(T2:T29,"&gt;"&amp;T32)</f>
        <v>6</v>
      </c>
      <c r="U33" s="1" t="n">
        <f aca="false">COUNTIF(U2:U29,"&gt;"&amp;U32)</f>
        <v>6</v>
      </c>
      <c r="V33" s="1" t="n">
        <f aca="false">COUNTIF(V2:V29,"&gt;"&amp;V32)</f>
        <v>6</v>
      </c>
      <c r="W33" s="1" t="n">
        <f aca="false">COUNTIF(W2:W29,"&gt;"&amp;W32)</f>
        <v>6</v>
      </c>
      <c r="X33" s="1" t="n">
        <f aca="false">COUNTIF(X2:X29,"&gt;"&amp;X32)</f>
        <v>6</v>
      </c>
      <c r="Y33" s="1" t="n">
        <f aca="false">COUNTIF(Y2:Y29,"&gt;"&amp;Y32)</f>
        <v>6</v>
      </c>
      <c r="Z33" s="21" t="n">
        <f aca="false">COUNTIF(Z2:Z29,"&gt;"&amp;Z32)</f>
        <v>6</v>
      </c>
      <c r="AA33" s="1" t="n">
        <f aca="false">COUNTIF(AA2:AA29,"&gt;"&amp;AA32)</f>
        <v>6</v>
      </c>
      <c r="AB33" s="1" t="n">
        <f aca="false">COUNTIF(AB2:AB29,"&gt;"&amp;AB32)</f>
        <v>6</v>
      </c>
      <c r="AC33" s="1" t="n">
        <f aca="false">COUNTIF(AC2:AC29,"&gt;"&amp;AC32)</f>
        <v>6</v>
      </c>
      <c r="AD33" s="1" t="n">
        <f aca="false">COUNTIF(AD2:AD29,"&gt;"&amp;AD32)</f>
        <v>6</v>
      </c>
      <c r="AE33" s="21" t="n">
        <f aca="false">COUNTIF(AE2:AE29,"&gt;"&amp;AE32)</f>
        <v>6</v>
      </c>
      <c r="AF33" s="1" t="n">
        <f aca="false">COUNTIF(AF2:AF29,"&gt;"&amp;AF32)</f>
        <v>6</v>
      </c>
      <c r="AG33" s="1" t="n">
        <f aca="false">COUNTIF(AG2:AG29,"&gt;"&amp;AG32)</f>
        <v>6</v>
      </c>
      <c r="AH33" s="1" t="n">
        <f aca="false">COUNTIF(AH2:AH29,"&gt;"&amp;AH32)</f>
        <v>6</v>
      </c>
      <c r="AI33" s="1" t="n">
        <f aca="false">COUNTIF(AI2:AI29,"&gt;"&amp;AI32)</f>
        <v>6</v>
      </c>
      <c r="AJ33" s="1" t="n">
        <f aca="false">COUNTIF(AJ2:AJ29,"&gt;"&amp;AJ32)</f>
        <v>6</v>
      </c>
      <c r="AK33" s="21" t="n">
        <f aca="false">COUNTIF(AK2:AK29,"&gt;"&amp;AK32)</f>
        <v>6</v>
      </c>
      <c r="AL33" s="1" t="n">
        <f aca="false">COUNTIF(AL2:AL29,"&gt;"&amp;AL32)</f>
        <v>6</v>
      </c>
      <c r="AM33" s="1" t="n">
        <f aca="false">COUNTIF(AM2:AM29,"&gt;"&amp;AM32)</f>
        <v>6</v>
      </c>
      <c r="AN33" s="1" t="n">
        <f aca="false">COUNTIF(AN2:AN29,"&gt;"&amp;AN32)</f>
        <v>6</v>
      </c>
      <c r="AO33" s="1" t="n">
        <f aca="false">COUNTIF(AO2:AO29,"&gt;"&amp;AO32)</f>
        <v>6</v>
      </c>
      <c r="AP33" s="21" t="n">
        <f aca="false">COUNTIF(AP2:AP29,"&gt;"&amp;AP32)</f>
        <v>6</v>
      </c>
      <c r="AQ33" s="1" t="n">
        <f aca="false">COUNTIF(AQ2:AQ29,"&gt;"&amp;AQ32)</f>
        <v>6</v>
      </c>
      <c r="AR33" s="1" t="n">
        <f aca="false">COUNTIF(AR2:AR29,"&gt;"&amp;AR32)</f>
        <v>6</v>
      </c>
    </row>
    <row r="34" customFormat="false" ht="12.8" hidden="false" customHeight="false" outlineLevel="0" collapsed="false">
      <c r="A34" s="16" t="s">
        <v>274</v>
      </c>
      <c r="B34" s="16"/>
      <c r="C34" s="32" t="n">
        <f aca="false">PERCENTILE(C2:C29,0.6)</f>
        <v>59641655.4973984</v>
      </c>
      <c r="D34" s="32" t="n">
        <f aca="false">PERCENTILE(D2:D29,0.6)</f>
        <v>56575934.8292683</v>
      </c>
      <c r="E34" s="32" t="n">
        <f aca="false">PERCENTILE(E2:E29,0.6)</f>
        <v>55281699.5121951</v>
      </c>
      <c r="F34" s="32" t="n">
        <f aca="false">PERCENTILE(F2:F29,0.6)</f>
        <v>59403296.4227642</v>
      </c>
      <c r="G34" s="32" t="n">
        <f aca="false">PERCENTILE(G2:G29,0.6)</f>
        <v>48028487.7268293</v>
      </c>
      <c r="H34" s="32" t="n">
        <f aca="false">PERCENTILE(H2:H29,0.6)</f>
        <v>42849786.4585366</v>
      </c>
      <c r="I34" s="32" t="n">
        <f aca="false">PERCENTILE(I2:I29,0.6)</f>
        <v>39028002.7004878</v>
      </c>
      <c r="J34" s="32" t="n">
        <f aca="false">PERCENTILE(J2:J29,0.6)</f>
        <v>37724931.3404878</v>
      </c>
      <c r="K34" s="33" t="n">
        <f aca="false">PERCENTILE(K2:K29,0.6)</f>
        <v>35924831.8392195</v>
      </c>
      <c r="L34" s="168" t="n">
        <f aca="false">PERCENTILE(L2:L29,0.6)</f>
        <v>33218169.7560976</v>
      </c>
      <c r="M34" s="32" t="n">
        <f aca="false">PERCENTILE(M2:M29,0.6)</f>
        <v>33049584.3902439</v>
      </c>
      <c r="N34" s="32" t="n">
        <f aca="false">PERCENTILE(N2:N29,0.6)</f>
        <v>33049584.3902439</v>
      </c>
      <c r="O34" s="32" t="n">
        <f aca="false">PERCENTILE(O2:O29,0.6)</f>
        <v>32333976.5853659</v>
      </c>
      <c r="P34" s="32" t="n">
        <f aca="false">PERCENTILE(P2:P29,0.6)</f>
        <v>32802090.6302439</v>
      </c>
      <c r="Q34" s="32" t="n">
        <f aca="false">PERCENTILE(Q2:Q29,0.6)</f>
        <v>33679139.5121951</v>
      </c>
      <c r="R34" s="33" t="n">
        <f aca="false">PERCENTILE(R2:R29,0.6)</f>
        <v>32996919.4380488</v>
      </c>
      <c r="S34" s="32" t="n">
        <f aca="false">PERCENTILE(S2:S29,0.6)</f>
        <v>28985372.2276423</v>
      </c>
      <c r="T34" s="32" t="n">
        <f aca="false">PERCENTILE(T2:T29,0.6)</f>
        <v>29565190.328878</v>
      </c>
      <c r="U34" s="32" t="n">
        <f aca="false">PERCENTILE(U2:U29,0.6)</f>
        <v>29698469.828813</v>
      </c>
      <c r="V34" s="32" t="n">
        <f aca="false">PERCENTILE(V2:V29,0.6)</f>
        <v>27689206.8943089</v>
      </c>
      <c r="W34" s="32" t="n">
        <f aca="false">PERCENTILE(W2:W29,0.6)</f>
        <v>27595694.6506667</v>
      </c>
      <c r="X34" s="32" t="n">
        <f aca="false">PERCENTILE(X2:X29,0.6)</f>
        <v>27525879.3373658</v>
      </c>
      <c r="Y34" s="32" t="n">
        <f aca="false">PERCENTILE(Y2:Y29,0.6)</f>
        <v>27525879.3373658</v>
      </c>
      <c r="Z34" s="33" t="n">
        <f aca="false">PERCENTILE(Z2:Z29,0.6)</f>
        <v>26482269.7560976</v>
      </c>
      <c r="AA34" s="32" t="n">
        <f aca="false">PERCENTILE(AA2:AA29,0.6)</f>
        <v>27430850.9658537</v>
      </c>
      <c r="AB34" s="32" t="n">
        <f aca="false">PERCENTILE(AB2:AB29,0.6)</f>
        <v>27920312.7186992</v>
      </c>
      <c r="AC34" s="32" t="n">
        <f aca="false">PERCENTILE(AC2:AC29,0.6)</f>
        <v>27349774.6731707</v>
      </c>
      <c r="AD34" s="32" t="n">
        <f aca="false">PERCENTILE(AD2:AD29,0.6)</f>
        <v>24428828.7305366</v>
      </c>
      <c r="AE34" s="33" t="n">
        <f aca="false">PERCENTILE(AE2:AE29,0.6)</f>
        <v>23263868.2986341</v>
      </c>
      <c r="AF34" s="32" t="n">
        <f aca="false">PERCENTILE(AF2:AF29,0.6)</f>
        <v>22928335.6097561</v>
      </c>
      <c r="AG34" s="32" t="n">
        <f aca="false">PERCENTILE(AG2:AG29,0.6)</f>
        <v>22928335.6097561</v>
      </c>
      <c r="AH34" s="32" t="n">
        <f aca="false">PERCENTILE(AH2:AH29,0.6)</f>
        <v>23243277.2682927</v>
      </c>
      <c r="AI34" s="32" t="n">
        <f aca="false">PERCENTILE(AI2:AI29,0.6)</f>
        <v>26114727.0243902</v>
      </c>
      <c r="AJ34" s="32" t="n">
        <f aca="false">PERCENTILE(AJ2:AJ29,0.6)</f>
        <v>26754297.5479675</v>
      </c>
      <c r="AK34" s="33" t="n">
        <f aca="false">PERCENTILE(AK2:AK29,0.6)</f>
        <v>27757147.4419512</v>
      </c>
      <c r="AL34" s="32" t="n">
        <f aca="false">PERCENTILE(AL2:AL29,0.6)</f>
        <v>27076977.4829268</v>
      </c>
      <c r="AM34" s="32" t="n">
        <f aca="false">PERCENTILE(AM2:AM29,0.6)</f>
        <v>27030751.2195122</v>
      </c>
      <c r="AN34" s="32" t="n">
        <f aca="false">PERCENTILE(AN2:AN29,0.6)</f>
        <v>27580222.9073171</v>
      </c>
      <c r="AO34" s="32" t="n">
        <f aca="false">PERCENTILE(AO2:AO29,0.6)</f>
        <v>29513248.7804878</v>
      </c>
      <c r="AP34" s="33" t="n">
        <f aca="false">PERCENTILE(AP2:AP29,0.6)</f>
        <v>29589507.5121951</v>
      </c>
      <c r="AQ34" s="32" t="n">
        <f aca="false">PERCENTILE(AQ2:AQ29,0.6)</f>
        <v>30981926.1322927</v>
      </c>
      <c r="AR34" s="32" t="n">
        <f aca="false">PERCENTILE(AR2:AR29,0.6)</f>
        <v>29526833.5121951</v>
      </c>
    </row>
    <row r="35" customFormat="false" ht="12.8" hidden="false" customHeight="false" outlineLevel="0" collapsed="false">
      <c r="A35" s="16" t="s">
        <v>275</v>
      </c>
      <c r="B35" s="16"/>
      <c r="C35" s="1" t="n">
        <f aca="false">COUNTIF(C2:C29,"&gt;"&amp;C34)</f>
        <v>11</v>
      </c>
      <c r="D35" s="1" t="n">
        <f aca="false">COUNTIF(D2:D29,"&gt;"&amp;D34)</f>
        <v>11</v>
      </c>
      <c r="E35" s="1" t="n">
        <f aca="false">COUNTIF(E2:E29,"&gt;"&amp;E34)</f>
        <v>11</v>
      </c>
      <c r="F35" s="1" t="n">
        <f aca="false">COUNTIF(F2:F29,"&gt;"&amp;F34)</f>
        <v>11</v>
      </c>
      <c r="G35" s="1" t="n">
        <f aca="false">COUNTIF(G2:G29,"&gt;"&amp;G34)</f>
        <v>11</v>
      </c>
      <c r="H35" s="1" t="n">
        <f aca="false">COUNTIF(H2:H29,"&gt;"&amp;H34)</f>
        <v>11</v>
      </c>
      <c r="I35" s="1" t="n">
        <f aca="false">COUNTIF(I2:I29,"&gt;"&amp;I34)</f>
        <v>11</v>
      </c>
      <c r="J35" s="1" t="n">
        <f aca="false">COUNTIF(J2:J29,"&gt;"&amp;J34)</f>
        <v>11</v>
      </c>
      <c r="K35" s="21" t="n">
        <f aca="false">COUNTIF(K2:K29,"&gt;"&amp;K34)</f>
        <v>11</v>
      </c>
      <c r="L35" s="22" t="n">
        <f aca="false">COUNTIF(L2:L29,"&gt;"&amp;L34)</f>
        <v>11</v>
      </c>
      <c r="M35" s="1" t="n">
        <f aca="false">COUNTIF(M2:M29,"&gt;"&amp;M34)</f>
        <v>11</v>
      </c>
      <c r="N35" s="1" t="n">
        <f aca="false">COUNTIF(N2:N29,"&gt;"&amp;N34)</f>
        <v>11</v>
      </c>
      <c r="O35" s="1" t="n">
        <f aca="false">COUNTIF(O2:O29,"&gt;"&amp;O34)</f>
        <v>11</v>
      </c>
      <c r="P35" s="1" t="n">
        <f aca="false">COUNTIF(P2:P29,"&gt;"&amp;P34)</f>
        <v>11</v>
      </c>
      <c r="Q35" s="1" t="n">
        <f aca="false">COUNTIF(Q2:Q29,"&gt;"&amp;Q34)</f>
        <v>11</v>
      </c>
      <c r="R35" s="21" t="n">
        <f aca="false">COUNTIF(R2:R29,"&gt;"&amp;R34)</f>
        <v>11</v>
      </c>
      <c r="S35" s="1" t="n">
        <f aca="false">COUNTIF(S2:S29,"&gt;"&amp;S34)</f>
        <v>11</v>
      </c>
      <c r="T35" s="1" t="n">
        <f aca="false">COUNTIF(T2:T29,"&gt;"&amp;T34)</f>
        <v>11</v>
      </c>
      <c r="U35" s="1" t="n">
        <f aca="false">COUNTIF(U2:U29,"&gt;"&amp;U34)</f>
        <v>11</v>
      </c>
      <c r="V35" s="1" t="n">
        <f aca="false">COUNTIF(V2:V29,"&gt;"&amp;V34)</f>
        <v>11</v>
      </c>
      <c r="W35" s="1" t="n">
        <f aca="false">COUNTIF(W2:W29,"&gt;"&amp;W34)</f>
        <v>11</v>
      </c>
      <c r="X35" s="1" t="n">
        <f aca="false">COUNTIF(X2:X29,"&gt;"&amp;X34)</f>
        <v>11</v>
      </c>
      <c r="Y35" s="1" t="n">
        <f aca="false">COUNTIF(Y2:Y29,"&gt;"&amp;Y34)</f>
        <v>11</v>
      </c>
      <c r="Z35" s="21" t="n">
        <f aca="false">COUNTIF(Z2:Z29,"&gt;"&amp;Z34)</f>
        <v>11</v>
      </c>
      <c r="AA35" s="1" t="n">
        <f aca="false">COUNTIF(AA2:AA29,"&gt;"&amp;AA34)</f>
        <v>11</v>
      </c>
      <c r="AB35" s="1" t="n">
        <f aca="false">COUNTIF(AB2:AB29,"&gt;"&amp;AB34)</f>
        <v>11</v>
      </c>
      <c r="AC35" s="1" t="n">
        <f aca="false">COUNTIF(AC2:AC29,"&gt;"&amp;AC34)</f>
        <v>11</v>
      </c>
      <c r="AD35" s="1" t="n">
        <f aca="false">COUNTIF(AD2:AD29,"&gt;"&amp;AD34)</f>
        <v>11</v>
      </c>
      <c r="AE35" s="21" t="n">
        <f aca="false">COUNTIF(AE2:AE29,"&gt;"&amp;AE34)</f>
        <v>11</v>
      </c>
      <c r="AF35" s="1" t="n">
        <f aca="false">COUNTIF(AF2:AF29,"&gt;"&amp;AF34)</f>
        <v>11</v>
      </c>
      <c r="AG35" s="1" t="n">
        <f aca="false">COUNTIF(AG2:AG29,"&gt;"&amp;AG34)</f>
        <v>11</v>
      </c>
      <c r="AH35" s="1" t="n">
        <f aca="false">COUNTIF(AH2:AH29,"&gt;"&amp;AH34)</f>
        <v>11</v>
      </c>
      <c r="AI35" s="1" t="n">
        <f aca="false">COUNTIF(AI2:AI29,"&gt;"&amp;AI34)</f>
        <v>11</v>
      </c>
      <c r="AJ35" s="1" t="n">
        <f aca="false">COUNTIF(AJ2:AJ29,"&gt;"&amp;AJ34)</f>
        <v>11</v>
      </c>
      <c r="AK35" s="21" t="n">
        <f aca="false">COUNTIF(AK2:AK29,"&gt;"&amp;AK34)</f>
        <v>11</v>
      </c>
      <c r="AL35" s="1" t="n">
        <f aca="false">COUNTIF(AL2:AL29,"&gt;"&amp;AL34)</f>
        <v>11</v>
      </c>
      <c r="AM35" s="1" t="n">
        <f aca="false">COUNTIF(AM2:AM29,"&gt;"&amp;AM34)</f>
        <v>11</v>
      </c>
      <c r="AN35" s="1" t="n">
        <f aca="false">COUNTIF(AN2:AN29,"&gt;"&amp;AN34)</f>
        <v>11</v>
      </c>
      <c r="AO35" s="1" t="n">
        <f aca="false">COUNTIF(AO2:AO29,"&gt;"&amp;AO34)</f>
        <v>11</v>
      </c>
      <c r="AP35" s="21" t="n">
        <f aca="false">COUNTIF(AP2:AP29,"&gt;"&amp;AP34)</f>
        <v>11</v>
      </c>
      <c r="AQ35" s="1" t="n">
        <f aca="false">COUNTIF(AQ2:AQ29,"&gt;"&amp;AQ34)</f>
        <v>11</v>
      </c>
      <c r="AR35" s="1" t="n">
        <f aca="false">COUNTIF(AR2:AR29,"&gt;"&amp;AR34)</f>
        <v>11</v>
      </c>
    </row>
    <row r="36" customFormat="false" ht="12.8" hidden="false" customHeight="false" outlineLevel="0" collapsed="false">
      <c r="B36" s="1"/>
      <c r="K36" s="21"/>
      <c r="L36" s="22"/>
      <c r="R36" s="21"/>
      <c r="Z36" s="21"/>
      <c r="AE36" s="21"/>
      <c r="AK36" s="21"/>
      <c r="AP36" s="21"/>
    </row>
    <row r="37" customFormat="false" ht="12.8" hidden="false" customHeight="false" outlineLevel="0" collapsed="false">
      <c r="A37" s="16" t="s">
        <v>100</v>
      </c>
      <c r="B37" s="16"/>
      <c r="C37" s="32" t="n">
        <f aca="false">MEDIAN(C2:C29)</f>
        <v>27612767.0634146</v>
      </c>
      <c r="D37" s="32" t="n">
        <f aca="false">MEDIAN(D2:D29)</f>
        <v>28017995.1219512</v>
      </c>
      <c r="E37" s="32" t="n">
        <f aca="false">MEDIAN(E2:E29)</f>
        <v>28261574.8292683</v>
      </c>
      <c r="F37" s="32" t="n">
        <f aca="false">MEDIAN(F2:F29)</f>
        <v>26172694.3089431</v>
      </c>
      <c r="G37" s="32" t="n">
        <f aca="false">MEDIAN(G2:G29)</f>
        <v>25928341.4634146</v>
      </c>
      <c r="H37" s="32" t="n">
        <f aca="false">MEDIAN(H2:H29)</f>
        <v>25423678.0487805</v>
      </c>
      <c r="I37" s="32" t="n">
        <f aca="false">MEDIAN(I2:I29)</f>
        <v>25099466</v>
      </c>
      <c r="J37" s="32" t="n">
        <f aca="false">MEDIAN(J2:J29)</f>
        <v>24219953.8048781</v>
      </c>
      <c r="K37" s="33" t="n">
        <f aca="false">MEDIAN(K2:K29)</f>
        <v>24117504.4715447</v>
      </c>
      <c r="L37" s="168" t="n">
        <f aca="false">MEDIAN(L2:L29)</f>
        <v>23105630.4878049</v>
      </c>
      <c r="M37" s="32" t="n">
        <f aca="false">MEDIAN(M2:M29)</f>
        <v>23105630.4878049</v>
      </c>
      <c r="N37" s="32" t="n">
        <f aca="false">MEDIAN(N2:N29)</f>
        <v>23105630.4878049</v>
      </c>
      <c r="O37" s="32" t="n">
        <f aca="false">MEDIAN(O2:O29)</f>
        <v>22937832.4390244</v>
      </c>
      <c r="P37" s="32" t="n">
        <f aca="false">MEDIAN(P2:P29)</f>
        <v>22975902.4390244</v>
      </c>
      <c r="Q37" s="32" t="n">
        <f aca="false">MEDIAN(Q2:Q29)</f>
        <v>22968791.4634146</v>
      </c>
      <c r="R37" s="33" t="n">
        <f aca="false">MEDIAN(R2:R29)</f>
        <v>22482860.9756098</v>
      </c>
      <c r="S37" s="32" t="n">
        <f aca="false">MEDIAN(S2:S29)</f>
        <v>22120728.9756098</v>
      </c>
      <c r="T37" s="32" t="n">
        <f aca="false">MEDIAN(T2:T29)</f>
        <v>22121378.0487805</v>
      </c>
      <c r="U37" s="32" t="n">
        <f aca="false">MEDIAN(U2:U29)</f>
        <v>21725597.5609756</v>
      </c>
      <c r="V37" s="32" t="n">
        <f aca="false">MEDIAN(V2:V29)</f>
        <v>22803000</v>
      </c>
      <c r="W37" s="32" t="n">
        <f aca="false">MEDIAN(W2:W29)</f>
        <v>23420882.3414634</v>
      </c>
      <c r="X37" s="32" t="n">
        <f aca="false">MEDIAN(X2:X29)</f>
        <v>22457908.0463415</v>
      </c>
      <c r="Y37" s="32" t="n">
        <f aca="false">MEDIAN(Y2:Y29)</f>
        <v>22826453.7642276</v>
      </c>
      <c r="Z37" s="33" t="n">
        <f aca="false">MEDIAN(Z2:Z29)</f>
        <v>23759205.2357724</v>
      </c>
      <c r="AA37" s="32" t="n">
        <f aca="false">MEDIAN(AA2:AA29)</f>
        <v>22678145.7913008</v>
      </c>
      <c r="AB37" s="32" t="n">
        <f aca="false">MEDIAN(AB2:AB29)</f>
        <v>22847636.8455285</v>
      </c>
      <c r="AC37" s="32" t="n">
        <f aca="false">MEDIAN(AC2:AC29)</f>
        <v>22252883.7317073</v>
      </c>
      <c r="AD37" s="32" t="n">
        <f aca="false">MEDIAN(AD2:AD29)</f>
        <v>21327586.9918699</v>
      </c>
      <c r="AE37" s="33" t="n">
        <f aca="false">MEDIAN(AE2:AE29)</f>
        <v>19889014.8780488</v>
      </c>
      <c r="AF37" s="32" t="n">
        <f aca="false">MEDIAN(AF2:AF29)</f>
        <v>19529233.0243902</v>
      </c>
      <c r="AG37" s="32" t="n">
        <f aca="false">MEDIAN(AG2:AG29)</f>
        <v>19752594.6614634</v>
      </c>
      <c r="AH37" s="32" t="n">
        <f aca="false">MEDIAN(AH2:AH29)</f>
        <v>18784523.3577236</v>
      </c>
      <c r="AI37" s="32" t="n">
        <f aca="false">MEDIAN(AI2:AI29)</f>
        <v>18427866.2113821</v>
      </c>
      <c r="AJ37" s="32" t="n">
        <f aca="false">MEDIAN(AJ2:AJ29)</f>
        <v>23005800.3577236</v>
      </c>
      <c r="AK37" s="33" t="n">
        <f aca="false">MEDIAN(AK2:AK29)</f>
        <v>22544685.0152033</v>
      </c>
      <c r="AL37" s="32" t="n">
        <f aca="false">MEDIAN(AL2:AL29)</f>
        <v>23211434.9593496</v>
      </c>
      <c r="AM37" s="32" t="n">
        <f aca="false">MEDIAN(AM2:AM29)</f>
        <v>22441861.7886179</v>
      </c>
      <c r="AN37" s="32" t="n">
        <f aca="false">MEDIAN(AN2:AN29)</f>
        <v>23447051.2195122</v>
      </c>
      <c r="AO37" s="32" t="n">
        <f aca="false">MEDIAN(AO2:AO29)</f>
        <v>23285065.0406504</v>
      </c>
      <c r="AP37" s="33" t="n">
        <f aca="false">MEDIAN(AP2:AP29)</f>
        <v>20570701.6260163</v>
      </c>
      <c r="AQ37" s="32" t="n">
        <f aca="false">MEDIAN(AQ2:AQ29)</f>
        <v>21066583.2874797</v>
      </c>
      <c r="AR37" s="32" t="n">
        <f aca="false">MEDIAN(AR2:AR29)</f>
        <v>21422990.3495935</v>
      </c>
    </row>
    <row r="38" customFormat="false" ht="12.8" hidden="false" customHeight="false" outlineLevel="0" collapsed="false">
      <c r="A38" s="16" t="s">
        <v>276</v>
      </c>
      <c r="B38" s="16"/>
      <c r="C38" s="1" t="n">
        <f aca="false">COUNTIF(C2:C29,"&gt;"&amp;C37)</f>
        <v>14</v>
      </c>
      <c r="D38" s="1" t="n">
        <f aca="false">COUNTIF(D2:D29,"&gt;"&amp;D37)</f>
        <v>14</v>
      </c>
      <c r="E38" s="1" t="n">
        <f aca="false">COUNTIF(E2:E29,"&gt;"&amp;E37)</f>
        <v>14</v>
      </c>
      <c r="F38" s="1" t="n">
        <f aca="false">COUNTIF(F2:F29,"&gt;"&amp;F37)</f>
        <v>14</v>
      </c>
      <c r="G38" s="1" t="n">
        <f aca="false">COUNTIF(G2:G29,"&gt;"&amp;G37)</f>
        <v>14</v>
      </c>
      <c r="H38" s="1" t="n">
        <f aca="false">COUNTIF(H2:H29,"&gt;"&amp;H37)</f>
        <v>14</v>
      </c>
      <c r="I38" s="1" t="n">
        <f aca="false">COUNTIF(I2:I29,"&gt;"&amp;I37)</f>
        <v>14</v>
      </c>
      <c r="J38" s="1" t="n">
        <f aca="false">COUNTIF(J2:J29,"&gt;"&amp;J37)</f>
        <v>14</v>
      </c>
      <c r="K38" s="21" t="n">
        <f aca="false">COUNTIF(K2:K29,"&gt;"&amp;K37)</f>
        <v>14</v>
      </c>
      <c r="L38" s="22" t="n">
        <f aca="false">COUNTIF(L2:L29,"&gt;"&amp;L37)</f>
        <v>14</v>
      </c>
      <c r="M38" s="1" t="n">
        <f aca="false">COUNTIF(M2:M29,"&gt;"&amp;M37)</f>
        <v>14</v>
      </c>
      <c r="N38" s="1" t="n">
        <f aca="false">COUNTIF(N2:N29,"&gt;"&amp;N37)</f>
        <v>14</v>
      </c>
      <c r="O38" s="1" t="n">
        <f aca="false">COUNTIF(O2:O29,"&gt;"&amp;O37)</f>
        <v>14</v>
      </c>
      <c r="P38" s="1" t="n">
        <f aca="false">COUNTIF(P2:P29,"&gt;"&amp;P37)</f>
        <v>14</v>
      </c>
      <c r="Q38" s="1" t="n">
        <f aca="false">COUNTIF(Q2:Q29,"&gt;"&amp;Q37)</f>
        <v>14</v>
      </c>
      <c r="R38" s="21" t="n">
        <f aca="false">COUNTIF(R2:R29,"&gt;"&amp;R37)</f>
        <v>14</v>
      </c>
      <c r="S38" s="1" t="n">
        <f aca="false">COUNTIF(S2:S29,"&gt;"&amp;S37)</f>
        <v>14</v>
      </c>
      <c r="T38" s="1" t="n">
        <f aca="false">COUNTIF(T2:T29,"&gt;"&amp;T37)</f>
        <v>14</v>
      </c>
      <c r="U38" s="1" t="n">
        <f aca="false">COUNTIF(U2:U29,"&gt;"&amp;U37)</f>
        <v>14</v>
      </c>
      <c r="V38" s="1" t="n">
        <f aca="false">COUNTIF(V2:V29,"&gt;"&amp;V37)</f>
        <v>14</v>
      </c>
      <c r="W38" s="1" t="n">
        <f aca="false">COUNTIF(W2:W29,"&gt;"&amp;W37)</f>
        <v>14</v>
      </c>
      <c r="X38" s="1" t="n">
        <f aca="false">COUNTIF(X2:X29,"&gt;"&amp;X37)</f>
        <v>14</v>
      </c>
      <c r="Y38" s="1" t="n">
        <f aca="false">COUNTIF(Y2:Y29,"&gt;"&amp;Y37)</f>
        <v>14</v>
      </c>
      <c r="Z38" s="21" t="n">
        <f aca="false">COUNTIF(Z2:Z29,"&gt;"&amp;Z37)</f>
        <v>14</v>
      </c>
      <c r="AA38" s="1" t="n">
        <f aca="false">COUNTIF(AA2:AA29,"&gt;"&amp;AA37)</f>
        <v>14</v>
      </c>
      <c r="AB38" s="1" t="n">
        <f aca="false">COUNTIF(AB2:AB29,"&gt;"&amp;AB37)</f>
        <v>14</v>
      </c>
      <c r="AC38" s="1" t="n">
        <f aca="false">COUNTIF(AC2:AC29,"&gt;"&amp;AC37)</f>
        <v>14</v>
      </c>
      <c r="AD38" s="1" t="n">
        <f aca="false">COUNTIF(AD2:AD29,"&gt;"&amp;AD37)</f>
        <v>14</v>
      </c>
      <c r="AE38" s="21" t="n">
        <f aca="false">COUNTIF(AE2:AE29,"&gt;"&amp;AE37)</f>
        <v>14</v>
      </c>
      <c r="AF38" s="1" t="n">
        <f aca="false">COUNTIF(AF2:AF29,"&gt;"&amp;AF37)</f>
        <v>14</v>
      </c>
      <c r="AG38" s="1" t="n">
        <f aca="false">COUNTIF(AG2:AG29,"&gt;"&amp;AG37)</f>
        <v>14</v>
      </c>
      <c r="AH38" s="1" t="n">
        <f aca="false">COUNTIF(AH2:AH29,"&gt;"&amp;AH37)</f>
        <v>14</v>
      </c>
      <c r="AI38" s="1" t="n">
        <f aca="false">COUNTIF(AI2:AI29,"&gt;"&amp;AI37)</f>
        <v>14</v>
      </c>
      <c r="AJ38" s="1" t="n">
        <f aca="false">COUNTIF(AJ2:AJ29,"&gt;"&amp;AJ37)</f>
        <v>14</v>
      </c>
      <c r="AK38" s="21" t="n">
        <f aca="false">COUNTIF(AK2:AK29,"&gt;"&amp;AK37)</f>
        <v>14</v>
      </c>
      <c r="AL38" s="1" t="n">
        <f aca="false">COUNTIF(AL2:AL29,"&gt;"&amp;AL37)</f>
        <v>14</v>
      </c>
      <c r="AM38" s="1" t="n">
        <f aca="false">COUNTIF(AM2:AM29,"&gt;"&amp;AM37)</f>
        <v>14</v>
      </c>
      <c r="AN38" s="1" t="n">
        <f aca="false">COUNTIF(AN2:AN29,"&gt;"&amp;AN37)</f>
        <v>14</v>
      </c>
      <c r="AO38" s="1" t="n">
        <f aca="false">COUNTIF(AO2:AO29,"&gt;"&amp;AO37)</f>
        <v>14</v>
      </c>
      <c r="AP38" s="21" t="n">
        <f aca="false">COUNTIF(AP2:AP29,"&gt;"&amp;AP37)</f>
        <v>14</v>
      </c>
      <c r="AQ38" s="1" t="n">
        <f aca="false">COUNTIF(AQ2:AQ29,"&gt;"&amp;AQ37)</f>
        <v>14</v>
      </c>
      <c r="AR38" s="1" t="n">
        <f aca="false">COUNTIF(AR2:AR29,"&gt;"&amp;AR37)</f>
        <v>14</v>
      </c>
    </row>
    <row r="39" customFormat="false" ht="12.8" hidden="false" customHeight="false" outlineLevel="0" collapsed="false">
      <c r="L39" s="32"/>
    </row>
    <row r="40" customFormat="false" ht="12.8" hidden="false" customHeight="false" outlineLevel="0" collapsed="false">
      <c r="A40" s="16" t="s">
        <v>277</v>
      </c>
      <c r="B40" s="16"/>
      <c r="L40" s="32"/>
    </row>
    <row r="41" customFormat="false" ht="12.8" hidden="false" customHeight="false" outlineLevel="0" collapsed="false">
      <c r="B41" s="139" t="s">
        <v>24</v>
      </c>
      <c r="C41" s="246" t="n">
        <f aca="false">IF(C2&gt;C$34,TRUE())</f>
        <v>1</v>
      </c>
      <c r="D41" s="246" t="n">
        <f aca="false">IF(D2&gt;D$34,TRUE())</f>
        <v>1</v>
      </c>
      <c r="E41" s="246" t="n">
        <f aca="false">IF(E2&gt;E$34,TRUE())</f>
        <v>1</v>
      </c>
      <c r="F41" s="246" t="n">
        <f aca="false">IF(F2&gt;F$34,TRUE())</f>
        <v>1</v>
      </c>
      <c r="G41" s="246" t="n">
        <f aca="false">IF(G2&gt;G$34,TRUE())</f>
        <v>1</v>
      </c>
      <c r="H41" s="246" t="n">
        <f aca="false">IF(H2&gt;H$34,TRUE())</f>
        <v>1</v>
      </c>
      <c r="I41" s="246" t="n">
        <f aca="false">IF(I2&gt;I$34,TRUE())</f>
        <v>1</v>
      </c>
      <c r="J41" s="246" t="n">
        <f aca="false">IF(J2&gt;J$34,TRUE())</f>
        <v>1</v>
      </c>
      <c r="K41" s="246" t="n">
        <f aca="false">IF(K2&gt;K$34,TRUE())</f>
        <v>1</v>
      </c>
      <c r="L41" s="246" t="n">
        <f aca="false">IF(L2&gt;L$34,TRUE())</f>
        <v>1</v>
      </c>
      <c r="M41" s="246" t="n">
        <f aca="false">IF(M2&gt;M$34,TRUE())</f>
        <v>1</v>
      </c>
      <c r="N41" s="246" t="n">
        <f aca="false">IF(N2&gt;N$34,TRUE())</f>
        <v>1</v>
      </c>
      <c r="O41" s="246" t="n">
        <f aca="false">IF(O2&gt;O$34,TRUE())</f>
        <v>1</v>
      </c>
      <c r="P41" s="246" t="n">
        <f aca="false">IF(P2&gt;P$34,TRUE())</f>
        <v>1</v>
      </c>
      <c r="Q41" s="246" t="n">
        <f aca="false">IF(Q2&gt;Q$34,TRUE())</f>
        <v>1</v>
      </c>
      <c r="R41" s="246" t="n">
        <f aca="false">IF(R2&gt;R$34,TRUE())</f>
        <v>1</v>
      </c>
      <c r="S41" s="246" t="n">
        <f aca="false">IF(S2&gt;S$34,TRUE())</f>
        <v>1</v>
      </c>
      <c r="T41" s="246" t="n">
        <f aca="false">IF(T2&gt;T$34,TRUE())</f>
        <v>1</v>
      </c>
      <c r="U41" s="246" t="n">
        <f aca="false">IF(U2&gt;U$34,TRUE())</f>
        <v>1</v>
      </c>
      <c r="V41" s="246" t="n">
        <f aca="false">IF(V2&gt;V$34,TRUE())</f>
        <v>1</v>
      </c>
      <c r="W41" s="246" t="n">
        <f aca="false">IF(W2&gt;W$34,TRUE())</f>
        <v>1</v>
      </c>
      <c r="X41" s="246" t="n">
        <f aca="false">IF(X2&gt;X$34,TRUE())</f>
        <v>1</v>
      </c>
      <c r="Y41" s="246" t="n">
        <f aca="false">IF(Y2&gt;Y$34,TRUE())</f>
        <v>1</v>
      </c>
      <c r="Z41" s="246" t="n">
        <f aca="false">IF(Z2&gt;Z$34,TRUE())</f>
        <v>1</v>
      </c>
      <c r="AA41" s="246" t="n">
        <f aca="false">IF(AA2&gt;AA$34,TRUE())</f>
        <v>1</v>
      </c>
      <c r="AB41" s="246" t="n">
        <f aca="false">IF(AB2&gt;AB$34,TRUE())</f>
        <v>1</v>
      </c>
      <c r="AC41" s="246" t="n">
        <f aca="false">IF(AC2&gt;AC$34,TRUE())</f>
        <v>1</v>
      </c>
      <c r="AD41" s="246" t="n">
        <f aca="false">IF(AD2&gt;AD$34,TRUE())</f>
        <v>1</v>
      </c>
      <c r="AE41" s="246" t="n">
        <f aca="false">IF(AE2&gt;AE$34,TRUE())</f>
        <v>1</v>
      </c>
      <c r="AF41" s="246" t="n">
        <f aca="false">IF(AF2&gt;AF$34,TRUE())</f>
        <v>1</v>
      </c>
      <c r="AG41" s="246" t="n">
        <f aca="false">IF(AG2&gt;AG$34,TRUE())</f>
        <v>1</v>
      </c>
      <c r="AH41" s="246" t="n">
        <f aca="false">IF(AH2&gt;AH$34,TRUE())</f>
        <v>1</v>
      </c>
      <c r="AI41" s="246" t="n">
        <f aca="false">IF(AI2&gt;AI$34,TRUE())</f>
        <v>1</v>
      </c>
      <c r="AJ41" s="246" t="n">
        <f aca="false">IF(AJ2&gt;AJ$34,TRUE())</f>
        <v>1</v>
      </c>
      <c r="AK41" s="246" t="n">
        <f aca="false">IF(AK2&gt;AK$34,TRUE())</f>
        <v>1</v>
      </c>
      <c r="AL41" s="246" t="n">
        <f aca="false">IF(AL2&gt;AL$34,TRUE())</f>
        <v>1</v>
      </c>
      <c r="AM41" s="246" t="n">
        <f aca="false">IF(AM2&gt;AM$34,TRUE())</f>
        <v>1</v>
      </c>
      <c r="AN41" s="246" t="n">
        <f aca="false">IF(AN2&gt;AN$34,TRUE())</f>
        <v>1</v>
      </c>
      <c r="AO41" s="246" t="n">
        <f aca="false">IF(AO2&gt;AO$34,TRUE())</f>
        <v>1</v>
      </c>
      <c r="AP41" s="246" t="n">
        <f aca="false">IF(AP2&gt;AP$34,TRUE())</f>
        <v>1</v>
      </c>
      <c r="AQ41" s="246" t="n">
        <f aca="false">IF(AQ2&gt;AQ$34,TRUE())</f>
        <v>1</v>
      </c>
      <c r="AR41" s="246" t="n">
        <f aca="false">IF(AR2&gt;AR$34,TRUE())</f>
        <v>1</v>
      </c>
    </row>
    <row r="42" customFormat="false" ht="12.8" hidden="false" customHeight="false" outlineLevel="0" collapsed="false">
      <c r="B42" s="139" t="s">
        <v>180</v>
      </c>
      <c r="C42" s="246" t="n">
        <f aca="false">IF(C3&gt;C$34,TRUE())</f>
        <v>1</v>
      </c>
      <c r="D42" s="246" t="n">
        <f aca="false">IF(D3&gt;D$34,TRUE())</f>
        <v>1</v>
      </c>
      <c r="E42" s="246" t="n">
        <f aca="false">IF(E3&gt;E$34,TRUE())</f>
        <v>1</v>
      </c>
      <c r="F42" s="246" t="n">
        <f aca="false">IF(F3&gt;F$34,TRUE())</f>
        <v>1</v>
      </c>
      <c r="G42" s="246" t="n">
        <f aca="false">IF(G3&gt;G$34,TRUE())</f>
        <v>1</v>
      </c>
      <c r="H42" s="246" t="n">
        <f aca="false">IF(H3&gt;H$34,TRUE())</f>
        <v>1</v>
      </c>
      <c r="I42" s="246" t="n">
        <f aca="false">IF(I3&gt;I$34,TRUE())</f>
        <v>1</v>
      </c>
      <c r="J42" s="246" t="n">
        <f aca="false">IF(J3&gt;J$34,TRUE())</f>
        <v>1</v>
      </c>
      <c r="K42" s="246" t="n">
        <f aca="false">IF(K3&gt;K$34,TRUE())</f>
        <v>1</v>
      </c>
      <c r="L42" s="246" t="n">
        <f aca="false">IF(L3&gt;L$34,TRUE())</f>
        <v>1</v>
      </c>
      <c r="M42" s="246" t="n">
        <f aca="false">IF(M3&gt;M$34,TRUE())</f>
        <v>1</v>
      </c>
      <c r="N42" s="246" t="n">
        <f aca="false">IF(N3&gt;N$34,TRUE())</f>
        <v>1</v>
      </c>
      <c r="O42" s="246" t="n">
        <f aca="false">IF(O3&gt;O$34,TRUE())</f>
        <v>1</v>
      </c>
      <c r="P42" s="246" t="n">
        <f aca="false">IF(P3&gt;P$34,TRUE())</f>
        <v>1</v>
      </c>
      <c r="Q42" s="246" t="n">
        <f aca="false">IF(Q3&gt;Q$34,TRUE())</f>
        <v>1</v>
      </c>
      <c r="R42" s="246" t="n">
        <f aca="false">IF(R3&gt;R$34,TRUE())</f>
        <v>1</v>
      </c>
      <c r="S42" s="246" t="n">
        <f aca="false">IF(S3&gt;S$34,TRUE())</f>
        <v>1</v>
      </c>
      <c r="T42" s="246" t="n">
        <f aca="false">IF(T3&gt;T$34,TRUE())</f>
        <v>1</v>
      </c>
      <c r="U42" s="246" t="n">
        <f aca="false">IF(U3&gt;U$34,TRUE())</f>
        <v>1</v>
      </c>
      <c r="V42" s="246" t="n">
        <f aca="false">IF(V3&gt;V$34,TRUE())</f>
        <v>1</v>
      </c>
      <c r="W42" s="246" t="n">
        <f aca="false">IF(W3&gt;W$34,TRUE())</f>
        <v>1</v>
      </c>
      <c r="X42" s="246" t="n">
        <f aca="false">IF(X3&gt;X$34,TRUE())</f>
        <v>1</v>
      </c>
      <c r="Y42" s="246" t="n">
        <f aca="false">IF(Y3&gt;Y$34,TRUE())</f>
        <v>1</v>
      </c>
      <c r="Z42" s="246" t="n">
        <f aca="false">IF(Z3&gt;Z$34,TRUE())</f>
        <v>1</v>
      </c>
      <c r="AA42" s="246" t="n">
        <f aca="false">IF(AA3&gt;AA$34,TRUE())</f>
        <v>1</v>
      </c>
      <c r="AB42" s="246" t="n">
        <f aca="false">IF(AB3&gt;AB$34,TRUE())</f>
        <v>1</v>
      </c>
      <c r="AC42" s="246" t="n">
        <f aca="false">IF(AC3&gt;AC$34,TRUE())</f>
        <v>1</v>
      </c>
      <c r="AD42" s="246" t="n">
        <f aca="false">IF(AD3&gt;AD$34,TRUE())</f>
        <v>1</v>
      </c>
      <c r="AE42" s="246" t="n">
        <f aca="false">IF(AE3&gt;AE$34,TRUE())</f>
        <v>1</v>
      </c>
      <c r="AF42" s="246" t="n">
        <f aca="false">IF(AF3&gt;AF$34,TRUE())</f>
        <v>1</v>
      </c>
      <c r="AG42" s="246" t="n">
        <f aca="false">IF(AG3&gt;AG$34,TRUE())</f>
        <v>1</v>
      </c>
      <c r="AH42" s="246" t="n">
        <f aca="false">IF(AH3&gt;AH$34,TRUE())</f>
        <v>1</v>
      </c>
      <c r="AI42" s="246" t="n">
        <f aca="false">IF(AI3&gt;AI$34,TRUE())</f>
        <v>1</v>
      </c>
      <c r="AJ42" s="246" t="n">
        <f aca="false">IF(AJ3&gt;AJ$34,TRUE())</f>
        <v>1</v>
      </c>
      <c r="AK42" s="246" t="n">
        <f aca="false">IF(AK3&gt;AK$34,TRUE())</f>
        <v>1</v>
      </c>
      <c r="AL42" s="246" t="n">
        <f aca="false">IF(AL3&gt;AL$34,TRUE())</f>
        <v>1</v>
      </c>
      <c r="AM42" s="246" t="n">
        <f aca="false">IF(AM3&gt;AM$34,TRUE())</f>
        <v>1</v>
      </c>
      <c r="AN42" s="246" t="n">
        <f aca="false">IF(AN3&gt;AN$34,TRUE())</f>
        <v>1</v>
      </c>
      <c r="AO42" s="246" t="n">
        <f aca="false">IF(AO3&gt;AO$34,TRUE())</f>
        <v>1</v>
      </c>
      <c r="AP42" s="246" t="n">
        <f aca="false">IF(AP3&gt;AP$34,TRUE())</f>
        <v>1</v>
      </c>
      <c r="AQ42" s="246" t="n">
        <f aca="false">IF(AQ3&gt;AQ$34,TRUE())</f>
        <v>1</v>
      </c>
      <c r="AR42" s="246" t="n">
        <f aca="false">IF(AR3&gt;AR$34,TRUE())</f>
        <v>1</v>
      </c>
    </row>
    <row r="43" customFormat="false" ht="12.8" hidden="false" customHeight="false" outlineLevel="0" collapsed="false">
      <c r="B43" s="139" t="s">
        <v>181</v>
      </c>
      <c r="C43" s="246" t="n">
        <f aca="false">IF(C4&gt;C$34,TRUE())</f>
        <v>1</v>
      </c>
      <c r="D43" s="246" t="n">
        <f aca="false">IF(D4&gt;D$34,TRUE())</f>
        <v>1</v>
      </c>
      <c r="E43" s="246" t="n">
        <f aca="false">IF(E4&gt;E$34,TRUE())</f>
        <v>1</v>
      </c>
      <c r="F43" s="246" t="n">
        <f aca="false">IF(F4&gt;F$34,TRUE())</f>
        <v>1</v>
      </c>
      <c r="G43" s="246" t="n">
        <f aca="false">IF(G4&gt;G$34,TRUE())</f>
        <v>1</v>
      </c>
      <c r="H43" s="246" t="n">
        <f aca="false">IF(H4&gt;H$34,TRUE())</f>
        <v>1</v>
      </c>
      <c r="I43" s="246" t="n">
        <f aca="false">IF(I4&gt;I$34,TRUE())</f>
        <v>1</v>
      </c>
      <c r="J43" s="246" t="n">
        <f aca="false">IF(J4&gt;J$34,TRUE())</f>
        <v>1</v>
      </c>
      <c r="K43" s="246" t="n">
        <f aca="false">IF(K4&gt;K$34,TRUE())</f>
        <v>1</v>
      </c>
      <c r="L43" s="246" t="n">
        <f aca="false">IF(L4&gt;L$34,TRUE())</f>
        <v>1</v>
      </c>
      <c r="M43" s="246" t="n">
        <f aca="false">IF(M4&gt;M$34,TRUE())</f>
        <v>1</v>
      </c>
      <c r="N43" s="246" t="n">
        <f aca="false">IF(N4&gt;N$34,TRUE())</f>
        <v>1</v>
      </c>
      <c r="O43" s="246" t="n">
        <f aca="false">IF(O4&gt;O$34,TRUE())</f>
        <v>1</v>
      </c>
      <c r="P43" s="246" t="n">
        <f aca="false">IF(P4&gt;P$34,TRUE())</f>
        <v>1</v>
      </c>
      <c r="Q43" s="246" t="n">
        <f aca="false">IF(Q4&gt;Q$34,TRUE())</f>
        <v>1</v>
      </c>
      <c r="R43" s="246" t="n">
        <f aca="false">IF(R4&gt;R$34,TRUE())</f>
        <v>1</v>
      </c>
      <c r="S43" s="246" t="n">
        <f aca="false">IF(S4&gt;S$34,TRUE())</f>
        <v>1</v>
      </c>
      <c r="T43" s="246" t="n">
        <f aca="false">IF(T4&gt;T$34,TRUE())</f>
        <v>1</v>
      </c>
      <c r="U43" s="246" t="n">
        <f aca="false">IF(U4&gt;U$34,TRUE())</f>
        <v>1</v>
      </c>
      <c r="V43" s="246" t="n">
        <f aca="false">IF(V4&gt;V$34,TRUE())</f>
        <v>1</v>
      </c>
      <c r="W43" s="246" t="n">
        <f aca="false">IF(W4&gt;W$34,TRUE())</f>
        <v>1</v>
      </c>
      <c r="X43" s="246" t="n">
        <f aca="false">IF(X4&gt;X$34,TRUE())</f>
        <v>1</v>
      </c>
      <c r="Y43" s="246" t="n">
        <f aca="false">IF(Y4&gt;Y$34,TRUE())</f>
        <v>1</v>
      </c>
      <c r="Z43" s="246" t="n">
        <f aca="false">IF(Z4&gt;Z$34,TRUE())</f>
        <v>1</v>
      </c>
      <c r="AA43" s="246" t="n">
        <f aca="false">IF(AA4&gt;AA$34,TRUE())</f>
        <v>1</v>
      </c>
      <c r="AB43" s="246" t="n">
        <f aca="false">IF(AB4&gt;AB$34,TRUE())</f>
        <v>1</v>
      </c>
      <c r="AC43" s="246" t="n">
        <f aca="false">IF(AC4&gt;AC$34,TRUE())</f>
        <v>1</v>
      </c>
      <c r="AD43" s="246" t="n">
        <f aca="false">IF(AD4&gt;AD$34,TRUE())</f>
        <v>1</v>
      </c>
      <c r="AE43" s="246" t="n">
        <f aca="false">IF(AE4&gt;AE$34,TRUE())</f>
        <v>1</v>
      </c>
      <c r="AF43" s="246" t="n">
        <f aca="false">IF(AF4&gt;AF$34,TRUE())</f>
        <v>1</v>
      </c>
      <c r="AG43" s="246" t="n">
        <f aca="false">IF(AG4&gt;AG$34,TRUE())</f>
        <v>1</v>
      </c>
      <c r="AH43" s="246" t="n">
        <f aca="false">IF(AH4&gt;AH$34,TRUE())</f>
        <v>1</v>
      </c>
      <c r="AI43" s="246" t="n">
        <f aca="false">IF(AI4&gt;AI$34,TRUE())</f>
        <v>1</v>
      </c>
      <c r="AJ43" s="246" t="n">
        <f aca="false">IF(AJ4&gt;AJ$34,TRUE())</f>
        <v>1</v>
      </c>
      <c r="AK43" s="246" t="n">
        <f aca="false">IF(AK4&gt;AK$34,TRUE())</f>
        <v>1</v>
      </c>
      <c r="AL43" s="246" t="n">
        <f aca="false">IF(AL4&gt;AL$34,TRUE())</f>
        <v>1</v>
      </c>
      <c r="AM43" s="246" t="n">
        <f aca="false">IF(AM4&gt;AM$34,TRUE())</f>
        <v>1</v>
      </c>
      <c r="AN43" s="246" t="n">
        <f aca="false">IF(AN4&gt;AN$34,TRUE())</f>
        <v>1</v>
      </c>
      <c r="AO43" s="246" t="n">
        <f aca="false">IF(AO4&gt;AO$34,TRUE())</f>
        <v>1</v>
      </c>
      <c r="AP43" s="246" t="n">
        <f aca="false">IF(AP4&gt;AP$34,TRUE())</f>
        <v>1</v>
      </c>
      <c r="AQ43" s="246" t="n">
        <f aca="false">IF(AQ4&gt;AQ$34,TRUE())</f>
        <v>1</v>
      </c>
      <c r="AR43" s="246" t="n">
        <f aca="false">IF(AR4&gt;AR$34,TRUE())</f>
        <v>1</v>
      </c>
    </row>
    <row r="44" customFormat="false" ht="12.8" hidden="false" customHeight="false" outlineLevel="0" collapsed="false">
      <c r="B44" s="139" t="s">
        <v>30</v>
      </c>
      <c r="C44" s="246" t="n">
        <f aca="false">IF(C5&gt;C$34,TRUE())</f>
        <v>1</v>
      </c>
      <c r="D44" s="246" t="n">
        <f aca="false">IF(D5&gt;D$34,TRUE())</f>
        <v>1</v>
      </c>
      <c r="E44" s="246" t="n">
        <f aca="false">IF(E5&gt;E$34,TRUE())</f>
        <v>1</v>
      </c>
      <c r="F44" s="246" t="n">
        <f aca="false">IF(F5&gt;F$34,TRUE())</f>
        <v>1</v>
      </c>
      <c r="G44" s="246" t="n">
        <f aca="false">IF(G5&gt;G$34,TRUE())</f>
        <v>1</v>
      </c>
      <c r="H44" s="246" t="n">
        <f aca="false">IF(H5&gt;H$34,TRUE())</f>
        <v>1</v>
      </c>
      <c r="I44" s="246" t="n">
        <f aca="false">IF(I5&gt;I$34,TRUE())</f>
        <v>1</v>
      </c>
      <c r="J44" s="246" t="n">
        <f aca="false">IF(J5&gt;J$34,TRUE())</f>
        <v>1</v>
      </c>
      <c r="K44" s="246" t="n">
        <f aca="false">IF(K5&gt;K$34,TRUE())</f>
        <v>1</v>
      </c>
      <c r="L44" s="246" t="n">
        <f aca="false">IF(L5&gt;L$34,TRUE())</f>
        <v>1</v>
      </c>
      <c r="M44" s="246" t="n">
        <f aca="false">IF(M5&gt;M$34,TRUE())</f>
        <v>1</v>
      </c>
      <c r="N44" s="246" t="n">
        <f aca="false">IF(N5&gt;N$34,TRUE())</f>
        <v>1</v>
      </c>
      <c r="O44" s="246" t="n">
        <f aca="false">IF(O5&gt;O$34,TRUE())</f>
        <v>1</v>
      </c>
      <c r="P44" s="246" t="n">
        <f aca="false">IF(P5&gt;P$34,TRUE())</f>
        <v>1</v>
      </c>
      <c r="Q44" s="246" t="n">
        <f aca="false">IF(Q5&gt;Q$34,TRUE())</f>
        <v>1</v>
      </c>
      <c r="R44" s="246" t="n">
        <f aca="false">IF(R5&gt;R$34,TRUE())</f>
        <v>1</v>
      </c>
      <c r="S44" s="246" t="n">
        <f aca="false">IF(S5&gt;S$34,TRUE())</f>
        <v>1</v>
      </c>
      <c r="T44" s="246" t="n">
        <f aca="false">IF(T5&gt;T$34,TRUE())</f>
        <v>1</v>
      </c>
      <c r="U44" s="246" t="n">
        <f aca="false">IF(U5&gt;U$34,TRUE())</f>
        <v>1</v>
      </c>
      <c r="V44" s="246" t="n">
        <f aca="false">IF(V5&gt;V$34,TRUE())</f>
        <v>1</v>
      </c>
      <c r="W44" s="246" t="n">
        <f aca="false">IF(W5&gt;W$34,TRUE())</f>
        <v>1</v>
      </c>
      <c r="X44" s="246" t="n">
        <f aca="false">IF(X5&gt;X$34,TRUE())</f>
        <v>1</v>
      </c>
      <c r="Y44" s="246" t="n">
        <f aca="false">IF(Y5&gt;Y$34,TRUE())</f>
        <v>1</v>
      </c>
      <c r="Z44" s="246" t="n">
        <f aca="false">IF(Z5&gt;Z$34,TRUE())</f>
        <v>1</v>
      </c>
      <c r="AA44" s="246" t="n">
        <f aca="false">IF(AA5&gt;AA$34,TRUE())</f>
        <v>1</v>
      </c>
      <c r="AB44" s="246" t="n">
        <f aca="false">IF(AB5&gt;AB$34,TRUE())</f>
        <v>1</v>
      </c>
      <c r="AC44" s="246" t="n">
        <f aca="false">IF(AC5&gt;AC$34,TRUE())</f>
        <v>1</v>
      </c>
      <c r="AD44" s="246" t="n">
        <f aca="false">IF(AD5&gt;AD$34,TRUE())</f>
        <v>1</v>
      </c>
      <c r="AE44" s="246" t="n">
        <f aca="false">IF(AE5&gt;AE$34,TRUE())</f>
        <v>1</v>
      </c>
      <c r="AF44" s="246" t="n">
        <f aca="false">IF(AF5&gt;AF$34,TRUE())</f>
        <v>1</v>
      </c>
      <c r="AG44" s="246" t="n">
        <f aca="false">IF(AG5&gt;AG$34,TRUE())</f>
        <v>1</v>
      </c>
      <c r="AH44" s="246" t="n">
        <f aca="false">IF(AH5&gt;AH$34,TRUE())</f>
        <v>1</v>
      </c>
      <c r="AI44" s="246" t="n">
        <f aca="false">IF(AI5&gt;AI$34,TRUE())</f>
        <v>1</v>
      </c>
      <c r="AJ44" s="246" t="n">
        <f aca="false">IF(AJ5&gt;AJ$34,TRUE())</f>
        <v>1</v>
      </c>
      <c r="AK44" s="246" t="n">
        <f aca="false">IF(AK5&gt;AK$34,TRUE())</f>
        <v>1</v>
      </c>
      <c r="AL44" s="246" t="n">
        <f aca="false">IF(AL5&gt;AL$34,TRUE())</f>
        <v>1</v>
      </c>
      <c r="AM44" s="246" t="n">
        <f aca="false">IF(AM5&gt;AM$34,TRUE())</f>
        <v>1</v>
      </c>
      <c r="AN44" s="246" t="n">
        <f aca="false">IF(AN5&gt;AN$34,TRUE())</f>
        <v>1</v>
      </c>
      <c r="AO44" s="246" t="n">
        <f aca="false">IF(AO5&gt;AO$34,TRUE())</f>
        <v>1</v>
      </c>
      <c r="AP44" s="246" t="n">
        <f aca="false">IF(AP5&gt;AP$34,TRUE())</f>
        <v>1</v>
      </c>
      <c r="AQ44" s="246" t="n">
        <f aca="false">IF(AQ5&gt;AQ$34,TRUE())</f>
        <v>1</v>
      </c>
      <c r="AR44" s="246" t="n">
        <f aca="false">IF(AR5&gt;AR$34,TRUE())</f>
        <v>1</v>
      </c>
    </row>
    <row r="45" customFormat="false" ht="12.8" hidden="false" customHeight="false" outlineLevel="0" collapsed="false">
      <c r="B45" s="139" t="s">
        <v>182</v>
      </c>
      <c r="C45" s="246" t="n">
        <f aca="false">IF(C6&gt;C$34,TRUE())</f>
        <v>1</v>
      </c>
      <c r="D45" s="246" t="n">
        <f aca="false">IF(D6&gt;D$34,TRUE())</f>
        <v>1</v>
      </c>
      <c r="E45" s="246" t="n">
        <f aca="false">IF(E6&gt;E$34,TRUE())</f>
        <v>1</v>
      </c>
      <c r="F45" s="246" t="n">
        <f aca="false">IF(F6&gt;F$34,TRUE())</f>
        <v>1</v>
      </c>
      <c r="G45" s="246" t="n">
        <f aca="false">IF(G6&gt;G$34,TRUE())</f>
        <v>1</v>
      </c>
      <c r="H45" s="246" t="n">
        <f aca="false">IF(H6&gt;H$34,TRUE())</f>
        <v>1</v>
      </c>
      <c r="I45" s="246" t="n">
        <f aca="false">IF(I6&gt;I$34,TRUE())</f>
        <v>1</v>
      </c>
      <c r="J45" s="246" t="n">
        <f aca="false">IF(J6&gt;J$34,TRUE())</f>
        <v>1</v>
      </c>
      <c r="K45" s="246" t="n">
        <f aca="false">IF(K6&gt;K$34,TRUE())</f>
        <v>1</v>
      </c>
      <c r="L45" s="246" t="n">
        <f aca="false">IF(L6&gt;L$34,TRUE())</f>
        <v>1</v>
      </c>
      <c r="M45" s="246" t="n">
        <f aca="false">IF(M6&gt;M$34,TRUE())</f>
        <v>1</v>
      </c>
      <c r="N45" s="246" t="n">
        <f aca="false">IF(N6&gt;N$34,TRUE())</f>
        <v>1</v>
      </c>
      <c r="O45" s="246" t="n">
        <f aca="false">IF(O6&gt;O$34,TRUE())</f>
        <v>1</v>
      </c>
      <c r="P45" s="246" t="n">
        <f aca="false">IF(P6&gt;P$34,TRUE())</f>
        <v>1</v>
      </c>
      <c r="Q45" s="246" t="n">
        <f aca="false">IF(Q6&gt;Q$34,TRUE())</f>
        <v>1</v>
      </c>
      <c r="R45" s="246" t="n">
        <f aca="false">IF(R6&gt;R$34,TRUE())</f>
        <v>1</v>
      </c>
      <c r="S45" s="246" t="n">
        <f aca="false">IF(S6&gt;S$34,TRUE())</f>
        <v>1</v>
      </c>
      <c r="T45" s="246" t="n">
        <f aca="false">IF(T6&gt;T$34,TRUE())</f>
        <v>1</v>
      </c>
      <c r="U45" s="246" t="n">
        <f aca="false">IF(U6&gt;U$34,TRUE())</f>
        <v>1</v>
      </c>
      <c r="V45" s="246" t="n">
        <f aca="false">IF(V6&gt;V$34,TRUE())</f>
        <v>1</v>
      </c>
      <c r="W45" s="246" t="n">
        <f aca="false">IF(W6&gt;W$34,TRUE())</f>
        <v>1</v>
      </c>
      <c r="X45" s="246" t="n">
        <f aca="false">IF(X6&gt;X$34,TRUE())</f>
        <v>1</v>
      </c>
      <c r="Y45" s="246" t="n">
        <f aca="false">IF(Y6&gt;Y$34,TRUE())</f>
        <v>1</v>
      </c>
      <c r="Z45" s="246" t="n">
        <f aca="false">IF(Z6&gt;Z$34,TRUE())</f>
        <v>1</v>
      </c>
      <c r="AA45" s="246" t="n">
        <f aca="false">IF(AA6&gt;AA$34,TRUE())</f>
        <v>1</v>
      </c>
      <c r="AB45" s="246" t="n">
        <f aca="false">IF(AB6&gt;AB$34,TRUE())</f>
        <v>1</v>
      </c>
      <c r="AC45" s="246" t="n">
        <f aca="false">IF(AC6&gt;AC$34,TRUE())</f>
        <v>1</v>
      </c>
      <c r="AD45" s="246" t="n">
        <f aca="false">IF(AD6&gt;AD$34,TRUE())</f>
        <v>1</v>
      </c>
      <c r="AE45" s="246" t="n">
        <f aca="false">IF(AE6&gt;AE$34,TRUE())</f>
        <v>1</v>
      </c>
      <c r="AF45" s="246" t="n">
        <f aca="false">IF(AF6&gt;AF$34,TRUE())</f>
        <v>1</v>
      </c>
      <c r="AG45" s="246" t="n">
        <f aca="false">IF(AG6&gt;AG$34,TRUE())</f>
        <v>1</v>
      </c>
      <c r="AH45" s="246" t="n">
        <f aca="false">IF(AH6&gt;AH$34,TRUE())</f>
        <v>1</v>
      </c>
      <c r="AI45" s="246" t="n">
        <f aca="false">IF(AI6&gt;AI$34,TRUE())</f>
        <v>1</v>
      </c>
      <c r="AJ45" s="246" t="n">
        <f aca="false">IF(AJ6&gt;AJ$34,TRUE())</f>
        <v>1</v>
      </c>
      <c r="AK45" s="246" t="n">
        <f aca="false">IF(AK6&gt;AK$34,TRUE())</f>
        <v>1</v>
      </c>
      <c r="AL45" s="246" t="n">
        <f aca="false">IF(AL6&gt;AL$34,TRUE())</f>
        <v>1</v>
      </c>
      <c r="AM45" s="246" t="n">
        <f aca="false">IF(AM6&gt;AM$34,TRUE())</f>
        <v>1</v>
      </c>
      <c r="AN45" s="246" t="n">
        <f aca="false">IF(AN6&gt;AN$34,TRUE())</f>
        <v>1</v>
      </c>
      <c r="AO45" s="246" t="n">
        <f aca="false">IF(AO6&gt;AO$34,TRUE())</f>
        <v>1</v>
      </c>
      <c r="AP45" s="246" t="n">
        <f aca="false">IF(AP6&gt;AP$34,TRUE())</f>
        <v>1</v>
      </c>
      <c r="AQ45" s="246" t="n">
        <f aca="false">IF(AQ6&gt;AQ$34,TRUE())</f>
        <v>1</v>
      </c>
      <c r="AR45" s="246" t="n">
        <f aca="false">IF(AR6&gt;AR$34,TRUE())</f>
        <v>1</v>
      </c>
    </row>
    <row r="46" customFormat="false" ht="12.8" hidden="false" customHeight="false" outlineLevel="0" collapsed="false">
      <c r="B46" s="139" t="s">
        <v>183</v>
      </c>
      <c r="C46" s="246" t="n">
        <f aca="false">IF(C7&gt;C$34,TRUE())</f>
        <v>1</v>
      </c>
      <c r="D46" s="246" t="n">
        <f aca="false">IF(D7&gt;D$34,TRUE())</f>
        <v>1</v>
      </c>
      <c r="E46" s="246" t="n">
        <f aca="false">IF(E7&gt;E$34,TRUE())</f>
        <v>1</v>
      </c>
      <c r="F46" s="246" t="n">
        <f aca="false">IF(F7&gt;F$34,TRUE())</f>
        <v>1</v>
      </c>
      <c r="G46" s="246" t="n">
        <f aca="false">IF(G7&gt;G$34,TRUE())</f>
        <v>1</v>
      </c>
      <c r="H46" s="246" t="n">
        <f aca="false">IF(H7&gt;H$34,TRUE())</f>
        <v>1</v>
      </c>
      <c r="I46" s="246" t="n">
        <f aca="false">IF(I7&gt;I$34,TRUE())</f>
        <v>1</v>
      </c>
      <c r="J46" s="246" t="n">
        <f aca="false">IF(J7&gt;J$34,TRUE())</f>
        <v>1</v>
      </c>
      <c r="K46" s="246" t="n">
        <f aca="false">IF(K7&gt;K$34,TRUE())</f>
        <v>1</v>
      </c>
      <c r="L46" s="246" t="n">
        <f aca="false">IF(L7&gt;L$34,TRUE())</f>
        <v>1</v>
      </c>
      <c r="M46" s="246" t="n">
        <f aca="false">IF(M7&gt;M$34,TRUE())</f>
        <v>1</v>
      </c>
      <c r="N46" s="246" t="n">
        <f aca="false">IF(N7&gt;N$34,TRUE())</f>
        <v>1</v>
      </c>
      <c r="O46" s="246" t="n">
        <f aca="false">IF(O7&gt;O$34,TRUE())</f>
        <v>1</v>
      </c>
      <c r="P46" s="246" t="n">
        <f aca="false">IF(P7&gt;P$34,TRUE())</f>
        <v>1</v>
      </c>
      <c r="Q46" s="246" t="n">
        <f aca="false">IF(Q7&gt;Q$34,TRUE())</f>
        <v>1</v>
      </c>
      <c r="R46" s="246" t="n">
        <f aca="false">IF(R7&gt;R$34,TRUE())</f>
        <v>1</v>
      </c>
      <c r="S46" s="246" t="n">
        <f aca="false">IF(S7&gt;S$34,TRUE())</f>
        <v>1</v>
      </c>
      <c r="T46" s="246" t="n">
        <f aca="false">IF(T7&gt;T$34,TRUE())</f>
        <v>1</v>
      </c>
      <c r="U46" s="246" t="n">
        <f aca="false">IF(U7&gt;U$34,TRUE())</f>
        <v>1</v>
      </c>
      <c r="V46" s="246" t="n">
        <f aca="false">IF(V7&gt;V$34,TRUE())</f>
        <v>1</v>
      </c>
      <c r="W46" s="246" t="n">
        <f aca="false">IF(W7&gt;W$34,TRUE())</f>
        <v>1</v>
      </c>
      <c r="X46" s="246" t="n">
        <f aca="false">IF(X7&gt;X$34,TRUE())</f>
        <v>1</v>
      </c>
      <c r="Y46" s="246" t="n">
        <f aca="false">IF(Y7&gt;Y$34,TRUE())</f>
        <v>1</v>
      </c>
      <c r="Z46" s="246" t="n">
        <f aca="false">IF(Z7&gt;Z$34,TRUE())</f>
        <v>1</v>
      </c>
      <c r="AA46" s="246" t="n">
        <f aca="false">IF(AA7&gt;AA$34,TRUE())</f>
        <v>1</v>
      </c>
      <c r="AB46" s="246" t="n">
        <f aca="false">IF(AB7&gt;AB$34,TRUE())</f>
        <v>1</v>
      </c>
      <c r="AC46" s="246" t="n">
        <f aca="false">IF(AC7&gt;AC$34,TRUE())</f>
        <v>1</v>
      </c>
      <c r="AD46" s="246" t="n">
        <f aca="false">IF(AD7&gt;AD$34,TRUE())</f>
        <v>1</v>
      </c>
      <c r="AE46" s="246" t="n">
        <f aca="false">IF(AE7&gt;AE$34,TRUE())</f>
        <v>1</v>
      </c>
      <c r="AF46" s="246" t="n">
        <f aca="false">IF(AF7&gt;AF$34,TRUE())</f>
        <v>1</v>
      </c>
      <c r="AG46" s="246" t="n">
        <f aca="false">IF(AG7&gt;AG$34,TRUE())</f>
        <v>1</v>
      </c>
      <c r="AH46" s="246" t="n">
        <f aca="false">IF(AH7&gt;AH$34,TRUE())</f>
        <v>1</v>
      </c>
      <c r="AI46" s="246" t="n">
        <f aca="false">IF(AI7&gt;AI$34,TRUE())</f>
        <v>1</v>
      </c>
      <c r="AJ46" s="246" t="n">
        <f aca="false">IF(AJ7&gt;AJ$34,TRUE())</f>
        <v>1</v>
      </c>
      <c r="AK46" s="246" t="n">
        <f aca="false">IF(AK7&gt;AK$34,TRUE())</f>
        <v>1</v>
      </c>
      <c r="AL46" s="246" t="n">
        <f aca="false">IF(AL7&gt;AL$34,TRUE())</f>
        <v>1</v>
      </c>
      <c r="AM46" s="246" t="n">
        <f aca="false">IF(AM7&gt;AM$34,TRUE())</f>
        <v>1</v>
      </c>
      <c r="AN46" s="246" t="n">
        <f aca="false">IF(AN7&gt;AN$34,TRUE())</f>
        <v>1</v>
      </c>
      <c r="AO46" s="246" t="n">
        <f aca="false">IF(AO7&gt;AO$34,TRUE())</f>
        <v>1</v>
      </c>
      <c r="AP46" s="246" t="n">
        <f aca="false">IF(AP7&gt;AP$34,TRUE())</f>
        <v>1</v>
      </c>
      <c r="AQ46" s="246" t="n">
        <f aca="false">IF(AQ7&gt;AQ$34,TRUE())</f>
        <v>1</v>
      </c>
      <c r="AR46" s="246" t="n">
        <f aca="false">IF(AR7&gt;AR$34,TRUE())</f>
        <v>1</v>
      </c>
    </row>
    <row r="47" customFormat="false" ht="12.8" hidden="false" customHeight="false" outlineLevel="0" collapsed="false">
      <c r="B47" s="139" t="s">
        <v>27</v>
      </c>
      <c r="C47" s="246" t="n">
        <f aca="false">IF(C8&gt;C$34,TRUE())</f>
        <v>1</v>
      </c>
      <c r="D47" s="246" t="n">
        <f aca="false">IF(D8&gt;D$34,TRUE())</f>
        <v>1</v>
      </c>
      <c r="E47" s="246" t="n">
        <f aca="false">IF(E8&gt;E$34,TRUE())</f>
        <v>1</v>
      </c>
      <c r="F47" s="246" t="n">
        <f aca="false">IF(F8&gt;F$34,TRUE())</f>
        <v>1</v>
      </c>
      <c r="G47" s="246" t="n">
        <f aca="false">IF(G8&gt;G$34,TRUE())</f>
        <v>1</v>
      </c>
      <c r="H47" s="246" t="n">
        <f aca="false">IF(H8&gt;H$34,TRUE())</f>
        <v>1</v>
      </c>
      <c r="I47" s="246" t="n">
        <f aca="false">IF(I8&gt;I$34,TRUE())</f>
        <v>1</v>
      </c>
      <c r="J47" s="246" t="n">
        <f aca="false">IF(J8&gt;J$34,TRUE())</f>
        <v>1</v>
      </c>
      <c r="K47" s="246" t="n">
        <f aca="false">IF(K8&gt;K$34,TRUE())</f>
        <v>1</v>
      </c>
      <c r="L47" s="246" t="n">
        <f aca="false">IF(L8&gt;L$34,TRUE())</f>
        <v>1</v>
      </c>
      <c r="M47" s="246" t="n">
        <f aca="false">IF(M8&gt;M$34,TRUE())</f>
        <v>1</v>
      </c>
      <c r="N47" s="246" t="n">
        <f aca="false">IF(N8&gt;N$34,TRUE())</f>
        <v>1</v>
      </c>
      <c r="O47" s="246" t="n">
        <f aca="false">IF(O8&gt;O$34,TRUE())</f>
        <v>1</v>
      </c>
      <c r="P47" s="246" t="n">
        <f aca="false">IF(P8&gt;P$34,TRUE())</f>
        <v>1</v>
      </c>
      <c r="Q47" s="246" t="n">
        <f aca="false">IF(Q8&gt;Q$34,TRUE())</f>
        <v>1</v>
      </c>
      <c r="R47" s="246" t="n">
        <f aca="false">IF(R8&gt;R$34,TRUE())</f>
        <v>1</v>
      </c>
      <c r="S47" s="246" t="n">
        <f aca="false">IF(S8&gt;S$34,TRUE())</f>
        <v>1</v>
      </c>
      <c r="T47" s="246" t="n">
        <f aca="false">IF(T8&gt;T$34,TRUE())</f>
        <v>1</v>
      </c>
      <c r="U47" s="246" t="n">
        <f aca="false">IF(U8&gt;U$34,TRUE())</f>
        <v>1</v>
      </c>
      <c r="V47" s="246" t="n">
        <f aca="false">IF(V8&gt;V$34,TRUE())</f>
        <v>1</v>
      </c>
      <c r="W47" s="246" t="n">
        <f aca="false">IF(W8&gt;W$34,TRUE())</f>
        <v>1</v>
      </c>
      <c r="X47" s="246" t="n">
        <f aca="false">IF(X8&gt;X$34,TRUE())</f>
        <v>1</v>
      </c>
      <c r="Y47" s="246" t="n">
        <f aca="false">IF(Y8&gt;Y$34,TRUE())</f>
        <v>1</v>
      </c>
      <c r="Z47" s="246" t="n">
        <f aca="false">IF(Z8&gt;Z$34,TRUE())</f>
        <v>1</v>
      </c>
      <c r="AA47" s="246" t="n">
        <f aca="false">IF(AA8&gt;AA$34,TRUE())</f>
        <v>1</v>
      </c>
      <c r="AB47" s="246" t="n">
        <f aca="false">IF(AB8&gt;AB$34,TRUE())</f>
        <v>1</v>
      </c>
      <c r="AC47" s="246" t="n">
        <f aca="false">IF(AC8&gt;AC$34,TRUE())</f>
        <v>1</v>
      </c>
      <c r="AD47" s="246" t="n">
        <f aca="false">IF(AD8&gt;AD$34,TRUE())</f>
        <v>1</v>
      </c>
      <c r="AE47" s="246" t="n">
        <f aca="false">IF(AE8&gt;AE$34,TRUE())</f>
        <v>1</v>
      </c>
      <c r="AF47" s="246" t="n">
        <f aca="false">IF(AF8&gt;AF$34,TRUE())</f>
        <v>1</v>
      </c>
      <c r="AG47" s="246" t="n">
        <f aca="false">IF(AG8&gt;AG$34,TRUE())</f>
        <v>1</v>
      </c>
      <c r="AH47" s="246" t="n">
        <f aca="false">IF(AH8&gt;AH$34,TRUE())</f>
        <v>1</v>
      </c>
      <c r="AI47" s="246" t="n">
        <f aca="false">IF(AI8&gt;AI$34,TRUE())</f>
        <v>1</v>
      </c>
      <c r="AJ47" s="246" t="n">
        <f aca="false">IF(AJ8&gt;AJ$34,TRUE())</f>
        <v>1</v>
      </c>
      <c r="AK47" s="246" t="n">
        <f aca="false">IF(AK8&gt;AK$34,TRUE())</f>
        <v>1</v>
      </c>
      <c r="AL47" s="246" t="n">
        <f aca="false">IF(AL8&gt;AL$34,TRUE())</f>
        <v>1</v>
      </c>
      <c r="AM47" s="246" t="n">
        <f aca="false">IF(AM8&gt;AM$34,TRUE())</f>
        <v>1</v>
      </c>
      <c r="AN47" s="246" t="n">
        <f aca="false">IF(AN8&gt;AN$34,TRUE())</f>
        <v>1</v>
      </c>
      <c r="AO47" s="246" t="n">
        <f aca="false">IF(AO8&gt;AO$34,TRUE())</f>
        <v>1</v>
      </c>
      <c r="AP47" s="246" t="n">
        <f aca="false">IF(AP8&gt;AP$34,TRUE())</f>
        <v>1</v>
      </c>
      <c r="AQ47" s="246" t="n">
        <f aca="false">IF(AQ8&gt;AQ$34,TRUE())</f>
        <v>1</v>
      </c>
      <c r="AR47" s="246" t="n">
        <f aca="false">IF(AR8&gt;AR$34,TRUE())</f>
        <v>1</v>
      </c>
    </row>
    <row r="48" customFormat="false" ht="12.8" hidden="false" customHeight="false" outlineLevel="0" collapsed="false">
      <c r="B48" s="139" t="s">
        <v>31</v>
      </c>
      <c r="C48" s="246" t="n">
        <f aca="false">IF(C9&gt;C$34,TRUE())</f>
        <v>1</v>
      </c>
      <c r="D48" s="246" t="n">
        <f aca="false">IF(D9&gt;D$34,TRUE())</f>
        <v>1</v>
      </c>
      <c r="E48" s="246" t="n">
        <f aca="false">IF(E9&gt;E$34,TRUE())</f>
        <v>1</v>
      </c>
      <c r="F48" s="246" t="n">
        <f aca="false">IF(F9&gt;F$34,TRUE())</f>
        <v>1</v>
      </c>
      <c r="G48" s="246" t="n">
        <f aca="false">IF(G9&gt;G$34,TRUE())</f>
        <v>1</v>
      </c>
      <c r="H48" s="246" t="n">
        <f aca="false">IF(H9&gt;H$34,TRUE())</f>
        <v>1</v>
      </c>
      <c r="I48" s="246" t="n">
        <f aca="false">IF(I9&gt;I$34,TRUE())</f>
        <v>1</v>
      </c>
      <c r="J48" s="246" t="n">
        <f aca="false">IF(J9&gt;J$34,TRUE())</f>
        <v>1</v>
      </c>
      <c r="K48" s="246" t="n">
        <f aca="false">IF(K9&gt;K$34,TRUE())</f>
        <v>1</v>
      </c>
      <c r="L48" s="246" t="n">
        <f aca="false">IF(L9&gt;L$34,TRUE())</f>
        <v>1</v>
      </c>
      <c r="M48" s="246" t="n">
        <f aca="false">IF(M9&gt;M$34,TRUE())</f>
        <v>1</v>
      </c>
      <c r="N48" s="246" t="n">
        <f aca="false">IF(N9&gt;N$34,TRUE())</f>
        <v>1</v>
      </c>
      <c r="O48" s="246" t="n">
        <f aca="false">IF(O9&gt;O$34,TRUE())</f>
        <v>1</v>
      </c>
      <c r="P48" s="246" t="n">
        <f aca="false">IF(P9&gt;P$34,TRUE())</f>
        <v>1</v>
      </c>
      <c r="Q48" s="246" t="n">
        <f aca="false">IF(Q9&gt;Q$34,TRUE())</f>
        <v>1</v>
      </c>
      <c r="R48" s="246" t="n">
        <f aca="false">IF(R9&gt;R$34,TRUE())</f>
        <v>1</v>
      </c>
      <c r="S48" s="246" t="n">
        <f aca="false">IF(S9&gt;S$34,TRUE())</f>
        <v>1</v>
      </c>
      <c r="T48" s="246" t="n">
        <f aca="false">IF(T9&gt;T$34,TRUE())</f>
        <v>1</v>
      </c>
      <c r="U48" s="246" t="n">
        <f aca="false">IF(U9&gt;U$34,TRUE())</f>
        <v>1</v>
      </c>
      <c r="V48" s="246" t="n">
        <f aca="false">IF(V9&gt;V$34,TRUE())</f>
        <v>1</v>
      </c>
      <c r="W48" s="246" t="n">
        <f aca="false">IF(W9&gt;W$34,TRUE())</f>
        <v>1</v>
      </c>
      <c r="X48" s="246" t="n">
        <f aca="false">IF(X9&gt;X$34,TRUE())</f>
        <v>1</v>
      </c>
      <c r="Y48" s="246" t="n">
        <f aca="false">IF(Y9&gt;Y$34,TRUE())</f>
        <v>1</v>
      </c>
      <c r="Z48" s="246" t="n">
        <f aca="false">IF(Z9&gt;Z$34,TRUE())</f>
        <v>1</v>
      </c>
      <c r="AA48" s="246" t="n">
        <f aca="false">IF(AA9&gt;AA$34,TRUE())</f>
        <v>1</v>
      </c>
      <c r="AB48" s="246" t="n">
        <f aca="false">IF(AB9&gt;AB$34,TRUE())</f>
        <v>1</v>
      </c>
      <c r="AC48" s="246" t="n">
        <f aca="false">IF(AC9&gt;AC$34,TRUE())</f>
        <v>1</v>
      </c>
      <c r="AD48" s="246" t="n">
        <f aca="false">IF(AD9&gt;AD$34,TRUE())</f>
        <v>1</v>
      </c>
      <c r="AE48" s="246" t="n">
        <f aca="false">IF(AE9&gt;AE$34,TRUE())</f>
        <v>1</v>
      </c>
      <c r="AF48" s="246" t="n">
        <f aca="false">IF(AF9&gt;AF$34,TRUE())</f>
        <v>1</v>
      </c>
      <c r="AG48" s="246" t="n">
        <f aca="false">IF(AG9&gt;AG$34,TRUE())</f>
        <v>1</v>
      </c>
      <c r="AH48" s="246" t="n">
        <f aca="false">IF(AH9&gt;AH$34,TRUE())</f>
        <v>1</v>
      </c>
      <c r="AI48" s="246" t="n">
        <f aca="false">IF(AI9&gt;AI$34,TRUE())</f>
        <v>1</v>
      </c>
      <c r="AJ48" s="246" t="n">
        <f aca="false">IF(AJ9&gt;AJ$34,TRUE())</f>
        <v>1</v>
      </c>
      <c r="AK48" s="246" t="n">
        <f aca="false">IF(AK9&gt;AK$34,TRUE())</f>
        <v>1</v>
      </c>
      <c r="AL48" s="246" t="n">
        <f aca="false">IF(AL9&gt;AL$34,TRUE())</f>
        <v>1</v>
      </c>
      <c r="AM48" s="246" t="n">
        <f aca="false">IF(AM9&gt;AM$34,TRUE())</f>
        <v>1</v>
      </c>
      <c r="AN48" s="246" t="n">
        <f aca="false">IF(AN9&gt;AN$34,TRUE())</f>
        <v>1</v>
      </c>
      <c r="AO48" s="246" t="n">
        <f aca="false">IF(AO9&gt;AO$34,TRUE())</f>
        <v>1</v>
      </c>
      <c r="AP48" s="246" t="n">
        <f aca="false">IF(AP9&gt;AP$34,TRUE())</f>
        <v>1</v>
      </c>
      <c r="AQ48" s="246" t="n">
        <f aca="false">IF(AQ9&gt;AQ$34,TRUE())</f>
        <v>1</v>
      </c>
      <c r="AR48" s="246" t="n">
        <f aca="false">IF(AR9&gt;AR$34,TRUE())</f>
        <v>1</v>
      </c>
    </row>
    <row r="49" customFormat="false" ht="12.8" hidden="false" customHeight="false" outlineLevel="0" collapsed="false">
      <c r="B49" s="139" t="s">
        <v>184</v>
      </c>
      <c r="C49" s="246" t="n">
        <f aca="false">IF(C10&gt;C$34,TRUE())</f>
        <v>1</v>
      </c>
      <c r="D49" s="246" t="n">
        <f aca="false">IF(D10&gt;D$34,TRUE())</f>
        <v>1</v>
      </c>
      <c r="E49" s="246" t="n">
        <f aca="false">IF(E10&gt;E$34,TRUE())</f>
        <v>1</v>
      </c>
      <c r="F49" s="246" t="n">
        <f aca="false">IF(F10&gt;F$34,TRUE())</f>
        <v>1</v>
      </c>
      <c r="G49" s="246" t="n">
        <f aca="false">IF(G10&gt;G$34,TRUE())</f>
        <v>1</v>
      </c>
      <c r="H49" s="246" t="n">
        <f aca="false">IF(H10&gt;H$34,TRUE())</f>
        <v>1</v>
      </c>
      <c r="I49" s="246" t="n">
        <f aca="false">IF(I10&gt;I$34,TRUE())</f>
        <v>1</v>
      </c>
      <c r="J49" s="246" t="n">
        <f aca="false">IF(J10&gt;J$34,TRUE())</f>
        <v>1</v>
      </c>
      <c r="K49" s="246" t="n">
        <f aca="false">IF(K10&gt;K$34,TRUE())</f>
        <v>1</v>
      </c>
      <c r="L49" s="246" t="n">
        <f aca="false">IF(L10&gt;L$34,TRUE())</f>
        <v>1</v>
      </c>
      <c r="M49" s="246" t="n">
        <f aca="false">IF(M10&gt;M$34,TRUE())</f>
        <v>1</v>
      </c>
      <c r="N49" s="246" t="n">
        <f aca="false">IF(N10&gt;N$34,TRUE())</f>
        <v>1</v>
      </c>
      <c r="O49" s="246" t="n">
        <f aca="false">IF(O10&gt;O$34,TRUE())</f>
        <v>1</v>
      </c>
      <c r="P49" s="246" t="n">
        <f aca="false">IF(P10&gt;P$34,TRUE())</f>
        <v>1</v>
      </c>
      <c r="Q49" s="246" t="n">
        <f aca="false">IF(Q10&gt;Q$34,TRUE())</f>
        <v>1</v>
      </c>
      <c r="R49" s="246" t="n">
        <f aca="false">IF(R10&gt;R$34,TRUE())</f>
        <v>1</v>
      </c>
      <c r="S49" s="246" t="n">
        <f aca="false">IF(S10&gt;S$34,TRUE())</f>
        <v>1</v>
      </c>
      <c r="T49" s="246" t="n">
        <f aca="false">IF(T10&gt;T$34,TRUE())</f>
        <v>1</v>
      </c>
      <c r="U49" s="246" t="n">
        <f aca="false">IF(U10&gt;U$34,TRUE())</f>
        <v>1</v>
      </c>
      <c r="V49" s="246" t="n">
        <f aca="false">IF(V10&gt;V$34,TRUE())</f>
        <v>1</v>
      </c>
      <c r="W49" s="246" t="n">
        <f aca="false">IF(W10&gt;W$34,TRUE())</f>
        <v>1</v>
      </c>
      <c r="X49" s="246" t="n">
        <f aca="false">IF(X10&gt;X$34,TRUE())</f>
        <v>1</v>
      </c>
      <c r="Y49" s="246" t="n">
        <f aca="false">IF(Y10&gt;Y$34,TRUE())</f>
        <v>1</v>
      </c>
      <c r="Z49" s="246" t="n">
        <f aca="false">IF(Z10&gt;Z$34,TRUE())</f>
        <v>1</v>
      </c>
      <c r="AA49" s="246" t="n">
        <f aca="false">IF(AA10&gt;AA$34,TRUE())</f>
        <v>1</v>
      </c>
      <c r="AB49" s="246" t="n">
        <f aca="false">IF(AB10&gt;AB$34,TRUE())</f>
        <v>1</v>
      </c>
      <c r="AC49" s="246" t="n">
        <f aca="false">IF(AC10&gt;AC$34,TRUE())</f>
        <v>1</v>
      </c>
      <c r="AD49" s="246" t="n">
        <f aca="false">IF(AD10&gt;AD$34,TRUE())</f>
        <v>1</v>
      </c>
      <c r="AE49" s="246" t="n">
        <f aca="false">IF(AE10&gt;AE$34,TRUE())</f>
        <v>1</v>
      </c>
      <c r="AF49" s="246" t="n">
        <f aca="false">IF(AF10&gt;AF$34,TRUE())</f>
        <v>1</v>
      </c>
      <c r="AG49" s="246" t="n">
        <f aca="false">IF(AG10&gt;AG$34,TRUE())</f>
        <v>1</v>
      </c>
      <c r="AH49" s="246" t="n">
        <f aca="false">IF(AH10&gt;AH$34,TRUE())</f>
        <v>1</v>
      </c>
      <c r="AI49" s="246" t="n">
        <f aca="false">IF(AI10&gt;AI$34,TRUE())</f>
        <v>1</v>
      </c>
      <c r="AJ49" s="246" t="n">
        <f aca="false">IF(AJ10&gt;AJ$34,TRUE())</f>
        <v>1</v>
      </c>
      <c r="AK49" s="246" t="n">
        <f aca="false">IF(AK10&gt;AK$34,TRUE())</f>
        <v>1</v>
      </c>
      <c r="AL49" s="246" t="n">
        <f aca="false">IF(AL10&gt;AL$34,TRUE())</f>
        <v>1</v>
      </c>
      <c r="AM49" s="246" t="n">
        <f aca="false">IF(AM10&gt;AM$34,TRUE())</f>
        <v>1</v>
      </c>
      <c r="AN49" s="246" t="n">
        <f aca="false">IF(AN10&gt;AN$34,TRUE())</f>
        <v>1</v>
      </c>
      <c r="AO49" s="246" t="n">
        <f aca="false">IF(AO10&gt;AO$34,TRUE())</f>
        <v>1</v>
      </c>
      <c r="AP49" s="246" t="n">
        <f aca="false">IF(AP10&gt;AP$34,TRUE())</f>
        <v>1</v>
      </c>
      <c r="AQ49" s="246" t="n">
        <f aca="false">IF(AQ10&gt;AQ$34,TRUE())</f>
        <v>1</v>
      </c>
      <c r="AR49" s="246" t="n">
        <f aca="false">IF(AR10&gt;AR$34,TRUE())</f>
        <v>1</v>
      </c>
    </row>
    <row r="50" customFormat="false" ht="12.8" hidden="false" customHeight="false" outlineLevel="0" collapsed="false">
      <c r="B50" s="139" t="s">
        <v>185</v>
      </c>
      <c r="C50" s="246" t="n">
        <f aca="false">IF(C11&gt;C$34,TRUE())</f>
        <v>1</v>
      </c>
      <c r="D50" s="246" t="n">
        <f aca="false">IF(D11&gt;D$34,TRUE())</f>
        <v>1</v>
      </c>
      <c r="E50" s="246" t="n">
        <f aca="false">IF(E11&gt;E$34,TRUE())</f>
        <v>1</v>
      </c>
      <c r="F50" s="246" t="n">
        <f aca="false">IF(F11&gt;F$34,TRUE())</f>
        <v>1</v>
      </c>
      <c r="G50" s="246" t="n">
        <f aca="false">IF(G11&gt;G$34,TRUE())</f>
        <v>1</v>
      </c>
      <c r="H50" s="246" t="n">
        <f aca="false">IF(H11&gt;H$34,TRUE())</f>
        <v>1</v>
      </c>
      <c r="I50" s="246" t="n">
        <f aca="false">IF(I11&gt;I$34,TRUE())</f>
        <v>1</v>
      </c>
      <c r="J50" s="246" t="n">
        <f aca="false">IF(J11&gt;J$34,TRUE())</f>
        <v>1</v>
      </c>
      <c r="K50" s="246" t="n">
        <f aca="false">IF(K11&gt;K$34,TRUE())</f>
        <v>1</v>
      </c>
      <c r="L50" s="246" t="n">
        <f aca="false">IF(L11&gt;L$34,TRUE())</f>
        <v>1</v>
      </c>
      <c r="M50" s="246" t="n">
        <f aca="false">IF(M11&gt;M$34,TRUE())</f>
        <v>1</v>
      </c>
      <c r="N50" s="246" t="n">
        <f aca="false">IF(N11&gt;N$34,TRUE())</f>
        <v>1</v>
      </c>
      <c r="O50" s="246" t="n">
        <f aca="false">IF(O11&gt;O$34,TRUE())</f>
        <v>1</v>
      </c>
      <c r="P50" s="246" t="n">
        <f aca="false">IF(P11&gt;P$34,TRUE())</f>
        <v>1</v>
      </c>
      <c r="Q50" s="246" t="n">
        <f aca="false">IF(Q11&gt;Q$34,TRUE())</f>
        <v>1</v>
      </c>
      <c r="R50" s="246" t="n">
        <f aca="false">IF(R11&gt;R$34,TRUE())</f>
        <v>1</v>
      </c>
      <c r="S50" s="246" t="n">
        <f aca="false">IF(S11&gt;S$34,TRUE())</f>
        <v>0</v>
      </c>
      <c r="T50" s="246" t="n">
        <f aca="false">IF(T11&gt;T$34,TRUE())</f>
        <v>0</v>
      </c>
      <c r="U50" s="246" t="n">
        <f aca="false">IF(U11&gt;U$34,TRUE())</f>
        <v>0</v>
      </c>
      <c r="V50" s="246" t="n">
        <f aca="false">IF(V11&gt;V$34,TRUE())</f>
        <v>0</v>
      </c>
      <c r="W50" s="246" t="n">
        <f aca="false">IF(W11&gt;W$34,TRUE())</f>
        <v>0</v>
      </c>
      <c r="X50" s="246" t="n">
        <f aca="false">IF(X11&gt;X$34,TRUE())</f>
        <v>0</v>
      </c>
      <c r="Y50" s="246" t="n">
        <f aca="false">IF(Y11&gt;Y$34,TRUE())</f>
        <v>0</v>
      </c>
      <c r="Z50" s="246" t="n">
        <f aca="false">IF(Z11&gt;Z$34,TRUE())</f>
        <v>0</v>
      </c>
      <c r="AA50" s="246" t="n">
        <f aca="false">IF(AA11&gt;AA$34,TRUE())</f>
        <v>0</v>
      </c>
      <c r="AB50" s="246" t="n">
        <f aca="false">IF(AB11&gt;AB$34,TRUE())</f>
        <v>0</v>
      </c>
      <c r="AC50" s="246" t="n">
        <f aca="false">IF(AC11&gt;AC$34,TRUE())</f>
        <v>0</v>
      </c>
      <c r="AD50" s="246" t="n">
        <f aca="false">IF(AD11&gt;AD$34,TRUE())</f>
        <v>0</v>
      </c>
      <c r="AE50" s="246" t="n">
        <f aca="false">IF(AE11&gt;AE$34,TRUE())</f>
        <v>0</v>
      </c>
      <c r="AF50" s="246" t="n">
        <f aca="false">IF(AF11&gt;AF$34,TRUE())</f>
        <v>0</v>
      </c>
      <c r="AG50" s="246" t="n">
        <f aca="false">IF(AG11&gt;AG$34,TRUE())</f>
        <v>0</v>
      </c>
      <c r="AH50" s="246" t="n">
        <f aca="false">IF(AH11&gt;AH$34,TRUE())</f>
        <v>0</v>
      </c>
      <c r="AI50" s="246" t="n">
        <f aca="false">IF(AI11&gt;AI$34,TRUE())</f>
        <v>0</v>
      </c>
      <c r="AJ50" s="246" t="n">
        <f aca="false">IF(AJ11&gt;AJ$34,TRUE())</f>
        <v>0</v>
      </c>
      <c r="AK50" s="246" t="n">
        <f aca="false">IF(AK11&gt;AK$34,TRUE())</f>
        <v>0</v>
      </c>
      <c r="AL50" s="246" t="n">
        <f aca="false">IF(AL11&gt;AL$34,TRUE())</f>
        <v>0</v>
      </c>
      <c r="AM50" s="246" t="n">
        <f aca="false">IF(AM11&gt;AM$34,TRUE())</f>
        <v>0</v>
      </c>
      <c r="AN50" s="246" t="n">
        <f aca="false">IF(AN11&gt;AN$34,TRUE())</f>
        <v>0</v>
      </c>
      <c r="AO50" s="246" t="n">
        <f aca="false">IF(AO11&gt;AO$34,TRUE())</f>
        <v>0</v>
      </c>
      <c r="AP50" s="246" t="n">
        <f aca="false">IF(AP11&gt;AP$34,TRUE())</f>
        <v>0</v>
      </c>
      <c r="AQ50" s="246" t="n">
        <f aca="false">IF(AQ11&gt;AQ$34,TRUE())</f>
        <v>0</v>
      </c>
      <c r="AR50" s="246" t="n">
        <f aca="false">IF(AR11&gt;AR$34,TRUE())</f>
        <v>0</v>
      </c>
    </row>
    <row r="51" customFormat="false" ht="12.8" hidden="false" customHeight="false" outlineLevel="0" collapsed="false">
      <c r="B51" s="139" t="s">
        <v>29</v>
      </c>
      <c r="C51" s="246" t="n">
        <f aca="false">IF(C12&gt;C$34,TRUE())</f>
        <v>1</v>
      </c>
      <c r="D51" s="246" t="n">
        <f aca="false">IF(D12&gt;D$34,TRUE())</f>
        <v>1</v>
      </c>
      <c r="E51" s="246" t="n">
        <f aca="false">IF(E12&gt;E$34,TRUE())</f>
        <v>1</v>
      </c>
      <c r="F51" s="246" t="n">
        <f aca="false">IF(F12&gt;F$34,TRUE())</f>
        <v>1</v>
      </c>
      <c r="G51" s="246" t="n">
        <f aca="false">IF(G12&gt;G$34,TRUE())</f>
        <v>1</v>
      </c>
      <c r="H51" s="246" t="n">
        <f aca="false">IF(H12&gt;H$34,TRUE())</f>
        <v>1</v>
      </c>
      <c r="I51" s="246" t="n">
        <f aca="false">IF(I12&gt;I$34,TRUE())</f>
        <v>1</v>
      </c>
      <c r="J51" s="246" t="n">
        <f aca="false">IF(J12&gt;J$34,TRUE())</f>
        <v>1</v>
      </c>
      <c r="K51" s="246" t="n">
        <f aca="false">IF(K12&gt;K$34,TRUE())</f>
        <v>1</v>
      </c>
      <c r="L51" s="246" t="n">
        <f aca="false">IF(L12&gt;L$34,TRUE())</f>
        <v>1</v>
      </c>
      <c r="M51" s="246" t="n">
        <f aca="false">IF(M12&gt;M$34,TRUE())</f>
        <v>1</v>
      </c>
      <c r="N51" s="246" t="n">
        <f aca="false">IF(N12&gt;N$34,TRUE())</f>
        <v>1</v>
      </c>
      <c r="O51" s="246" t="n">
        <f aca="false">IF(O12&gt;O$34,TRUE())</f>
        <v>1</v>
      </c>
      <c r="P51" s="246" t="n">
        <f aca="false">IF(P12&gt;P$34,TRUE())</f>
        <v>1</v>
      </c>
      <c r="Q51" s="246" t="n">
        <f aca="false">IF(Q12&gt;Q$34,TRUE())</f>
        <v>1</v>
      </c>
      <c r="R51" s="246" t="n">
        <f aca="false">IF(R12&gt;R$34,TRUE())</f>
        <v>1</v>
      </c>
      <c r="S51" s="246" t="n">
        <f aca="false">IF(S12&gt;S$34,TRUE())</f>
        <v>1</v>
      </c>
      <c r="T51" s="246" t="n">
        <f aca="false">IF(T12&gt;T$34,TRUE())</f>
        <v>1</v>
      </c>
      <c r="U51" s="246" t="n">
        <f aca="false">IF(U12&gt;U$34,TRUE())</f>
        <v>1</v>
      </c>
      <c r="V51" s="246" t="n">
        <f aca="false">IF(V12&gt;V$34,TRUE())</f>
        <v>1</v>
      </c>
      <c r="W51" s="246" t="n">
        <f aca="false">IF(W12&gt;W$34,TRUE())</f>
        <v>1</v>
      </c>
      <c r="X51" s="246" t="n">
        <f aca="false">IF(X12&gt;X$34,TRUE())</f>
        <v>1</v>
      </c>
      <c r="Y51" s="246" t="n">
        <f aca="false">IF(Y12&gt;Y$34,TRUE())</f>
        <v>1</v>
      </c>
      <c r="Z51" s="246" t="n">
        <f aca="false">IF(Z12&gt;Z$34,TRUE())</f>
        <v>1</v>
      </c>
      <c r="AA51" s="246" t="n">
        <f aca="false">IF(AA12&gt;AA$34,TRUE())</f>
        <v>1</v>
      </c>
      <c r="AB51" s="246" t="n">
        <f aca="false">IF(AB12&gt;AB$34,TRUE())</f>
        <v>1</v>
      </c>
      <c r="AC51" s="246" t="n">
        <f aca="false">IF(AC12&gt;AC$34,TRUE())</f>
        <v>1</v>
      </c>
      <c r="AD51" s="246" t="n">
        <f aca="false">IF(AD12&gt;AD$34,TRUE())</f>
        <v>1</v>
      </c>
      <c r="AE51" s="246" t="n">
        <f aca="false">IF(AE12&gt;AE$34,TRUE())</f>
        <v>1</v>
      </c>
      <c r="AF51" s="246" t="n">
        <f aca="false">IF(AF12&gt;AF$34,TRUE())</f>
        <v>1</v>
      </c>
      <c r="AG51" s="246" t="n">
        <f aca="false">IF(AG12&gt;AG$34,TRUE())</f>
        <v>1</v>
      </c>
      <c r="AH51" s="246" t="n">
        <f aca="false">IF(AH12&gt;AH$34,TRUE())</f>
        <v>1</v>
      </c>
      <c r="AI51" s="246" t="n">
        <f aca="false">IF(AI12&gt;AI$34,TRUE())</f>
        <v>1</v>
      </c>
      <c r="AJ51" s="246" t="n">
        <f aca="false">IF(AJ12&gt;AJ$34,TRUE())</f>
        <v>1</v>
      </c>
      <c r="AK51" s="246" t="n">
        <f aca="false">IF(AK12&gt;AK$34,TRUE())</f>
        <v>1</v>
      </c>
      <c r="AL51" s="246" t="n">
        <f aca="false">IF(AL12&gt;AL$34,TRUE())</f>
        <v>1</v>
      </c>
      <c r="AM51" s="246" t="n">
        <f aca="false">IF(AM12&gt;AM$34,TRUE())</f>
        <v>1</v>
      </c>
      <c r="AN51" s="246" t="n">
        <f aca="false">IF(AN12&gt;AN$34,TRUE())</f>
        <v>1</v>
      </c>
      <c r="AO51" s="246" t="n">
        <f aca="false">IF(AO12&gt;AO$34,TRUE())</f>
        <v>1</v>
      </c>
      <c r="AP51" s="246" t="n">
        <f aca="false">IF(AP12&gt;AP$34,TRUE())</f>
        <v>0</v>
      </c>
      <c r="AQ51" s="246" t="n">
        <f aca="false">IF(AQ12&gt;AQ$34,TRUE())</f>
        <v>0</v>
      </c>
      <c r="AR51" s="246" t="n">
        <f aca="false">IF(AR12&gt;AR$34,TRUE())</f>
        <v>0</v>
      </c>
    </row>
    <row r="52" customFormat="false" ht="12.8" hidden="false" customHeight="false" outlineLevel="0" collapsed="false">
      <c r="B52" s="139" t="s">
        <v>186</v>
      </c>
      <c r="C52" s="246" t="n">
        <f aca="false">IF(C13&gt;C$34,TRUE())</f>
        <v>0</v>
      </c>
      <c r="D52" s="246" t="n">
        <f aca="false">IF(D13&gt;D$34,TRUE())</f>
        <v>0</v>
      </c>
      <c r="E52" s="246" t="n">
        <f aca="false">IF(E13&gt;E$34,TRUE())</f>
        <v>0</v>
      </c>
      <c r="F52" s="246" t="n">
        <f aca="false">IF(F13&gt;F$34,TRUE())</f>
        <v>0</v>
      </c>
      <c r="G52" s="246" t="n">
        <f aca="false">IF(G13&gt;G$34,TRUE())</f>
        <v>0</v>
      </c>
      <c r="H52" s="246" t="n">
        <f aca="false">IF(H13&gt;H$34,TRUE())</f>
        <v>0</v>
      </c>
      <c r="I52" s="246" t="n">
        <f aca="false">IF(I13&gt;I$34,TRUE())</f>
        <v>0</v>
      </c>
      <c r="J52" s="246" t="n">
        <f aca="false">IF(J13&gt;J$34,TRUE())</f>
        <v>0</v>
      </c>
      <c r="K52" s="246" t="n">
        <f aca="false">IF(K13&gt;K$34,TRUE())</f>
        <v>0</v>
      </c>
      <c r="L52" s="246" t="n">
        <f aca="false">IF(L13&gt;L$34,TRUE())</f>
        <v>0</v>
      </c>
      <c r="M52" s="246" t="n">
        <f aca="false">IF(M13&gt;M$34,TRUE())</f>
        <v>0</v>
      </c>
      <c r="N52" s="246" t="n">
        <f aca="false">IF(N13&gt;N$34,TRUE())</f>
        <v>0</v>
      </c>
      <c r="O52" s="246" t="n">
        <f aca="false">IF(O13&gt;O$34,TRUE())</f>
        <v>0</v>
      </c>
      <c r="P52" s="246" t="n">
        <f aca="false">IF(P13&gt;P$34,TRUE())</f>
        <v>0</v>
      </c>
      <c r="Q52" s="246" t="n">
        <f aca="false">IF(Q13&gt;Q$34,TRUE())</f>
        <v>0</v>
      </c>
      <c r="R52" s="246" t="n">
        <f aca="false">IF(R13&gt;R$34,TRUE())</f>
        <v>0</v>
      </c>
      <c r="S52" s="246" t="n">
        <f aca="false">IF(S13&gt;S$34,TRUE())</f>
        <v>1</v>
      </c>
      <c r="T52" s="246" t="n">
        <f aca="false">IF(T13&gt;T$34,TRUE())</f>
        <v>1</v>
      </c>
      <c r="U52" s="246" t="n">
        <f aca="false">IF(U13&gt;U$34,TRUE())</f>
        <v>1</v>
      </c>
      <c r="V52" s="246" t="n">
        <f aca="false">IF(V13&gt;V$34,TRUE())</f>
        <v>1</v>
      </c>
      <c r="W52" s="246" t="n">
        <f aca="false">IF(W13&gt;W$34,TRUE())</f>
        <v>1</v>
      </c>
      <c r="X52" s="246" t="n">
        <f aca="false">IF(X13&gt;X$34,TRUE())</f>
        <v>1</v>
      </c>
      <c r="Y52" s="246" t="n">
        <f aca="false">IF(Y13&gt;Y$34,TRUE())</f>
        <v>1</v>
      </c>
      <c r="Z52" s="246" t="n">
        <f aca="false">IF(Z13&gt;Z$34,TRUE())</f>
        <v>1</v>
      </c>
      <c r="AA52" s="246" t="n">
        <f aca="false">IF(AA13&gt;AA$34,TRUE())</f>
        <v>1</v>
      </c>
      <c r="AB52" s="246" t="n">
        <f aca="false">IF(AB13&gt;AB$34,TRUE())</f>
        <v>1</v>
      </c>
      <c r="AC52" s="246" t="n">
        <f aca="false">IF(AC13&gt;AC$34,TRUE())</f>
        <v>1</v>
      </c>
      <c r="AD52" s="246" t="n">
        <f aca="false">IF(AD13&gt;AD$34,TRUE())</f>
        <v>1</v>
      </c>
      <c r="AE52" s="246" t="n">
        <f aca="false">IF(AE13&gt;AE$34,TRUE())</f>
        <v>1</v>
      </c>
      <c r="AF52" s="246" t="n">
        <f aca="false">IF(AF13&gt;AF$34,TRUE())</f>
        <v>1</v>
      </c>
      <c r="AG52" s="246" t="n">
        <f aca="false">IF(AG13&gt;AG$34,TRUE())</f>
        <v>1</v>
      </c>
      <c r="AH52" s="246" t="n">
        <f aca="false">IF(AH13&gt;AH$34,TRUE())</f>
        <v>1</v>
      </c>
      <c r="AI52" s="246" t="n">
        <f aca="false">IF(AI13&gt;AI$34,TRUE())</f>
        <v>1</v>
      </c>
      <c r="AJ52" s="246" t="n">
        <f aca="false">IF(AJ13&gt;AJ$34,TRUE())</f>
        <v>1</v>
      </c>
      <c r="AK52" s="246" t="n">
        <f aca="false">IF(AK13&gt;AK$34,TRUE())</f>
        <v>1</v>
      </c>
      <c r="AL52" s="246" t="n">
        <f aca="false">IF(AL13&gt;AL$34,TRUE())</f>
        <v>1</v>
      </c>
      <c r="AM52" s="246" t="n">
        <f aca="false">IF(AM13&gt;AM$34,TRUE())</f>
        <v>1</v>
      </c>
      <c r="AN52" s="246" t="n">
        <f aca="false">IF(AN13&gt;AN$34,TRUE())</f>
        <v>1</v>
      </c>
      <c r="AO52" s="246" t="n">
        <f aca="false">IF(AO13&gt;AO$34,TRUE())</f>
        <v>1</v>
      </c>
      <c r="AP52" s="246" t="n">
        <f aca="false">IF(AP13&gt;AP$34,TRUE())</f>
        <v>1</v>
      </c>
      <c r="AQ52" s="246" t="n">
        <f aca="false">IF(AQ13&gt;AQ$34,TRUE())</f>
        <v>1</v>
      </c>
      <c r="AR52" s="246" t="n">
        <f aca="false">IF(AR13&gt;AR$34,TRUE())</f>
        <v>1</v>
      </c>
    </row>
    <row r="53" customFormat="false" ht="12.8" hidden="false" customHeight="false" outlineLevel="0" collapsed="false">
      <c r="B53" s="139" t="s">
        <v>187</v>
      </c>
      <c r="C53" s="246" t="n">
        <f aca="false">IF(C14&gt;C$34,TRUE())</f>
        <v>0</v>
      </c>
      <c r="D53" s="246" t="n">
        <f aca="false">IF(D14&gt;D$34,TRUE())</f>
        <v>0</v>
      </c>
      <c r="E53" s="246" t="n">
        <f aca="false">IF(E14&gt;E$34,TRUE())</f>
        <v>0</v>
      </c>
      <c r="F53" s="246" t="n">
        <f aca="false">IF(F14&gt;F$34,TRUE())</f>
        <v>0</v>
      </c>
      <c r="G53" s="246" t="n">
        <f aca="false">IF(G14&gt;G$34,TRUE())</f>
        <v>0</v>
      </c>
      <c r="H53" s="246" t="n">
        <f aca="false">IF(H14&gt;H$34,TRUE())</f>
        <v>0</v>
      </c>
      <c r="I53" s="246" t="n">
        <f aca="false">IF(I14&gt;I$34,TRUE())</f>
        <v>0</v>
      </c>
      <c r="J53" s="246" t="n">
        <f aca="false">IF(J14&gt;J$34,TRUE())</f>
        <v>0</v>
      </c>
      <c r="K53" s="246" t="n">
        <f aca="false">IF(K14&gt;K$34,TRUE())</f>
        <v>0</v>
      </c>
      <c r="L53" s="246" t="n">
        <f aca="false">IF(L14&gt;L$34,TRUE())</f>
        <v>0</v>
      </c>
      <c r="M53" s="246" t="n">
        <f aca="false">IF(M14&gt;M$34,TRUE())</f>
        <v>0</v>
      </c>
      <c r="N53" s="246" t="n">
        <f aca="false">IF(N14&gt;N$34,TRUE())</f>
        <v>0</v>
      </c>
      <c r="O53" s="246" t="n">
        <f aca="false">IF(O14&gt;O$34,TRUE())</f>
        <v>0</v>
      </c>
      <c r="P53" s="246" t="n">
        <f aca="false">IF(P14&gt;P$34,TRUE())</f>
        <v>0</v>
      </c>
      <c r="Q53" s="246" t="n">
        <f aca="false">IF(Q14&gt;Q$34,TRUE())</f>
        <v>0</v>
      </c>
      <c r="R53" s="246" t="n">
        <f aca="false">IF(R14&gt;R$34,TRUE())</f>
        <v>0</v>
      </c>
      <c r="S53" s="246" t="n">
        <f aca="false">IF(S14&gt;S$34,TRUE())</f>
        <v>0</v>
      </c>
      <c r="T53" s="246" t="n">
        <f aca="false">IF(T14&gt;T$34,TRUE())</f>
        <v>0</v>
      </c>
      <c r="U53" s="246" t="n">
        <f aca="false">IF(U14&gt;U$34,TRUE())</f>
        <v>0</v>
      </c>
      <c r="V53" s="246" t="n">
        <f aca="false">IF(V14&gt;V$34,TRUE())</f>
        <v>0</v>
      </c>
      <c r="W53" s="246" t="n">
        <f aca="false">IF(W14&gt;W$34,TRUE())</f>
        <v>0</v>
      </c>
      <c r="X53" s="246" t="n">
        <f aca="false">IF(X14&gt;X$34,TRUE())</f>
        <v>0</v>
      </c>
      <c r="Y53" s="246" t="n">
        <f aca="false">IF(Y14&gt;Y$34,TRUE())</f>
        <v>0</v>
      </c>
      <c r="Z53" s="246" t="n">
        <f aca="false">IF(Z14&gt;Z$34,TRUE())</f>
        <v>0</v>
      </c>
      <c r="AA53" s="246" t="n">
        <f aca="false">IF(AA14&gt;AA$34,TRUE())</f>
        <v>0</v>
      </c>
      <c r="AB53" s="246" t="n">
        <f aca="false">IF(AB14&gt;AB$34,TRUE())</f>
        <v>0</v>
      </c>
      <c r="AC53" s="246" t="n">
        <f aca="false">IF(AC14&gt;AC$34,TRUE())</f>
        <v>0</v>
      </c>
      <c r="AD53" s="246" t="n">
        <f aca="false">IF(AD14&gt;AD$34,TRUE())</f>
        <v>0</v>
      </c>
      <c r="AE53" s="246" t="n">
        <f aca="false">IF(AE14&gt;AE$34,TRUE())</f>
        <v>0</v>
      </c>
      <c r="AF53" s="246" t="n">
        <f aca="false">IF(AF14&gt;AF$34,TRUE())</f>
        <v>0</v>
      </c>
      <c r="AG53" s="246" t="n">
        <f aca="false">IF(AG14&gt;AG$34,TRUE())</f>
        <v>0</v>
      </c>
      <c r="AH53" s="246" t="n">
        <f aca="false">IF(AH14&gt;AH$34,TRUE())</f>
        <v>0</v>
      </c>
      <c r="AI53" s="246" t="n">
        <f aca="false">IF(AI14&gt;AI$34,TRUE())</f>
        <v>0</v>
      </c>
      <c r="AJ53" s="246" t="n">
        <f aca="false">IF(AJ14&gt;AJ$34,TRUE())</f>
        <v>0</v>
      </c>
      <c r="AK53" s="246" t="n">
        <f aca="false">IF(AK14&gt;AK$34,TRUE())</f>
        <v>0</v>
      </c>
      <c r="AL53" s="246" t="n">
        <f aca="false">IF(AL14&gt;AL$34,TRUE())</f>
        <v>0</v>
      </c>
      <c r="AM53" s="246" t="n">
        <f aca="false">IF(AM14&gt;AM$34,TRUE())</f>
        <v>0</v>
      </c>
      <c r="AN53" s="246" t="n">
        <f aca="false">IF(AN14&gt;AN$34,TRUE())</f>
        <v>0</v>
      </c>
      <c r="AO53" s="246" t="n">
        <f aca="false">IF(AO14&gt;AO$34,TRUE())</f>
        <v>0</v>
      </c>
      <c r="AP53" s="246" t="n">
        <f aca="false">IF(AP14&gt;AP$34,TRUE())</f>
        <v>0</v>
      </c>
      <c r="AQ53" s="246" t="n">
        <f aca="false">IF(AQ14&gt;AQ$34,TRUE())</f>
        <v>1</v>
      </c>
      <c r="AR53" s="246" t="n">
        <f aca="false">IF(AR14&gt;AR$34,TRUE())</f>
        <v>1</v>
      </c>
    </row>
    <row r="54" customFormat="false" ht="12.8" hidden="false" customHeight="false" outlineLevel="0" collapsed="false">
      <c r="B54" s="139" t="s">
        <v>190</v>
      </c>
      <c r="C54" s="246" t="n">
        <f aca="false">IF(C17&gt;C$34,TRUE())</f>
        <v>0</v>
      </c>
      <c r="D54" s="246" t="n">
        <f aca="false">IF(D17&gt;D$34,TRUE())</f>
        <v>0</v>
      </c>
      <c r="E54" s="246" t="n">
        <f aca="false">IF(E17&gt;E$34,TRUE())</f>
        <v>0</v>
      </c>
      <c r="F54" s="246" t="n">
        <f aca="false">IF(F17&gt;F$34,TRUE())</f>
        <v>0</v>
      </c>
      <c r="G54" s="246" t="n">
        <f aca="false">IF(G17&gt;G$34,TRUE())</f>
        <v>0</v>
      </c>
      <c r="H54" s="246" t="n">
        <f aca="false">IF(H17&gt;H$34,TRUE())</f>
        <v>0</v>
      </c>
      <c r="I54" s="246" t="n">
        <f aca="false">IF(I17&gt;I$34,TRUE())</f>
        <v>0</v>
      </c>
      <c r="J54" s="246" t="n">
        <f aca="false">IF(J17&gt;J$34,TRUE())</f>
        <v>0</v>
      </c>
      <c r="K54" s="246" t="n">
        <f aca="false">IF(K17&gt;K$34,TRUE())</f>
        <v>0</v>
      </c>
      <c r="L54" s="246" t="n">
        <f aca="false">IF(L17&gt;L$34,TRUE())</f>
        <v>0</v>
      </c>
      <c r="M54" s="246" t="n">
        <f aca="false">IF(M17&gt;M$34,TRUE())</f>
        <v>0</v>
      </c>
      <c r="N54" s="246" t="n">
        <f aca="false">IF(N17&gt;N$34,TRUE())</f>
        <v>0</v>
      </c>
      <c r="O54" s="246" t="n">
        <f aca="false">IF(O17&gt;O$34,TRUE())</f>
        <v>0</v>
      </c>
      <c r="P54" s="246" t="n">
        <f aca="false">IF(P17&gt;P$34,TRUE())</f>
        <v>0</v>
      </c>
      <c r="Q54" s="246" t="n">
        <f aca="false">IF(Q17&gt;Q$34,TRUE())</f>
        <v>0</v>
      </c>
      <c r="R54" s="246" t="n">
        <f aca="false">IF(R17&gt;R$34,TRUE())</f>
        <v>0</v>
      </c>
      <c r="S54" s="246" t="n">
        <f aca="false">IF(S17&gt;S$34,TRUE())</f>
        <v>0</v>
      </c>
      <c r="T54" s="246" t="n">
        <f aca="false">IF(T17&gt;T$34,TRUE())</f>
        <v>0</v>
      </c>
      <c r="U54" s="246" t="n">
        <f aca="false">IF(U17&gt;U$34,TRUE())</f>
        <v>0</v>
      </c>
      <c r="V54" s="246" t="n">
        <f aca="false">IF(V17&gt;V$34,TRUE())</f>
        <v>0</v>
      </c>
      <c r="W54" s="246" t="n">
        <f aca="false">IF(W17&gt;W$34,TRUE())</f>
        <v>0</v>
      </c>
      <c r="X54" s="246" t="n">
        <f aca="false">IF(X17&gt;X$34,TRUE())</f>
        <v>0</v>
      </c>
      <c r="Y54" s="246" t="n">
        <f aca="false">IF(Y17&gt;Y$34,TRUE())</f>
        <v>0</v>
      </c>
      <c r="Z54" s="246" t="n">
        <f aca="false">IF(Z17&gt;Z$34,TRUE())</f>
        <v>0</v>
      </c>
      <c r="AA54" s="246" t="n">
        <f aca="false">IF(AA17&gt;AA$34,TRUE())</f>
        <v>0</v>
      </c>
      <c r="AB54" s="246" t="n">
        <f aca="false">IF(AB17&gt;AB$34,TRUE())</f>
        <v>0</v>
      </c>
      <c r="AC54" s="246" t="n">
        <f aca="false">IF(AC17&gt;AC$34,TRUE())</f>
        <v>0</v>
      </c>
      <c r="AD54" s="246" t="n">
        <f aca="false">IF(AD17&gt;AD$34,TRUE())</f>
        <v>0</v>
      </c>
      <c r="AE54" s="246" t="n">
        <f aca="false">IF(AE17&gt;AE$34,TRUE())</f>
        <v>0</v>
      </c>
      <c r="AF54" s="246" t="n">
        <f aca="false">IF(AF17&gt;AF$34,TRUE())</f>
        <v>0</v>
      </c>
      <c r="AG54" s="246" t="n">
        <f aca="false">IF(AG17&gt;AG$34,TRUE())</f>
        <v>0</v>
      </c>
      <c r="AH54" s="246" t="n">
        <f aca="false">IF(AH17&gt;AH$34,TRUE())</f>
        <v>0</v>
      </c>
      <c r="AI54" s="246" t="n">
        <f aca="false">IF(AI17&gt;AI$34,TRUE())</f>
        <v>0</v>
      </c>
      <c r="AJ54" s="246" t="n">
        <f aca="false">IF(AJ17&gt;AJ$34,TRUE())</f>
        <v>0</v>
      </c>
      <c r="AK54" s="246" t="n">
        <f aca="false">IF(AK17&gt;AK$34,TRUE())</f>
        <v>0</v>
      </c>
      <c r="AL54" s="246" t="n">
        <f aca="false">IF(AL17&gt;AL$34,TRUE())</f>
        <v>0</v>
      </c>
      <c r="AM54" s="246" t="n">
        <f aca="false">IF(AM17&gt;AM$34,TRUE())</f>
        <v>0</v>
      </c>
      <c r="AN54" s="246" t="n">
        <f aca="false">IF(AN17&gt;AN$34,TRUE())</f>
        <v>0</v>
      </c>
      <c r="AO54" s="246" t="n">
        <f aca="false">IF(AO17&gt;AO$34,TRUE())</f>
        <v>0</v>
      </c>
      <c r="AP54" s="246" t="n">
        <f aca="false">IF(AP17&gt;AP$34,TRUE())</f>
        <v>1</v>
      </c>
      <c r="AQ54" s="246" t="n">
        <f aca="false">IF(AQ17&gt;AQ$34,TRUE())</f>
        <v>0</v>
      </c>
      <c r="AR54" s="246" t="n">
        <f aca="false">IF(AR17&gt;AR$34,TRUE())</f>
        <v>0</v>
      </c>
    </row>
    <row r="58" customFormat="false" ht="12.8" hidden="false" customHeight="false" outlineLevel="0" collapsed="false">
      <c r="B58" s="1"/>
    </row>
    <row r="59" customFormat="false" ht="12.8" hidden="false" customHeight="false" outlineLevel="0" collapsed="false">
      <c r="B59" s="1"/>
    </row>
    <row r="62" customFormat="false" ht="12.8" hidden="false" customHeight="false" outlineLevel="0" collapsed="false">
      <c r="B62" s="1"/>
    </row>
  </sheetData>
  <autoFilter ref="A1:AQ29"/>
  <mergeCells count="8">
    <mergeCell ref="A31:B31"/>
    <mergeCell ref="A32:B32"/>
    <mergeCell ref="A33:B33"/>
    <mergeCell ref="A34:B34"/>
    <mergeCell ref="A35:B35"/>
    <mergeCell ref="A37:B37"/>
    <mergeCell ref="A38:B38"/>
    <mergeCell ref="A40:B40"/>
  </mergeCells>
  <conditionalFormatting sqref="C41:AR54">
    <cfRule type="cellIs" priority="2" operator="equal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2A6099"/>
    <pageSetUpPr fitToPage="false"/>
  </sheetPr>
  <dimension ref="A1:AC39"/>
  <sheetViews>
    <sheetView showFormulas="false" showGridLines="true" showRowColHeaders="true" showZeros="true" rightToLeft="false" tabSelected="false" showOutlineSymbols="true" defaultGridColor="true" view="normal" topLeftCell="A10" colorId="64" zoomScale="55" zoomScaleNormal="55" zoomScalePageLayoutView="100" workbookViewId="0">
      <selection pane="topLeft" activeCell="E36" activeCellId="0" sqref="E3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5.85"/>
    <col collapsed="false" customWidth="true" hidden="false" outlineLevel="0" max="2" min="2" style="1" width="13.12"/>
    <col collapsed="false" customWidth="true" hidden="false" outlineLevel="0" max="4" min="3" style="1" width="14.09"/>
    <col collapsed="false" customWidth="true" hidden="false" outlineLevel="0" max="5" min="5" style="1" width="13.12"/>
    <col collapsed="false" customWidth="true" hidden="false" outlineLevel="0" max="6" min="6" style="1" width="14.09"/>
    <col collapsed="false" customWidth="true" hidden="false" outlineLevel="0" max="9" min="7" style="1" width="13.12"/>
    <col collapsed="false" customWidth="true" hidden="false" outlineLevel="0" max="10" min="10" style="1" width="14.09"/>
    <col collapsed="false" customWidth="true" hidden="false" outlineLevel="0" max="11" min="11" style="1" width="13.12"/>
    <col collapsed="false" customWidth="true" hidden="false" outlineLevel="0" max="16" min="13" style="1" width="14.09"/>
    <col collapsed="false" customWidth="true" hidden="false" outlineLevel="0" max="17" min="17" style="1" width="13.12"/>
    <col collapsed="false" customWidth="true" hidden="false" outlineLevel="0" max="18" min="18" style="1" width="14.09"/>
    <col collapsed="false" customWidth="true" hidden="false" outlineLevel="0" max="19" min="19" style="1" width="15.06"/>
    <col collapsed="false" customWidth="true" hidden="false" outlineLevel="0" max="21" min="20" style="1" width="13.12"/>
    <col collapsed="false" customWidth="true" hidden="false" outlineLevel="0" max="23" min="22" style="1" width="13.07"/>
    <col collapsed="false" customWidth="true" hidden="false" outlineLevel="0" max="24" min="24" style="1" width="13.12"/>
    <col collapsed="false" customWidth="true" hidden="false" outlineLevel="0" max="25" min="25" style="1" width="13.63"/>
    <col collapsed="false" customWidth="true" hidden="false" outlineLevel="0" max="26" min="26" style="1" width="12.79"/>
    <col collapsed="false" customWidth="true" hidden="false" outlineLevel="0" max="27" min="27" style="1" width="13.9"/>
    <col collapsed="false" customWidth="true" hidden="false" outlineLevel="0" max="29" min="29" style="1" width="14.09"/>
  </cols>
  <sheetData>
    <row r="1" customFormat="false" ht="12.8" hidden="false" customHeight="false" outlineLevel="0" collapsed="false">
      <c r="A1" s="180" t="s">
        <v>209</v>
      </c>
      <c r="B1" s="139" t="s">
        <v>197</v>
      </c>
      <c r="C1" s="139" t="s">
        <v>30</v>
      </c>
      <c r="D1" s="139" t="s">
        <v>199</v>
      </c>
      <c r="E1" s="139" t="s">
        <v>188</v>
      </c>
      <c r="F1" s="139" t="s">
        <v>195</v>
      </c>
      <c r="G1" s="139" t="s">
        <v>184</v>
      </c>
      <c r="H1" s="139" t="s">
        <v>194</v>
      </c>
      <c r="I1" s="139" t="s">
        <v>196</v>
      </c>
      <c r="J1" s="139" t="s">
        <v>24</v>
      </c>
      <c r="K1" s="139" t="s">
        <v>193</v>
      </c>
      <c r="L1" s="139" t="s">
        <v>200</v>
      </c>
      <c r="M1" s="139" t="s">
        <v>27</v>
      </c>
      <c r="N1" s="139" t="s">
        <v>186</v>
      </c>
      <c r="O1" s="139" t="s">
        <v>180</v>
      </c>
      <c r="P1" s="139" t="s">
        <v>181</v>
      </c>
      <c r="Q1" s="139" t="s">
        <v>31</v>
      </c>
      <c r="R1" s="139" t="s">
        <v>190</v>
      </c>
      <c r="S1" s="139" t="s">
        <v>29</v>
      </c>
      <c r="T1" s="139" t="s">
        <v>198</v>
      </c>
      <c r="U1" s="139" t="s">
        <v>26</v>
      </c>
      <c r="V1" s="139" t="s">
        <v>187</v>
      </c>
      <c r="W1" s="139" t="s">
        <v>182</v>
      </c>
      <c r="X1" s="139" t="s">
        <v>191</v>
      </c>
      <c r="Y1" s="139" t="s">
        <v>189</v>
      </c>
      <c r="Z1" s="139" t="s">
        <v>185</v>
      </c>
      <c r="AA1" s="139" t="s">
        <v>192</v>
      </c>
      <c r="AB1" s="139" t="s">
        <v>28</v>
      </c>
      <c r="AC1" s="139" t="s">
        <v>183</v>
      </c>
    </row>
    <row r="2" s="158" customFormat="true" ht="12.8" hidden="false" customHeight="false" outlineLevel="0" collapsed="false">
      <c r="A2" s="158" t="s">
        <v>231</v>
      </c>
      <c r="B2" s="247" t="n">
        <v>1500</v>
      </c>
      <c r="C2" s="247" t="n">
        <v>22010.9</v>
      </c>
      <c r="D2" s="247" t="n">
        <v>18001</v>
      </c>
      <c r="E2" s="247" t="n">
        <v>6700</v>
      </c>
      <c r="F2" s="247" t="n">
        <v>10011</v>
      </c>
      <c r="G2" s="247" t="n">
        <v>1440.36</v>
      </c>
      <c r="H2" s="247" t="n">
        <v>3168</v>
      </c>
      <c r="I2" s="247" t="n">
        <v>3616</v>
      </c>
      <c r="J2" s="247" t="n">
        <v>23459.94</v>
      </c>
      <c r="K2" s="247" t="n">
        <v>1200</v>
      </c>
      <c r="L2" s="247" t="n">
        <v>231</v>
      </c>
      <c r="M2" s="247" t="n">
        <v>84875.19</v>
      </c>
      <c r="N2" s="247" t="n">
        <v>7570</v>
      </c>
      <c r="O2" s="247" t="n">
        <v>411.33</v>
      </c>
      <c r="P2" s="247" t="n">
        <v>43161.88</v>
      </c>
      <c r="Q2" s="247" t="n">
        <v>5919</v>
      </c>
      <c r="R2" s="247" t="n">
        <v>34500</v>
      </c>
      <c r="S2" s="247" t="n">
        <v>142865</v>
      </c>
      <c r="T2" s="247" t="n">
        <v>2000</v>
      </c>
      <c r="U2" s="247" t="n">
        <v>3350</v>
      </c>
      <c r="V2" s="247" t="n">
        <v>140</v>
      </c>
      <c r="W2" s="247" t="n">
        <v>1800</v>
      </c>
      <c r="X2" s="247" t="n">
        <v>3052.67</v>
      </c>
      <c r="Y2" s="247" t="n">
        <v>1800</v>
      </c>
      <c r="Z2" s="247" t="n">
        <v>7000</v>
      </c>
      <c r="AA2" s="247" t="n">
        <v>53560</v>
      </c>
      <c r="AB2" s="247" t="n">
        <v>315</v>
      </c>
      <c r="AC2" s="247" t="n">
        <v>37150</v>
      </c>
    </row>
    <row r="3" customFormat="false" ht="12.8" hidden="false" customHeight="false" outlineLevel="0" collapsed="false">
      <c r="A3" s="1" t="s">
        <v>42</v>
      </c>
      <c r="B3" s="247" t="n">
        <v>1500</v>
      </c>
      <c r="C3" s="247" t="n">
        <v>22298.95</v>
      </c>
      <c r="D3" s="247" t="n">
        <v>18001</v>
      </c>
      <c r="E3" s="247" t="n">
        <v>6700</v>
      </c>
      <c r="F3" s="247" t="n">
        <v>10011</v>
      </c>
      <c r="G3" s="247" t="n">
        <v>1440</v>
      </c>
      <c r="H3" s="247" t="n">
        <v>3168</v>
      </c>
      <c r="I3" s="247" t="n">
        <v>3616</v>
      </c>
      <c r="J3" s="247" t="n">
        <v>24277.41</v>
      </c>
      <c r="K3" s="247" t="n">
        <v>1200</v>
      </c>
      <c r="L3" s="247" t="n">
        <v>231</v>
      </c>
      <c r="M3" s="247" t="n">
        <v>85000</v>
      </c>
      <c r="N3" s="247" t="n">
        <v>7350</v>
      </c>
      <c r="O3" s="247" t="n">
        <v>417</v>
      </c>
      <c r="P3" s="247" t="n">
        <v>44263.5</v>
      </c>
      <c r="Q3" s="247" t="n">
        <v>5919</v>
      </c>
      <c r="R3" s="247" t="n">
        <v>34500</v>
      </c>
      <c r="S3" s="247" t="n">
        <v>142865</v>
      </c>
      <c r="T3" s="247" t="n">
        <v>2000</v>
      </c>
      <c r="U3" s="247" t="n">
        <v>3080.43</v>
      </c>
      <c r="V3" s="247" t="n">
        <v>140</v>
      </c>
      <c r="W3" s="247" t="n">
        <v>1800</v>
      </c>
      <c r="X3" s="247" t="n">
        <v>3052.67</v>
      </c>
      <c r="Y3" s="247" t="n">
        <v>1833</v>
      </c>
      <c r="Z3" s="247" t="n">
        <v>7190</v>
      </c>
      <c r="AA3" s="247" t="n">
        <v>53560</v>
      </c>
      <c r="AB3" s="247" t="n">
        <v>315</v>
      </c>
      <c r="AC3" s="247" t="n">
        <v>37150</v>
      </c>
    </row>
    <row r="4" customFormat="false" ht="12.8" hidden="false" customHeight="false" outlineLevel="0" collapsed="false">
      <c r="A4" s="40" t="s">
        <v>41</v>
      </c>
      <c r="B4" s="247" t="n">
        <v>1500</v>
      </c>
      <c r="C4" s="247" t="n">
        <v>22128.55</v>
      </c>
      <c r="D4" s="247" t="n">
        <v>15550</v>
      </c>
      <c r="E4" s="247" t="n">
        <v>6700</v>
      </c>
      <c r="F4" s="247" t="n">
        <v>10000</v>
      </c>
      <c r="G4" s="247" t="n">
        <v>1440</v>
      </c>
      <c r="H4" s="247" t="n">
        <v>3168</v>
      </c>
      <c r="I4" s="247" t="n">
        <v>3616</v>
      </c>
      <c r="J4" s="247" t="n">
        <v>23468.23</v>
      </c>
      <c r="K4" s="247" t="n">
        <v>1200</v>
      </c>
      <c r="L4" s="247" t="n">
        <v>231</v>
      </c>
      <c r="M4" s="247" t="n">
        <v>81499.61</v>
      </c>
      <c r="N4" s="247" t="n">
        <v>8000</v>
      </c>
      <c r="O4" s="247" t="n">
        <v>419.11</v>
      </c>
      <c r="P4" s="247" t="n">
        <v>41326.84</v>
      </c>
      <c r="Q4" s="247" t="n">
        <v>5348.65</v>
      </c>
      <c r="R4" s="247" t="n">
        <v>34500</v>
      </c>
      <c r="S4" s="247" t="n">
        <v>148624.5</v>
      </c>
      <c r="T4" s="247" t="n">
        <v>2000</v>
      </c>
      <c r="U4" s="247" t="n">
        <v>3100</v>
      </c>
      <c r="V4" s="247" t="n">
        <v>136.63</v>
      </c>
      <c r="W4" s="247" t="n">
        <v>1569.09</v>
      </c>
      <c r="X4" s="247" t="n">
        <v>2970</v>
      </c>
      <c r="Y4" s="247" t="n">
        <v>1550</v>
      </c>
      <c r="Z4" s="247" t="n">
        <v>6950</v>
      </c>
      <c r="AA4" s="247" t="n">
        <v>53560</v>
      </c>
      <c r="AB4" s="247" t="n">
        <v>315</v>
      </c>
      <c r="AC4" s="247" t="n">
        <v>37200</v>
      </c>
    </row>
    <row r="5" customFormat="false" ht="12.8" hidden="false" customHeight="false" outlineLevel="0" collapsed="false">
      <c r="A5" s="1" t="s">
        <v>40</v>
      </c>
      <c r="B5" s="247" t="n">
        <v>1600</v>
      </c>
      <c r="C5" s="247" t="n">
        <v>20589</v>
      </c>
      <c r="D5" s="247" t="n">
        <v>15550</v>
      </c>
      <c r="E5" s="247" t="n">
        <v>6700</v>
      </c>
      <c r="F5" s="247" t="n">
        <v>10999</v>
      </c>
      <c r="G5" s="247" t="n">
        <v>1340</v>
      </c>
      <c r="H5" s="247" t="n">
        <v>3168</v>
      </c>
      <c r="I5" s="247" t="n">
        <v>3616</v>
      </c>
      <c r="J5" s="247" t="n">
        <v>21699.66</v>
      </c>
      <c r="K5" s="247" t="n">
        <v>1200</v>
      </c>
      <c r="L5" s="247" t="n">
        <v>231</v>
      </c>
      <c r="M5" s="247" t="n">
        <v>78949.9</v>
      </c>
      <c r="N5" s="247" t="n">
        <v>6502</v>
      </c>
      <c r="O5" s="247" t="n">
        <v>420.17</v>
      </c>
      <c r="P5" s="247" t="n">
        <v>38900</v>
      </c>
      <c r="Q5" s="247" t="n">
        <v>4900</v>
      </c>
      <c r="R5" s="247" t="n">
        <v>34500</v>
      </c>
      <c r="S5" s="247" t="n">
        <v>116000</v>
      </c>
      <c r="T5" s="247" t="n">
        <v>2000</v>
      </c>
      <c r="U5" s="247" t="n">
        <v>3000</v>
      </c>
      <c r="V5" s="247" t="n">
        <v>139</v>
      </c>
      <c r="W5" s="247" t="n">
        <v>1560</v>
      </c>
      <c r="X5" s="247" t="n">
        <v>3000</v>
      </c>
      <c r="Y5" s="247" t="n">
        <v>1462.5</v>
      </c>
      <c r="Z5" s="247" t="n">
        <v>6750</v>
      </c>
      <c r="AA5" s="247" t="n">
        <v>53560</v>
      </c>
      <c r="AB5" s="247" t="n">
        <v>315</v>
      </c>
      <c r="AC5" s="247" t="n">
        <v>37200</v>
      </c>
    </row>
    <row r="6" customFormat="false" ht="12.8" hidden="false" customHeight="false" outlineLevel="0" collapsed="false">
      <c r="A6" s="40" t="s">
        <v>38</v>
      </c>
      <c r="B6" s="247" t="n">
        <v>1200</v>
      </c>
      <c r="C6" s="247" t="n">
        <v>20077.78</v>
      </c>
      <c r="D6" s="247" t="n">
        <v>15550</v>
      </c>
      <c r="E6" s="247" t="n">
        <v>6500</v>
      </c>
      <c r="F6" s="247" t="n">
        <v>10010</v>
      </c>
      <c r="G6" s="247" t="n">
        <v>1380</v>
      </c>
      <c r="H6" s="247" t="n">
        <v>3168</v>
      </c>
      <c r="I6" s="247" t="n">
        <v>3616</v>
      </c>
      <c r="J6" s="247" t="n">
        <v>18005.47</v>
      </c>
      <c r="K6" s="247" t="n">
        <v>1237</v>
      </c>
      <c r="L6" s="247" t="n">
        <v>231</v>
      </c>
      <c r="M6" s="247" t="n">
        <v>70977.57</v>
      </c>
      <c r="N6" s="247" t="n">
        <v>5722</v>
      </c>
      <c r="O6" s="247" t="n">
        <v>420</v>
      </c>
      <c r="P6" s="247" t="n">
        <v>38080.35</v>
      </c>
      <c r="Q6" s="247" t="n">
        <v>5146</v>
      </c>
      <c r="R6" s="247" t="n">
        <v>34300</v>
      </c>
      <c r="S6" s="247" t="n">
        <v>109000</v>
      </c>
      <c r="T6" s="247" t="n">
        <v>2000</v>
      </c>
      <c r="U6" s="247" t="n">
        <v>2900</v>
      </c>
      <c r="V6" s="247" t="n">
        <v>132</v>
      </c>
      <c r="W6" s="247" t="n">
        <v>1592.24</v>
      </c>
      <c r="X6" s="247" t="n">
        <v>2881</v>
      </c>
      <c r="Y6" s="247" t="n">
        <v>1450</v>
      </c>
      <c r="Z6" s="247" t="n">
        <v>7134.5</v>
      </c>
      <c r="AA6" s="247" t="n">
        <v>52002</v>
      </c>
      <c r="AB6" s="247" t="n">
        <v>315</v>
      </c>
      <c r="AC6" s="247" t="n">
        <v>31250</v>
      </c>
    </row>
    <row r="7" customFormat="false" ht="12.8" hidden="false" customHeight="false" outlineLevel="0" collapsed="false">
      <c r="A7" s="1" t="s">
        <v>37</v>
      </c>
      <c r="B7" s="247" t="n">
        <v>1200</v>
      </c>
      <c r="C7" s="247" t="n">
        <v>20395.21</v>
      </c>
      <c r="D7" s="247" t="n">
        <v>15550</v>
      </c>
      <c r="E7" s="247" t="n">
        <v>6500</v>
      </c>
      <c r="F7" s="247" t="n">
        <v>10000</v>
      </c>
      <c r="G7" s="247" t="n">
        <v>1230</v>
      </c>
      <c r="H7" s="247" t="n">
        <v>3168</v>
      </c>
      <c r="I7" s="247" t="n">
        <v>3604</v>
      </c>
      <c r="J7" s="247" t="n">
        <v>17947.95</v>
      </c>
      <c r="K7" s="247" t="n">
        <v>1237</v>
      </c>
      <c r="L7" s="247" t="n">
        <v>231</v>
      </c>
      <c r="M7" s="247" t="n">
        <v>67999.98</v>
      </c>
      <c r="N7" s="247" t="n">
        <v>5150</v>
      </c>
      <c r="O7" s="247" t="n">
        <v>420</v>
      </c>
      <c r="P7" s="247" t="n">
        <v>39750</v>
      </c>
      <c r="Q7" s="247" t="n">
        <v>5146</v>
      </c>
      <c r="R7" s="247" t="n">
        <v>33301</v>
      </c>
      <c r="S7" s="247" t="n">
        <v>103581.12</v>
      </c>
      <c r="T7" s="247" t="n">
        <v>2000</v>
      </c>
      <c r="U7" s="247" t="n">
        <v>2647</v>
      </c>
      <c r="V7" s="247" t="n">
        <v>133</v>
      </c>
      <c r="W7" s="247" t="n">
        <v>1512.34</v>
      </c>
      <c r="X7" s="247" t="n">
        <v>2800</v>
      </c>
      <c r="Y7" s="247" t="n">
        <v>1455</v>
      </c>
      <c r="Z7" s="247" t="n">
        <v>6932</v>
      </c>
      <c r="AA7" s="247" t="n">
        <v>50500</v>
      </c>
      <c r="AB7" s="247" t="n">
        <v>309</v>
      </c>
      <c r="AC7" s="247" t="n">
        <v>31250</v>
      </c>
    </row>
    <row r="8" customFormat="false" ht="12.8" hidden="false" customHeight="false" outlineLevel="0" collapsed="false">
      <c r="A8" s="40" t="s">
        <v>36</v>
      </c>
      <c r="B8" s="247" t="n">
        <v>1200</v>
      </c>
      <c r="C8" s="247" t="n">
        <v>20247.21</v>
      </c>
      <c r="D8" s="247" t="n">
        <v>15550</v>
      </c>
      <c r="E8" s="247" t="n">
        <v>6100</v>
      </c>
      <c r="F8" s="247" t="n">
        <v>10002</v>
      </c>
      <c r="G8" s="247" t="n">
        <v>1172.86</v>
      </c>
      <c r="H8" s="247" t="n">
        <v>2987</v>
      </c>
      <c r="I8" s="247" t="n">
        <v>3600</v>
      </c>
      <c r="J8" s="247" t="n">
        <v>16709.04</v>
      </c>
      <c r="K8" s="247" t="n">
        <v>1237</v>
      </c>
      <c r="L8" s="247" t="n">
        <v>219</v>
      </c>
      <c r="M8" s="247" t="n">
        <v>65500.02</v>
      </c>
      <c r="N8" s="247" t="n">
        <v>5000</v>
      </c>
      <c r="O8" s="247" t="n">
        <v>420</v>
      </c>
      <c r="P8" s="247" t="n">
        <v>33508.7</v>
      </c>
      <c r="Q8" s="247" t="n">
        <v>4900</v>
      </c>
      <c r="R8" s="247" t="n">
        <v>33301</v>
      </c>
      <c r="S8" s="247" t="n">
        <v>98590.91</v>
      </c>
      <c r="T8" s="247" t="n">
        <v>2000</v>
      </c>
      <c r="U8" s="247" t="n">
        <v>2550</v>
      </c>
      <c r="V8" s="247" t="n">
        <v>145</v>
      </c>
      <c r="W8" s="247" t="n">
        <v>1410</v>
      </c>
      <c r="X8" s="247" t="n">
        <v>2800</v>
      </c>
      <c r="Y8" s="247" t="n">
        <v>1449</v>
      </c>
      <c r="Z8" s="247" t="n">
        <v>7080</v>
      </c>
      <c r="AA8" s="247" t="n">
        <v>51400</v>
      </c>
      <c r="AB8" s="247" t="n">
        <v>300</v>
      </c>
      <c r="AC8" s="247" t="n">
        <v>30500</v>
      </c>
    </row>
    <row r="9" s="158" customFormat="true" ht="12.8" hidden="false" customHeight="false" outlineLevel="0" collapsed="false">
      <c r="A9" s="158" t="s">
        <v>35</v>
      </c>
      <c r="B9" s="248" t="n">
        <v>1000</v>
      </c>
      <c r="C9" s="248" t="n">
        <v>18154.55</v>
      </c>
      <c r="D9" s="248" t="n">
        <v>15550</v>
      </c>
      <c r="E9" s="248" t="n">
        <v>6101</v>
      </c>
      <c r="F9" s="248" t="n">
        <v>10700</v>
      </c>
      <c r="G9" s="248" t="n">
        <v>1179.25</v>
      </c>
      <c r="H9" s="248" t="n">
        <v>2987</v>
      </c>
      <c r="I9" s="248" t="n">
        <v>3600</v>
      </c>
      <c r="J9" s="248" t="n">
        <v>14226.83</v>
      </c>
      <c r="K9" s="248" t="n">
        <v>1237</v>
      </c>
      <c r="L9" s="248" t="n">
        <v>220</v>
      </c>
      <c r="M9" s="248" t="n">
        <v>64375.5</v>
      </c>
      <c r="N9" s="248" t="n">
        <v>4774.12</v>
      </c>
      <c r="O9" s="248" t="n">
        <v>383.8</v>
      </c>
      <c r="P9" s="248" t="n">
        <v>29539.32</v>
      </c>
      <c r="Q9" s="248" t="n">
        <v>4990</v>
      </c>
      <c r="R9" s="248" t="n">
        <v>30101</v>
      </c>
      <c r="S9" s="248" t="n">
        <v>93000</v>
      </c>
      <c r="T9" s="248" t="n">
        <v>1400</v>
      </c>
      <c r="U9" s="248" t="n">
        <v>2400</v>
      </c>
      <c r="V9" s="248" t="n">
        <v>127</v>
      </c>
      <c r="W9" s="248" t="n">
        <v>1317.78</v>
      </c>
      <c r="X9" s="248" t="n">
        <v>2989</v>
      </c>
      <c r="Y9" s="248" t="n">
        <v>1450</v>
      </c>
      <c r="Z9" s="248" t="n">
        <v>5665.15</v>
      </c>
      <c r="AA9" s="248" t="n">
        <v>51400</v>
      </c>
      <c r="AB9" s="248" t="n">
        <v>300</v>
      </c>
      <c r="AC9" s="248" t="n">
        <v>30385</v>
      </c>
    </row>
    <row r="10" customFormat="false" ht="12.8" hidden="false" customHeight="false" outlineLevel="0" collapsed="false">
      <c r="A10" s="1" t="s">
        <v>33</v>
      </c>
      <c r="B10" s="247" t="n">
        <v>865</v>
      </c>
      <c r="C10" s="247" t="n">
        <v>17587.5</v>
      </c>
      <c r="D10" s="247" t="n">
        <v>15550</v>
      </c>
      <c r="E10" s="247" t="n">
        <v>5761</v>
      </c>
      <c r="F10" s="247" t="n">
        <v>10850</v>
      </c>
      <c r="G10" s="247" t="n">
        <v>1115.6</v>
      </c>
      <c r="H10" s="247" t="n">
        <v>2900</v>
      </c>
      <c r="I10" s="247" t="n">
        <v>3600</v>
      </c>
      <c r="J10" s="247" t="n">
        <v>12490.76</v>
      </c>
      <c r="K10" s="247" t="n">
        <v>1237</v>
      </c>
      <c r="L10" s="247" t="n">
        <v>206</v>
      </c>
      <c r="M10" s="247" t="n">
        <v>65250</v>
      </c>
      <c r="N10" s="247" t="n">
        <v>4400</v>
      </c>
      <c r="O10" s="247" t="n">
        <v>400</v>
      </c>
      <c r="P10" s="247" t="n">
        <v>28208.33</v>
      </c>
      <c r="Q10" s="247" t="n">
        <v>6070.3</v>
      </c>
      <c r="R10" s="247" t="n">
        <v>30101</v>
      </c>
      <c r="S10" s="247" t="n">
        <v>85000</v>
      </c>
      <c r="T10" s="247" t="n">
        <v>2000</v>
      </c>
      <c r="U10" s="247" t="n">
        <v>2701</v>
      </c>
      <c r="V10" s="247" t="n">
        <v>126</v>
      </c>
      <c r="W10" s="247" t="n">
        <v>1296.8</v>
      </c>
      <c r="X10" s="247" t="n">
        <v>3100</v>
      </c>
      <c r="Y10" s="247" t="n">
        <v>1250.15</v>
      </c>
      <c r="Z10" s="247" t="n">
        <v>5000</v>
      </c>
      <c r="AA10" s="247" t="n">
        <v>51410</v>
      </c>
      <c r="AB10" s="247" t="n">
        <v>300</v>
      </c>
      <c r="AC10" s="247" t="n">
        <v>28899</v>
      </c>
    </row>
    <row r="11" customFormat="false" ht="12.8" hidden="false" customHeight="false" outlineLevel="0" collapsed="false">
      <c r="A11" s="166" t="s">
        <v>32</v>
      </c>
      <c r="B11" s="247" t="n">
        <v>865</v>
      </c>
      <c r="C11" s="247" t="n">
        <v>17514.13</v>
      </c>
      <c r="D11" s="247" t="n">
        <v>15550</v>
      </c>
      <c r="E11" s="247" t="n">
        <v>5761</v>
      </c>
      <c r="F11" s="247" t="n">
        <v>10850</v>
      </c>
      <c r="G11" s="247" t="n">
        <v>1110</v>
      </c>
      <c r="H11" s="247" t="n">
        <v>2900</v>
      </c>
      <c r="I11" s="247" t="n">
        <v>3600</v>
      </c>
      <c r="J11" s="247" t="n">
        <v>12440.07</v>
      </c>
      <c r="K11" s="247" t="n">
        <v>1237</v>
      </c>
      <c r="L11" s="247" t="n">
        <v>206</v>
      </c>
      <c r="M11" s="247" t="n">
        <v>65300</v>
      </c>
      <c r="N11" s="247" t="n">
        <v>4400</v>
      </c>
      <c r="O11" s="247" t="n">
        <v>400</v>
      </c>
      <c r="P11" s="247" t="n">
        <v>28300</v>
      </c>
      <c r="Q11" s="247" t="n">
        <v>6097.84</v>
      </c>
      <c r="R11" s="247" t="n">
        <v>30101</v>
      </c>
      <c r="S11" s="247" t="n">
        <v>85000</v>
      </c>
      <c r="T11" s="247" t="n">
        <v>2000</v>
      </c>
      <c r="U11" s="247" t="n">
        <v>2400</v>
      </c>
      <c r="V11" s="247" t="n">
        <v>126</v>
      </c>
      <c r="W11" s="247" t="n">
        <v>1299</v>
      </c>
      <c r="X11" s="247" t="n">
        <v>3100</v>
      </c>
      <c r="Y11" s="247" t="n">
        <v>1250</v>
      </c>
      <c r="Z11" s="247" t="n">
        <v>5000</v>
      </c>
      <c r="AA11" s="247" t="n">
        <v>51410</v>
      </c>
      <c r="AB11" s="247" t="n">
        <v>300</v>
      </c>
      <c r="AC11" s="247" t="n">
        <v>28899</v>
      </c>
    </row>
    <row r="12" customFormat="false" ht="12.8" hidden="false" customHeight="false" outlineLevel="0" collapsed="false">
      <c r="A12" s="166" t="s">
        <v>50</v>
      </c>
      <c r="B12" s="247" t="n">
        <v>865</v>
      </c>
      <c r="C12" s="247" t="n">
        <v>17494.54</v>
      </c>
      <c r="D12" s="247" t="n">
        <v>15550</v>
      </c>
      <c r="E12" s="247" t="n">
        <v>5700</v>
      </c>
      <c r="F12" s="247" t="n">
        <v>10850</v>
      </c>
      <c r="G12" s="247" t="n">
        <v>1110</v>
      </c>
      <c r="H12" s="247" t="n">
        <v>2900</v>
      </c>
      <c r="I12" s="247" t="n">
        <v>3600</v>
      </c>
      <c r="J12" s="247" t="n">
        <v>12312.25</v>
      </c>
      <c r="K12" s="247" t="n">
        <v>1237</v>
      </c>
      <c r="L12" s="247" t="n">
        <v>206</v>
      </c>
      <c r="M12" s="247" t="n">
        <v>65300.25</v>
      </c>
      <c r="N12" s="247" t="n">
        <v>4350</v>
      </c>
      <c r="O12" s="247" t="n">
        <v>399</v>
      </c>
      <c r="P12" s="247" t="n">
        <v>27966.96</v>
      </c>
      <c r="Q12" s="247" t="n">
        <v>5562.22</v>
      </c>
      <c r="R12" s="247" t="n">
        <v>30101</v>
      </c>
      <c r="S12" s="247" t="n">
        <v>80000</v>
      </c>
      <c r="T12" s="247" t="n">
        <v>2000</v>
      </c>
      <c r="U12" s="247" t="n">
        <v>2400</v>
      </c>
      <c r="V12" s="247" t="n">
        <v>125</v>
      </c>
      <c r="W12" s="247" t="n">
        <v>1285.85</v>
      </c>
      <c r="X12" s="247" t="n">
        <v>3090</v>
      </c>
      <c r="Y12" s="247" t="n">
        <v>1249.95</v>
      </c>
      <c r="Z12" s="247" t="n">
        <v>5001</v>
      </c>
      <c r="AA12" s="247" t="n">
        <v>51410</v>
      </c>
      <c r="AB12" s="247" t="n">
        <v>195</v>
      </c>
      <c r="AC12" s="247" t="n">
        <v>28899</v>
      </c>
    </row>
    <row r="13" customFormat="false" ht="12.8" hidden="false" customHeight="false" outlineLevel="0" collapsed="false">
      <c r="A13" s="1" t="s">
        <v>51</v>
      </c>
      <c r="B13" s="247" t="n">
        <v>722</v>
      </c>
      <c r="C13" s="247" t="n">
        <v>17848.48</v>
      </c>
      <c r="D13" s="247" t="n">
        <v>15550</v>
      </c>
      <c r="E13" s="247" t="n">
        <v>5702</v>
      </c>
      <c r="F13" s="247" t="n">
        <v>11000</v>
      </c>
      <c r="G13" s="247" t="n">
        <v>1149.37</v>
      </c>
      <c r="H13" s="247" t="n">
        <v>2900</v>
      </c>
      <c r="I13" s="247" t="n">
        <v>3600</v>
      </c>
      <c r="J13" s="247" t="n">
        <v>11700</v>
      </c>
      <c r="K13" s="247" t="n">
        <v>1237</v>
      </c>
      <c r="L13" s="247" t="n">
        <v>191</v>
      </c>
      <c r="M13" s="247" t="n">
        <v>65932.1</v>
      </c>
      <c r="N13" s="247" t="n">
        <v>4430</v>
      </c>
      <c r="O13" s="247" t="n">
        <v>401.94</v>
      </c>
      <c r="P13" s="247" t="n">
        <v>26120</v>
      </c>
      <c r="Q13" s="247" t="n">
        <v>3300</v>
      </c>
      <c r="R13" s="247" t="n">
        <v>30000</v>
      </c>
      <c r="S13" s="247" t="n">
        <v>79970.14</v>
      </c>
      <c r="T13" s="247" t="n">
        <v>2000</v>
      </c>
      <c r="U13" s="247" t="n">
        <v>2390</v>
      </c>
      <c r="V13" s="247" t="n">
        <v>130</v>
      </c>
      <c r="W13" s="247" t="n">
        <v>1236</v>
      </c>
      <c r="X13" s="247" t="n">
        <v>3100</v>
      </c>
      <c r="Y13" s="247" t="n">
        <v>1249</v>
      </c>
      <c r="Z13" s="247" t="n">
        <v>5150</v>
      </c>
      <c r="AA13" s="247" t="n">
        <v>51410</v>
      </c>
      <c r="AB13" s="247" t="n">
        <v>195</v>
      </c>
      <c r="AC13" s="247" t="n">
        <v>29200</v>
      </c>
    </row>
    <row r="14" customFormat="false" ht="12.8" hidden="false" customHeight="false" outlineLevel="0" collapsed="false">
      <c r="A14" s="1" t="s">
        <v>52</v>
      </c>
      <c r="B14" s="249" t="n">
        <v>722</v>
      </c>
      <c r="C14" s="249" t="n">
        <v>17914.64</v>
      </c>
      <c r="D14" s="249" t="n">
        <v>15550</v>
      </c>
      <c r="E14" s="249" t="n">
        <v>5723</v>
      </c>
      <c r="F14" s="249" t="n">
        <v>11000</v>
      </c>
      <c r="G14" s="249" t="n">
        <v>1201</v>
      </c>
      <c r="H14" s="249" t="n">
        <v>2900</v>
      </c>
      <c r="I14" s="249" t="n">
        <v>3611</v>
      </c>
      <c r="J14" s="249" t="n">
        <v>12394.49</v>
      </c>
      <c r="K14" s="249" t="n">
        <v>1236</v>
      </c>
      <c r="L14" s="249" t="n">
        <v>195</v>
      </c>
      <c r="M14" s="249" t="n">
        <v>66572.29</v>
      </c>
      <c r="N14" s="249" t="n">
        <v>4550</v>
      </c>
      <c r="O14" s="249" t="n">
        <v>385</v>
      </c>
      <c r="P14" s="249" t="n">
        <v>26584.38</v>
      </c>
      <c r="Q14" s="249" t="n">
        <v>3350</v>
      </c>
      <c r="R14" s="249" t="n">
        <v>32000</v>
      </c>
      <c r="S14" s="249" t="n">
        <v>82000</v>
      </c>
      <c r="T14" s="249" t="n">
        <v>2100</v>
      </c>
      <c r="U14" s="249" t="n">
        <v>2600</v>
      </c>
      <c r="V14" s="249" t="n">
        <v>134</v>
      </c>
      <c r="W14" s="249" t="n">
        <v>1315.97</v>
      </c>
      <c r="X14" s="249" t="n">
        <v>2593.33</v>
      </c>
      <c r="Y14" s="249" t="n">
        <v>1351</v>
      </c>
      <c r="Z14" s="249" t="n">
        <v>4900</v>
      </c>
      <c r="AA14" s="249" t="n">
        <v>53050</v>
      </c>
      <c r="AB14" s="250" t="n">
        <v>308</v>
      </c>
      <c r="AC14" s="249" t="n">
        <v>29850</v>
      </c>
    </row>
    <row r="15" s="158" customFormat="true" ht="12.8" hidden="false" customHeight="false" outlineLevel="0" collapsed="false">
      <c r="A15" s="158" t="s">
        <v>53</v>
      </c>
      <c r="B15" s="248" t="n">
        <v>840</v>
      </c>
      <c r="C15" s="248" t="n">
        <v>17157.28</v>
      </c>
      <c r="D15" s="248" t="n">
        <v>15550</v>
      </c>
      <c r="E15" s="248" t="n">
        <v>5502</v>
      </c>
      <c r="F15" s="248" t="n">
        <v>12200</v>
      </c>
      <c r="G15" s="248" t="n">
        <v>1275.08</v>
      </c>
      <c r="H15" s="248" t="n">
        <v>2900</v>
      </c>
      <c r="I15" s="248" t="n">
        <v>3422</v>
      </c>
      <c r="J15" s="248" t="n">
        <v>11678.26</v>
      </c>
      <c r="K15" s="248" t="n">
        <v>1200</v>
      </c>
      <c r="L15" s="248" t="n">
        <v>200</v>
      </c>
      <c r="M15" s="248" t="n">
        <v>67394.06</v>
      </c>
      <c r="N15" s="248" t="n">
        <v>4400</v>
      </c>
      <c r="O15" s="248" t="n">
        <v>365</v>
      </c>
      <c r="P15" s="248" t="n">
        <v>23700</v>
      </c>
      <c r="Q15" s="248" t="n">
        <v>3500</v>
      </c>
      <c r="R15" s="248" t="n">
        <v>32000</v>
      </c>
      <c r="S15" s="248" t="n">
        <v>87550</v>
      </c>
      <c r="T15" s="248" t="n">
        <v>2100</v>
      </c>
      <c r="U15" s="248" t="n">
        <v>2430</v>
      </c>
      <c r="V15" s="248" t="n">
        <v>132</v>
      </c>
      <c r="W15" s="248" t="n">
        <v>1346</v>
      </c>
      <c r="X15" s="248" t="n">
        <v>2500</v>
      </c>
      <c r="Y15" s="248" t="n">
        <v>1355</v>
      </c>
      <c r="Z15" s="248" t="n">
        <v>4005.6</v>
      </c>
      <c r="AA15" s="248" t="n">
        <v>53000</v>
      </c>
      <c r="AB15" s="248" t="n">
        <v>308</v>
      </c>
      <c r="AC15" s="248" t="n">
        <v>29000</v>
      </c>
    </row>
    <row r="16" customFormat="false" ht="12.8" hidden="false" customHeight="false" outlineLevel="0" collapsed="false">
      <c r="A16" s="1" t="s">
        <v>54</v>
      </c>
      <c r="B16" s="247" t="n">
        <v>815</v>
      </c>
      <c r="C16" s="247" t="n">
        <v>16070.28</v>
      </c>
      <c r="D16" s="247" t="n">
        <v>15550</v>
      </c>
      <c r="E16" s="247" t="n">
        <v>5190</v>
      </c>
      <c r="F16" s="247" t="n">
        <v>12200</v>
      </c>
      <c r="G16" s="247" t="n">
        <v>1499.6</v>
      </c>
      <c r="H16" s="247" t="n">
        <v>2900</v>
      </c>
      <c r="I16" s="247" t="n">
        <v>3500</v>
      </c>
      <c r="J16" s="247" t="n">
        <v>11086.82</v>
      </c>
      <c r="K16" s="247" t="n">
        <v>1200</v>
      </c>
      <c r="L16" s="247" t="n">
        <v>200</v>
      </c>
      <c r="M16" s="247" t="n">
        <v>66000.05</v>
      </c>
      <c r="N16" s="247" t="n">
        <v>4400</v>
      </c>
      <c r="O16" s="247" t="n">
        <v>350</v>
      </c>
      <c r="P16" s="247" t="n">
        <v>22709</v>
      </c>
      <c r="Q16" s="247" t="n">
        <v>3303</v>
      </c>
      <c r="R16" s="247" t="n">
        <v>32998</v>
      </c>
      <c r="S16" s="247" t="n">
        <v>91000</v>
      </c>
      <c r="T16" s="247" t="n">
        <v>2100</v>
      </c>
      <c r="U16" s="247" t="n">
        <v>2699</v>
      </c>
      <c r="V16" s="247" t="n">
        <v>118</v>
      </c>
      <c r="W16" s="247" t="n">
        <v>1350</v>
      </c>
      <c r="X16" s="247" t="n">
        <v>2267</v>
      </c>
      <c r="Y16" s="247" t="n">
        <v>1380</v>
      </c>
      <c r="Z16" s="247" t="n">
        <v>3170</v>
      </c>
      <c r="AA16" s="247" t="n">
        <v>54000</v>
      </c>
      <c r="AB16" s="247" t="n">
        <v>308</v>
      </c>
      <c r="AC16" s="247" t="n">
        <v>28501</v>
      </c>
    </row>
    <row r="17" customFormat="false" ht="12.8" hidden="false" customHeight="false" outlineLevel="0" collapsed="false">
      <c r="A17" s="166" t="s">
        <v>55</v>
      </c>
      <c r="B17" s="247" t="n">
        <v>815</v>
      </c>
      <c r="C17" s="247" t="n">
        <v>16869.57</v>
      </c>
      <c r="D17" s="247" t="n">
        <v>15550</v>
      </c>
      <c r="E17" s="247" t="n">
        <v>5190</v>
      </c>
      <c r="F17" s="247" t="n">
        <v>12200</v>
      </c>
      <c r="G17" s="247" t="n">
        <v>1388.37</v>
      </c>
      <c r="H17" s="247" t="n">
        <v>2900</v>
      </c>
      <c r="I17" s="247" t="n">
        <v>3500</v>
      </c>
      <c r="J17" s="247" t="n">
        <v>11397.85</v>
      </c>
      <c r="K17" s="247" t="n">
        <v>1200</v>
      </c>
      <c r="L17" s="247" t="n">
        <v>204</v>
      </c>
      <c r="M17" s="247" t="n">
        <v>69832.42</v>
      </c>
      <c r="N17" s="247" t="n">
        <v>4392.07</v>
      </c>
      <c r="O17" s="247" t="n">
        <v>368.4</v>
      </c>
      <c r="P17" s="247" t="n">
        <v>25023.14</v>
      </c>
      <c r="Q17" s="247" t="n">
        <v>3630</v>
      </c>
      <c r="R17" s="247" t="n">
        <v>33000</v>
      </c>
      <c r="S17" s="247" t="n">
        <v>91000</v>
      </c>
      <c r="T17" s="247" t="n">
        <v>2100</v>
      </c>
      <c r="U17" s="247" t="n">
        <v>2699</v>
      </c>
      <c r="V17" s="247" t="n">
        <v>121.47</v>
      </c>
      <c r="W17" s="247" t="n">
        <v>1405.51</v>
      </c>
      <c r="X17" s="247" t="n">
        <v>2280</v>
      </c>
      <c r="Y17" s="247" t="n">
        <v>1360</v>
      </c>
      <c r="Z17" s="247" t="n">
        <v>2850</v>
      </c>
      <c r="AA17" s="247" t="n">
        <v>54000</v>
      </c>
      <c r="AB17" s="247" t="n">
        <v>308</v>
      </c>
      <c r="AC17" s="247" t="n">
        <v>28220</v>
      </c>
    </row>
    <row r="18" customFormat="false" ht="12.8" hidden="false" customHeight="false" outlineLevel="0" collapsed="false">
      <c r="A18" s="1" t="s">
        <v>56</v>
      </c>
      <c r="B18" s="247" t="n">
        <v>805</v>
      </c>
      <c r="C18" s="247" t="n">
        <v>16752.41</v>
      </c>
      <c r="D18" s="247" t="n">
        <v>15550</v>
      </c>
      <c r="E18" s="247" t="n">
        <v>5010</v>
      </c>
      <c r="F18" s="247" t="n">
        <v>12200</v>
      </c>
      <c r="G18" s="247" t="n">
        <v>1320</v>
      </c>
      <c r="H18" s="247" t="n">
        <v>2900</v>
      </c>
      <c r="I18" s="247" t="n">
        <v>3600</v>
      </c>
      <c r="J18" s="247" t="n">
        <v>11652.18</v>
      </c>
      <c r="K18" s="247" t="n">
        <v>1200</v>
      </c>
      <c r="L18" s="247" t="n">
        <v>190</v>
      </c>
      <c r="M18" s="247" t="n">
        <v>71000</v>
      </c>
      <c r="N18" s="247" t="n">
        <v>4559</v>
      </c>
      <c r="O18" s="247" t="n">
        <v>371.75</v>
      </c>
      <c r="P18" s="247" t="n">
        <v>24800</v>
      </c>
      <c r="Q18" s="247" t="n">
        <v>3263</v>
      </c>
      <c r="R18" s="247" t="n">
        <v>33000</v>
      </c>
      <c r="S18" s="247" t="n">
        <v>86010</v>
      </c>
      <c r="T18" s="247" t="n">
        <v>2150</v>
      </c>
      <c r="U18" s="247" t="n">
        <v>2999.33</v>
      </c>
      <c r="V18" s="247" t="n">
        <v>120.88</v>
      </c>
      <c r="W18" s="247" t="n">
        <v>1369.55</v>
      </c>
      <c r="X18" s="247" t="n">
        <v>2260.34</v>
      </c>
      <c r="Y18" s="247" t="n">
        <v>1420.73</v>
      </c>
      <c r="Z18" s="247" t="n">
        <v>3100</v>
      </c>
      <c r="AA18" s="247" t="n">
        <v>55500</v>
      </c>
      <c r="AB18" s="247" t="n">
        <v>308</v>
      </c>
      <c r="AC18" s="247" t="n">
        <v>35000</v>
      </c>
    </row>
    <row r="19" customFormat="false" ht="12.8" hidden="false" customHeight="false" outlineLevel="0" collapsed="false">
      <c r="A19" s="1" t="s">
        <v>57</v>
      </c>
      <c r="B19" s="247" t="n">
        <v>760</v>
      </c>
      <c r="C19" s="247" t="n">
        <v>18000</v>
      </c>
      <c r="D19" s="247" t="n">
        <v>15550</v>
      </c>
      <c r="E19" s="247" t="n">
        <v>5500</v>
      </c>
      <c r="F19" s="247" t="n">
        <v>12150</v>
      </c>
      <c r="G19" s="247" t="n">
        <v>1299.95</v>
      </c>
      <c r="H19" s="247" t="n">
        <v>2900</v>
      </c>
      <c r="I19" s="247" t="n">
        <v>3599</v>
      </c>
      <c r="J19" s="247" t="n">
        <v>12608.26</v>
      </c>
      <c r="K19" s="247" t="n">
        <v>1131</v>
      </c>
      <c r="L19" s="247" t="n">
        <v>185</v>
      </c>
      <c r="M19" s="247" t="n">
        <v>73503.33</v>
      </c>
      <c r="N19" s="247" t="n">
        <v>4600</v>
      </c>
      <c r="O19" s="247" t="n">
        <v>360</v>
      </c>
      <c r="P19" s="247" t="n">
        <v>28200</v>
      </c>
      <c r="Q19" s="247" t="n">
        <v>3638</v>
      </c>
      <c r="R19" s="247" t="n">
        <v>33000</v>
      </c>
      <c r="S19" s="247" t="n">
        <v>83005</v>
      </c>
      <c r="T19" s="247" t="n">
        <v>2150</v>
      </c>
      <c r="U19" s="247" t="n">
        <v>3050</v>
      </c>
      <c r="V19" s="247" t="n">
        <v>110</v>
      </c>
      <c r="W19" s="247" t="n">
        <v>1500</v>
      </c>
      <c r="X19" s="247" t="n">
        <v>2350</v>
      </c>
      <c r="Y19" s="247" t="n">
        <v>1390</v>
      </c>
      <c r="Z19" s="247" t="n">
        <v>2750</v>
      </c>
      <c r="AA19" s="247" t="n">
        <v>57000</v>
      </c>
      <c r="AB19" s="247" t="n">
        <v>308</v>
      </c>
      <c r="AC19" s="247" t="n">
        <v>41000</v>
      </c>
    </row>
    <row r="20" customFormat="false" ht="12.8" hidden="false" customHeight="false" outlineLevel="0" collapsed="false">
      <c r="A20" s="40" t="s">
        <v>58</v>
      </c>
      <c r="B20" s="247" t="n">
        <v>750</v>
      </c>
      <c r="C20" s="247" t="n">
        <v>17535.51</v>
      </c>
      <c r="D20" s="247" t="n">
        <v>15550</v>
      </c>
      <c r="E20" s="247" t="n">
        <v>5500</v>
      </c>
      <c r="F20" s="247" t="n">
        <v>12150</v>
      </c>
      <c r="G20" s="247" t="n">
        <v>1184.16</v>
      </c>
      <c r="H20" s="247" t="n">
        <v>2900</v>
      </c>
      <c r="I20" s="247" t="n">
        <v>3599</v>
      </c>
      <c r="J20" s="247" t="n">
        <v>12148.85</v>
      </c>
      <c r="K20" s="247" t="n">
        <v>1131</v>
      </c>
      <c r="L20" s="247" t="n">
        <v>185</v>
      </c>
      <c r="M20" s="247" t="n">
        <v>68993.29</v>
      </c>
      <c r="N20" s="247" t="n">
        <v>4700</v>
      </c>
      <c r="O20" s="247" t="n">
        <v>359</v>
      </c>
      <c r="P20" s="247" t="n">
        <v>27797.27</v>
      </c>
      <c r="Q20" s="247" t="n">
        <v>3651</v>
      </c>
      <c r="R20" s="247" t="n">
        <v>37000</v>
      </c>
      <c r="S20" s="247" t="n">
        <v>92001</v>
      </c>
      <c r="T20" s="247" t="n">
        <v>2150</v>
      </c>
      <c r="U20" s="247" t="n">
        <v>3006.73</v>
      </c>
      <c r="V20" s="247" t="n">
        <v>96</v>
      </c>
      <c r="W20" s="247" t="n">
        <v>1402</v>
      </c>
      <c r="X20" s="247" t="n">
        <v>2305</v>
      </c>
      <c r="Y20" s="247" t="n">
        <v>1393.55</v>
      </c>
      <c r="Z20" s="247" t="n">
        <v>2912.21</v>
      </c>
      <c r="AA20" s="247" t="n">
        <v>59500</v>
      </c>
      <c r="AB20" s="247" t="n">
        <v>308</v>
      </c>
      <c r="AC20" s="247" t="n">
        <v>39900</v>
      </c>
    </row>
    <row r="21" customFormat="false" ht="12.8" hidden="false" customHeight="false" outlineLevel="0" collapsed="false">
      <c r="A21" s="40" t="s">
        <v>59</v>
      </c>
      <c r="B21" s="247" t="n">
        <v>750</v>
      </c>
      <c r="C21" s="247" t="n">
        <v>16473.99</v>
      </c>
      <c r="D21" s="247" t="n">
        <v>15550</v>
      </c>
      <c r="E21" s="247" t="n">
        <v>5500</v>
      </c>
      <c r="F21" s="247" t="n">
        <v>12150</v>
      </c>
      <c r="G21" s="247" t="n">
        <v>1184.16</v>
      </c>
      <c r="H21" s="247" t="n">
        <v>2900</v>
      </c>
      <c r="I21" s="247" t="n">
        <v>3599</v>
      </c>
      <c r="J21" s="247" t="n">
        <v>11182.45</v>
      </c>
      <c r="K21" s="247" t="n">
        <v>1131</v>
      </c>
      <c r="L21" s="247" t="n">
        <v>185</v>
      </c>
      <c r="M21" s="247" t="n">
        <v>68400</v>
      </c>
      <c r="N21" s="247" t="n">
        <v>4700</v>
      </c>
      <c r="O21" s="247" t="n">
        <v>350.17</v>
      </c>
      <c r="P21" s="247" t="n">
        <v>26385.39</v>
      </c>
      <c r="Q21" s="247" t="n">
        <v>3651</v>
      </c>
      <c r="R21" s="247" t="n">
        <v>37000</v>
      </c>
      <c r="S21" s="247" t="n">
        <v>92001</v>
      </c>
      <c r="T21" s="247" t="n">
        <v>2150</v>
      </c>
      <c r="U21" s="247" t="n">
        <v>3006.73</v>
      </c>
      <c r="V21" s="247" t="n">
        <v>87.9</v>
      </c>
      <c r="W21" s="247" t="n">
        <v>1353.33</v>
      </c>
      <c r="X21" s="247" t="n">
        <v>2305</v>
      </c>
      <c r="Y21" s="247" t="n">
        <v>1310</v>
      </c>
      <c r="Z21" s="247" t="n">
        <v>2902.38</v>
      </c>
      <c r="AA21" s="247" t="n">
        <v>59500</v>
      </c>
      <c r="AB21" s="247" t="n">
        <v>308</v>
      </c>
      <c r="AC21" s="247" t="n">
        <v>39900</v>
      </c>
    </row>
    <row r="22" customFormat="false" ht="12.8" hidden="false" customHeight="false" outlineLevel="0" collapsed="false">
      <c r="A22" s="40" t="s">
        <v>60</v>
      </c>
      <c r="B22" s="247" t="n">
        <v>732</v>
      </c>
      <c r="C22" s="247" t="n">
        <v>18204.9</v>
      </c>
      <c r="D22" s="247" t="n">
        <v>15550</v>
      </c>
      <c r="E22" s="247" t="n">
        <v>5500</v>
      </c>
      <c r="F22" s="247" t="n">
        <v>12150</v>
      </c>
      <c r="G22" s="247" t="n">
        <v>1315.36</v>
      </c>
      <c r="H22" s="247" t="n">
        <v>2900</v>
      </c>
      <c r="I22" s="247" t="n">
        <v>3599</v>
      </c>
      <c r="J22" s="247" t="n">
        <v>12423.76</v>
      </c>
      <c r="K22" s="247" t="n">
        <v>1131</v>
      </c>
      <c r="L22" s="247" t="n">
        <v>209</v>
      </c>
      <c r="M22" s="247" t="n">
        <v>76000</v>
      </c>
      <c r="N22" s="247" t="n">
        <v>4700</v>
      </c>
      <c r="O22" s="247" t="n">
        <v>365</v>
      </c>
      <c r="P22" s="247" t="n">
        <v>28500</v>
      </c>
      <c r="Q22" s="247" t="n">
        <v>3651</v>
      </c>
      <c r="R22" s="247" t="n">
        <v>37000</v>
      </c>
      <c r="S22" s="247" t="n">
        <v>92001</v>
      </c>
      <c r="T22" s="247" t="n">
        <v>2150</v>
      </c>
      <c r="U22" s="247" t="n">
        <v>3300</v>
      </c>
      <c r="V22" s="247" t="n">
        <v>91</v>
      </c>
      <c r="W22" s="247" t="n">
        <v>1500</v>
      </c>
      <c r="X22" s="247" t="n">
        <v>2305</v>
      </c>
      <c r="Y22" s="247" t="n">
        <v>1310</v>
      </c>
      <c r="Z22" s="247" t="n">
        <v>2902.38</v>
      </c>
      <c r="AA22" s="247" t="n">
        <v>59500</v>
      </c>
      <c r="AB22" s="250" t="n">
        <v>308</v>
      </c>
      <c r="AC22" s="247" t="n">
        <v>39900</v>
      </c>
    </row>
    <row r="23" s="158" customFormat="true" ht="12.8" hidden="false" customHeight="false" outlineLevel="0" collapsed="false">
      <c r="A23" s="158" t="s">
        <v>61</v>
      </c>
      <c r="B23" s="248" t="n">
        <v>700</v>
      </c>
      <c r="C23" s="248" t="n">
        <v>18440.17</v>
      </c>
      <c r="D23" s="248" t="n">
        <v>15550</v>
      </c>
      <c r="E23" s="248" t="n">
        <v>5500</v>
      </c>
      <c r="F23" s="248" t="n">
        <v>12150</v>
      </c>
      <c r="G23" s="248" t="n">
        <v>1392.78</v>
      </c>
      <c r="H23" s="248" t="n">
        <v>2900</v>
      </c>
      <c r="I23" s="248" t="n">
        <v>3599</v>
      </c>
      <c r="J23" s="248" t="n">
        <v>11725.93</v>
      </c>
      <c r="K23" s="248" t="n">
        <v>1131</v>
      </c>
      <c r="L23" s="248" t="n">
        <v>163</v>
      </c>
      <c r="M23" s="248" t="n">
        <v>78280</v>
      </c>
      <c r="N23" s="248" t="n">
        <v>4850</v>
      </c>
      <c r="O23" s="248" t="n">
        <v>345</v>
      </c>
      <c r="P23" s="248" t="n">
        <v>29194.88</v>
      </c>
      <c r="Q23" s="248" t="n">
        <v>3593</v>
      </c>
      <c r="R23" s="248" t="n">
        <v>36990</v>
      </c>
      <c r="S23" s="248" t="n">
        <v>101850</v>
      </c>
      <c r="T23" s="248" t="n">
        <v>2000</v>
      </c>
      <c r="U23" s="248" t="n">
        <v>3100</v>
      </c>
      <c r="V23" s="248" t="n">
        <v>99</v>
      </c>
      <c r="W23" s="248" t="n">
        <v>1373.27</v>
      </c>
      <c r="X23" s="248" t="n">
        <v>2350</v>
      </c>
      <c r="Y23" s="248" t="n">
        <v>1430</v>
      </c>
      <c r="Z23" s="248" t="n">
        <v>2701</v>
      </c>
      <c r="AA23" s="248" t="n">
        <v>59850</v>
      </c>
      <c r="AB23" s="248" t="n">
        <v>308</v>
      </c>
      <c r="AC23" s="248" t="n">
        <v>35107</v>
      </c>
    </row>
    <row r="24" customFormat="false" ht="12.8" hidden="false" customHeight="false" outlineLevel="0" collapsed="false">
      <c r="A24" s="1" t="s">
        <v>62</v>
      </c>
      <c r="B24" s="247" t="n">
        <v>700</v>
      </c>
      <c r="C24" s="247" t="n">
        <v>17114.19</v>
      </c>
      <c r="D24" s="247" t="n">
        <v>12300</v>
      </c>
      <c r="E24" s="247" t="n">
        <v>5431</v>
      </c>
      <c r="F24" s="247" t="n">
        <v>13502</v>
      </c>
      <c r="G24" s="247" t="n">
        <v>1305</v>
      </c>
      <c r="H24" s="247" t="n">
        <v>2900</v>
      </c>
      <c r="I24" s="247" t="n">
        <v>3601</v>
      </c>
      <c r="J24" s="247" t="n">
        <v>10237.46</v>
      </c>
      <c r="K24" s="247" t="n">
        <v>1261</v>
      </c>
      <c r="L24" s="247" t="n">
        <v>191</v>
      </c>
      <c r="M24" s="247" t="n">
        <v>75535.17</v>
      </c>
      <c r="N24" s="247" t="n">
        <v>4700</v>
      </c>
      <c r="O24" s="247" t="n">
        <v>335.52</v>
      </c>
      <c r="P24" s="247" t="n">
        <v>26001</v>
      </c>
      <c r="Q24" s="247" t="n">
        <v>3599.65</v>
      </c>
      <c r="R24" s="247" t="n">
        <v>37898</v>
      </c>
      <c r="S24" s="247" t="n">
        <v>106000</v>
      </c>
      <c r="T24" s="247" t="n">
        <v>2000</v>
      </c>
      <c r="U24" s="247" t="n">
        <v>3000</v>
      </c>
      <c r="V24" s="247" t="n">
        <v>90.31</v>
      </c>
      <c r="W24" s="247" t="n">
        <v>1310</v>
      </c>
      <c r="X24" s="247" t="n">
        <v>2224</v>
      </c>
      <c r="Y24" s="247" t="n">
        <v>1410</v>
      </c>
      <c r="Z24" s="247" t="n">
        <v>2889</v>
      </c>
      <c r="AA24" s="247" t="n">
        <v>62080</v>
      </c>
      <c r="AB24" s="247" t="n">
        <v>250</v>
      </c>
      <c r="AC24" s="247" t="n">
        <v>35101</v>
      </c>
    </row>
    <row r="25" customFormat="false" ht="12.8" hidden="false" customHeight="false" outlineLevel="0" collapsed="false">
      <c r="A25" s="166" t="s">
        <v>63</v>
      </c>
      <c r="B25" s="247" t="n">
        <v>652</v>
      </c>
      <c r="C25" s="247" t="n">
        <v>17943.42</v>
      </c>
      <c r="D25" s="247" t="n">
        <v>12300</v>
      </c>
      <c r="E25" s="247" t="n">
        <v>5366</v>
      </c>
      <c r="F25" s="247" t="n">
        <v>13502</v>
      </c>
      <c r="G25" s="247" t="n">
        <v>1301</v>
      </c>
      <c r="H25" s="247" t="n">
        <v>2900</v>
      </c>
      <c r="I25" s="247" t="n">
        <v>3601</v>
      </c>
      <c r="J25" s="247" t="n">
        <v>10649.91</v>
      </c>
      <c r="K25" s="247" t="n">
        <v>1261</v>
      </c>
      <c r="L25" s="247" t="n">
        <v>250</v>
      </c>
      <c r="M25" s="247" t="n">
        <v>77235.17</v>
      </c>
      <c r="N25" s="247" t="n">
        <v>4999</v>
      </c>
      <c r="O25" s="247" t="n">
        <v>354.37</v>
      </c>
      <c r="P25" s="247" t="n">
        <v>26989.09</v>
      </c>
      <c r="Q25" s="247" t="n">
        <v>3745.35</v>
      </c>
      <c r="R25" s="247" t="n">
        <v>34501</v>
      </c>
      <c r="S25" s="247" t="n">
        <v>104333.33</v>
      </c>
      <c r="T25" s="247" t="n">
        <v>2001</v>
      </c>
      <c r="U25" s="247" t="n">
        <v>3000</v>
      </c>
      <c r="V25" s="247" t="n">
        <v>98</v>
      </c>
      <c r="W25" s="247" t="n">
        <v>1345.35</v>
      </c>
      <c r="X25" s="247" t="n">
        <v>2244</v>
      </c>
      <c r="Y25" s="247" t="n">
        <v>1448.04</v>
      </c>
      <c r="Z25" s="247" t="n">
        <v>2896</v>
      </c>
      <c r="AA25" s="247" t="n">
        <v>62080</v>
      </c>
      <c r="AB25" s="247" t="n">
        <v>250</v>
      </c>
      <c r="AC25" s="247" t="n">
        <v>33536</v>
      </c>
    </row>
    <row r="26" customFormat="false" ht="12.8" hidden="false" customHeight="false" outlineLevel="0" collapsed="false">
      <c r="A26" s="1" t="s">
        <v>64</v>
      </c>
      <c r="B26" s="247" t="n">
        <v>661</v>
      </c>
      <c r="C26" s="247" t="n">
        <v>15500</v>
      </c>
      <c r="D26" s="247" t="n">
        <v>12300</v>
      </c>
      <c r="E26" s="247" t="n">
        <v>5200</v>
      </c>
      <c r="F26" s="247" t="n">
        <v>13500</v>
      </c>
      <c r="G26" s="247" t="n">
        <v>1200</v>
      </c>
      <c r="H26" s="247" t="n">
        <v>3301</v>
      </c>
      <c r="I26" s="247" t="n">
        <v>3660</v>
      </c>
      <c r="J26" s="247" t="n">
        <v>8798.75</v>
      </c>
      <c r="K26" s="247" t="n">
        <v>1261</v>
      </c>
      <c r="L26" s="247" t="n">
        <v>250</v>
      </c>
      <c r="M26" s="247" t="n">
        <v>76196.92</v>
      </c>
      <c r="N26" s="247" t="n">
        <v>4500</v>
      </c>
      <c r="O26" s="247" t="n">
        <v>344</v>
      </c>
      <c r="P26" s="247" t="n">
        <v>22090.91</v>
      </c>
      <c r="Q26" s="247" t="n">
        <v>3400</v>
      </c>
      <c r="R26" s="247" t="n">
        <v>34500</v>
      </c>
      <c r="S26" s="247" t="n">
        <v>108000</v>
      </c>
      <c r="T26" s="247" t="n">
        <v>2001</v>
      </c>
      <c r="U26" s="247" t="n">
        <v>3150</v>
      </c>
      <c r="V26" s="247" t="n">
        <v>93</v>
      </c>
      <c r="W26" s="247" t="n">
        <v>1200</v>
      </c>
      <c r="X26" s="247" t="n">
        <v>2040</v>
      </c>
      <c r="Y26" s="247" t="n">
        <v>1460.18</v>
      </c>
      <c r="Z26" s="247" t="n">
        <v>2919</v>
      </c>
      <c r="AA26" s="247" t="n">
        <v>66000</v>
      </c>
      <c r="AB26" s="247" t="n">
        <v>250</v>
      </c>
      <c r="AC26" s="247" t="n">
        <v>29001</v>
      </c>
    </row>
    <row r="27" customFormat="false" ht="12.8" hidden="false" customHeight="false" outlineLevel="0" collapsed="false">
      <c r="A27" s="1" t="s">
        <v>65</v>
      </c>
      <c r="B27" s="247" t="n">
        <v>750</v>
      </c>
      <c r="C27" s="247" t="n">
        <v>14294.12</v>
      </c>
      <c r="D27" s="247" t="n">
        <v>12300</v>
      </c>
      <c r="E27" s="247" t="n">
        <v>5000</v>
      </c>
      <c r="F27" s="247" t="n">
        <v>13135</v>
      </c>
      <c r="G27" s="247" t="n">
        <v>1053.14</v>
      </c>
      <c r="H27" s="247" t="n">
        <v>3301</v>
      </c>
      <c r="I27" s="247" t="n">
        <v>4044</v>
      </c>
      <c r="J27" s="247" t="n">
        <v>7974.95</v>
      </c>
      <c r="K27" s="247" t="n">
        <v>1261</v>
      </c>
      <c r="L27" s="247" t="n">
        <v>250</v>
      </c>
      <c r="M27" s="247" t="n">
        <v>72000.04</v>
      </c>
      <c r="N27" s="247" t="n">
        <v>4161</v>
      </c>
      <c r="O27" s="247" t="n">
        <v>326.24</v>
      </c>
      <c r="P27" s="247" t="n">
        <v>18546.14</v>
      </c>
      <c r="Q27" s="247" t="n">
        <v>3400</v>
      </c>
      <c r="R27" s="247" t="n">
        <v>34500</v>
      </c>
      <c r="S27" s="247" t="n">
        <v>99900</v>
      </c>
      <c r="T27" s="247" t="n">
        <v>2001</v>
      </c>
      <c r="U27" s="247" t="n">
        <v>2986</v>
      </c>
      <c r="V27" s="247" t="n">
        <v>62</v>
      </c>
      <c r="W27" s="247" t="n">
        <v>1192</v>
      </c>
      <c r="X27" s="247" t="n">
        <v>1900</v>
      </c>
      <c r="Y27" s="247" t="n">
        <v>1400</v>
      </c>
      <c r="Z27" s="247" t="n">
        <v>2577.93</v>
      </c>
      <c r="AA27" s="247" t="n">
        <v>68001</v>
      </c>
      <c r="AB27" s="250" t="n">
        <v>250</v>
      </c>
      <c r="AC27" s="247" t="n">
        <v>29000</v>
      </c>
    </row>
    <row r="28" s="158" customFormat="true" ht="12.8" hidden="false" customHeight="false" outlineLevel="0" collapsed="false">
      <c r="A28" s="158" t="s">
        <v>66</v>
      </c>
      <c r="B28" s="248" t="n">
        <v>679</v>
      </c>
      <c r="C28" s="248" t="n">
        <v>13206.98</v>
      </c>
      <c r="D28" s="248" t="n">
        <v>12300</v>
      </c>
      <c r="E28" s="248" t="n">
        <v>4501</v>
      </c>
      <c r="F28" s="248" t="n">
        <v>13135</v>
      </c>
      <c r="G28" s="248" t="n">
        <v>1118.95</v>
      </c>
      <c r="H28" s="248" t="n">
        <v>3301</v>
      </c>
      <c r="I28" s="248" t="n">
        <v>3000.24</v>
      </c>
      <c r="J28" s="248" t="n">
        <v>7299.65</v>
      </c>
      <c r="K28" s="248" t="n">
        <v>1651</v>
      </c>
      <c r="L28" s="248" t="n">
        <v>191</v>
      </c>
      <c r="M28" s="248" t="n">
        <v>73626.32</v>
      </c>
      <c r="N28" s="248" t="n">
        <v>4166.89</v>
      </c>
      <c r="O28" s="248" t="n">
        <v>314</v>
      </c>
      <c r="P28" s="248" t="n">
        <v>18410</v>
      </c>
      <c r="Q28" s="248" t="n">
        <v>3399.28</v>
      </c>
      <c r="R28" s="248" t="n">
        <v>33000</v>
      </c>
      <c r="S28" s="248" t="n">
        <v>104000</v>
      </c>
      <c r="T28" s="248" t="n">
        <v>1900</v>
      </c>
      <c r="U28" s="248" t="n">
        <v>2890</v>
      </c>
      <c r="V28" s="248" t="n">
        <v>64.42</v>
      </c>
      <c r="W28" s="248" t="n">
        <v>1144.98</v>
      </c>
      <c r="X28" s="248" t="n">
        <v>1950</v>
      </c>
      <c r="Y28" s="248" t="n">
        <v>1353.75</v>
      </c>
      <c r="Z28" s="248" t="n">
        <v>2400</v>
      </c>
      <c r="AA28" s="248" t="n">
        <v>61000</v>
      </c>
      <c r="AB28" s="248" t="n">
        <v>250</v>
      </c>
      <c r="AC28" s="248" t="n">
        <v>26001</v>
      </c>
    </row>
    <row r="29" customFormat="false" ht="12.8" hidden="false" customHeight="false" outlineLevel="0" collapsed="false">
      <c r="A29" s="1" t="s">
        <v>67</v>
      </c>
      <c r="B29" s="247" t="n">
        <v>618</v>
      </c>
      <c r="C29" s="247" t="n">
        <v>12500.05</v>
      </c>
      <c r="D29" s="247" t="n">
        <v>10100</v>
      </c>
      <c r="E29" s="247" t="n">
        <v>4502</v>
      </c>
      <c r="F29" s="247" t="n">
        <v>14080</v>
      </c>
      <c r="G29" s="247" t="n">
        <v>1030</v>
      </c>
      <c r="H29" s="247" t="n">
        <v>3010</v>
      </c>
      <c r="I29" s="247" t="n">
        <v>2649.48</v>
      </c>
      <c r="J29" s="247" t="n">
        <v>6911.41</v>
      </c>
      <c r="K29" s="247" t="n">
        <v>1651</v>
      </c>
      <c r="L29" s="247" t="n">
        <v>191</v>
      </c>
      <c r="M29" s="247" t="n">
        <v>69959.81</v>
      </c>
      <c r="N29" s="247" t="n">
        <v>4000</v>
      </c>
      <c r="O29" s="247" t="n">
        <v>318</v>
      </c>
      <c r="P29" s="247" t="n">
        <v>17582.5</v>
      </c>
      <c r="Q29" s="247" t="n">
        <v>3592.46</v>
      </c>
      <c r="R29" s="247" t="n">
        <v>32445</v>
      </c>
      <c r="S29" s="247" t="n">
        <v>89000</v>
      </c>
      <c r="T29" s="247" t="n">
        <v>1801</v>
      </c>
      <c r="U29" s="247" t="n">
        <v>2922</v>
      </c>
      <c r="V29" s="247" t="n">
        <v>72</v>
      </c>
      <c r="W29" s="247" t="n">
        <v>1138.76</v>
      </c>
      <c r="X29" s="247" t="n">
        <v>2004</v>
      </c>
      <c r="Y29" s="247" t="n">
        <v>1300</v>
      </c>
      <c r="Z29" s="247" t="n">
        <v>2400</v>
      </c>
      <c r="AA29" s="247" t="n">
        <v>61000</v>
      </c>
      <c r="AB29" s="247" t="n">
        <v>291</v>
      </c>
      <c r="AC29" s="247" t="n">
        <v>25001</v>
      </c>
    </row>
    <row r="30" customFormat="false" ht="12.8" hidden="false" customHeight="false" outlineLevel="0" collapsed="false">
      <c r="A30" s="166" t="s">
        <v>68</v>
      </c>
      <c r="B30" s="247" t="n">
        <v>618</v>
      </c>
      <c r="C30" s="247" t="n">
        <v>12834.57</v>
      </c>
      <c r="D30" s="247" t="n">
        <v>10100</v>
      </c>
      <c r="E30" s="247" t="n">
        <v>4502</v>
      </c>
      <c r="F30" s="247" t="n">
        <v>14080</v>
      </c>
      <c r="G30" s="247" t="n">
        <v>1029.74</v>
      </c>
      <c r="H30" s="247" t="n">
        <v>3010</v>
      </c>
      <c r="I30" s="247" t="n">
        <v>2500</v>
      </c>
      <c r="J30" s="247" t="n">
        <v>7073.17</v>
      </c>
      <c r="K30" s="247" t="n">
        <v>1651</v>
      </c>
      <c r="L30" s="247" t="n">
        <v>191</v>
      </c>
      <c r="M30" s="247" t="n">
        <v>67236.43</v>
      </c>
      <c r="N30" s="247" t="n">
        <v>4000</v>
      </c>
      <c r="O30" s="247" t="n">
        <v>319.15</v>
      </c>
      <c r="P30" s="247" t="n">
        <v>17377.77</v>
      </c>
      <c r="Q30" s="247" t="n">
        <v>3150.83</v>
      </c>
      <c r="R30" s="247" t="n">
        <v>32445</v>
      </c>
      <c r="S30" s="247" t="n">
        <v>84777.78</v>
      </c>
      <c r="T30" s="247" t="n">
        <v>1801</v>
      </c>
      <c r="U30" s="247" t="n">
        <v>2754.51</v>
      </c>
      <c r="V30" s="247" t="n">
        <v>75.95</v>
      </c>
      <c r="W30" s="247" t="n">
        <v>1182.32</v>
      </c>
      <c r="X30" s="247" t="n">
        <v>1887</v>
      </c>
      <c r="Y30" s="247" t="n">
        <v>1334.97</v>
      </c>
      <c r="Z30" s="247" t="n">
        <v>2400</v>
      </c>
      <c r="AA30" s="247" t="n">
        <v>62000</v>
      </c>
      <c r="AB30" s="247" t="n">
        <v>300</v>
      </c>
      <c r="AC30" s="247" t="n">
        <v>25000</v>
      </c>
    </row>
    <row r="31" customFormat="false" ht="12.8" hidden="false" customHeight="false" outlineLevel="0" collapsed="false">
      <c r="A31" s="1" t="s">
        <v>69</v>
      </c>
      <c r="B31" s="247" t="n">
        <v>618</v>
      </c>
      <c r="C31" s="247" t="n">
        <v>11905.05</v>
      </c>
      <c r="D31" s="247" t="n">
        <v>10100</v>
      </c>
      <c r="E31" s="247" t="n">
        <v>4734</v>
      </c>
      <c r="F31" s="247" t="n">
        <v>14080</v>
      </c>
      <c r="G31" s="247" t="n">
        <v>931.1</v>
      </c>
      <c r="H31" s="247" t="n">
        <v>3010</v>
      </c>
      <c r="I31" s="247" t="n">
        <v>2500</v>
      </c>
      <c r="J31" s="247" t="n">
        <v>5801.18</v>
      </c>
      <c r="K31" s="247" t="n">
        <v>1651</v>
      </c>
      <c r="L31" s="247" t="n">
        <v>200</v>
      </c>
      <c r="M31" s="247" t="n">
        <v>65000</v>
      </c>
      <c r="N31" s="247" t="n">
        <v>4480</v>
      </c>
      <c r="O31" s="247" t="n">
        <v>312.89</v>
      </c>
      <c r="P31" s="247" t="n">
        <v>16000</v>
      </c>
      <c r="Q31" s="247" t="n">
        <v>3300</v>
      </c>
      <c r="R31" s="247" t="n">
        <v>31500</v>
      </c>
      <c r="S31" s="247" t="n">
        <v>81999.75</v>
      </c>
      <c r="T31" s="247" t="n">
        <v>1801</v>
      </c>
      <c r="U31" s="247" t="n">
        <v>2600.62</v>
      </c>
      <c r="V31" s="247" t="n">
        <v>77</v>
      </c>
      <c r="W31" s="247" t="n">
        <v>1050</v>
      </c>
      <c r="X31" s="247" t="n">
        <v>1424.41</v>
      </c>
      <c r="Y31" s="247" t="n">
        <v>1170</v>
      </c>
      <c r="Z31" s="247" t="n">
        <v>2060</v>
      </c>
      <c r="AA31" s="247" t="n">
        <v>59500</v>
      </c>
      <c r="AB31" s="247" t="n">
        <v>320</v>
      </c>
      <c r="AC31" s="247" t="n">
        <v>24500</v>
      </c>
    </row>
    <row r="32" customFormat="false" ht="12.8" hidden="false" customHeight="false" outlineLevel="0" collapsed="false">
      <c r="A32" s="1" t="s">
        <v>70</v>
      </c>
      <c r="B32" s="247" t="n">
        <v>660</v>
      </c>
      <c r="C32" s="247" t="n">
        <v>9704.5</v>
      </c>
      <c r="D32" s="247" t="n">
        <v>10100</v>
      </c>
      <c r="E32" s="247" t="n">
        <v>4960</v>
      </c>
      <c r="F32" s="247" t="n">
        <v>14080</v>
      </c>
      <c r="G32" s="247" t="n">
        <v>790.86</v>
      </c>
      <c r="H32" s="247" t="n">
        <v>3010</v>
      </c>
      <c r="I32" s="247" t="n">
        <v>2900</v>
      </c>
      <c r="J32" s="247" t="n">
        <v>6027.13</v>
      </c>
      <c r="K32" s="247" t="n">
        <v>1651</v>
      </c>
      <c r="L32" s="247" t="n">
        <v>200</v>
      </c>
      <c r="M32" s="247" t="n">
        <v>50496.41</v>
      </c>
      <c r="N32" s="247" t="n">
        <v>4400</v>
      </c>
      <c r="O32" s="247" t="n">
        <v>268.83</v>
      </c>
      <c r="P32" s="247" t="n">
        <v>13878</v>
      </c>
      <c r="Q32" s="247" t="n">
        <v>3000</v>
      </c>
      <c r="R32" s="247" t="n">
        <v>37830</v>
      </c>
      <c r="S32" s="247" t="n">
        <v>83500</v>
      </c>
      <c r="T32" s="247" t="n">
        <v>1801</v>
      </c>
      <c r="U32" s="247" t="n">
        <v>2300</v>
      </c>
      <c r="V32" s="247" t="n">
        <v>74</v>
      </c>
      <c r="W32" s="247" t="n">
        <v>885.95</v>
      </c>
      <c r="X32" s="247" t="n">
        <v>1995</v>
      </c>
      <c r="Y32" s="247" t="n">
        <v>1166</v>
      </c>
      <c r="Z32" s="247" t="n">
        <v>1885</v>
      </c>
      <c r="AA32" s="247" t="n">
        <v>53460</v>
      </c>
      <c r="AB32" s="247" t="n">
        <v>321</v>
      </c>
      <c r="AC32" s="247" t="n">
        <v>23150</v>
      </c>
    </row>
    <row r="33" customFormat="false" ht="12.8" hidden="false" customHeight="false" outlineLevel="0" collapsed="false">
      <c r="A33" s="40" t="s">
        <v>71</v>
      </c>
      <c r="B33" s="247" t="n">
        <v>660</v>
      </c>
      <c r="C33" s="247" t="n">
        <v>13033.43</v>
      </c>
      <c r="D33" s="247" t="n">
        <v>10100</v>
      </c>
      <c r="E33" s="247" t="n">
        <v>5488.64</v>
      </c>
      <c r="F33" s="247" t="n">
        <v>14082</v>
      </c>
      <c r="G33" s="247" t="n">
        <v>1199.4</v>
      </c>
      <c r="H33" s="247" t="n">
        <v>3010</v>
      </c>
      <c r="I33" s="247" t="n">
        <v>2900</v>
      </c>
      <c r="J33" s="247" t="n">
        <v>7911.25</v>
      </c>
      <c r="K33" s="247" t="n">
        <v>1551</v>
      </c>
      <c r="L33" s="247" t="n">
        <v>200</v>
      </c>
      <c r="M33" s="247" t="n">
        <v>77086.36</v>
      </c>
      <c r="N33" s="247" t="n">
        <v>5700</v>
      </c>
      <c r="O33" s="247" t="n">
        <v>320</v>
      </c>
      <c r="P33" s="247" t="n">
        <v>18626.59</v>
      </c>
      <c r="Q33" s="247" t="n">
        <v>4516</v>
      </c>
      <c r="R33" s="247" t="n">
        <v>37830</v>
      </c>
      <c r="S33" s="247" t="n">
        <v>83000</v>
      </c>
      <c r="T33" s="247" t="n">
        <v>1801</v>
      </c>
      <c r="U33" s="247" t="n">
        <v>3216.91</v>
      </c>
      <c r="V33" s="247" t="n">
        <v>92</v>
      </c>
      <c r="W33" s="247" t="n">
        <v>1250</v>
      </c>
      <c r="X33" s="247" t="n">
        <v>2249.77</v>
      </c>
      <c r="Y33" s="247" t="n">
        <v>1673</v>
      </c>
      <c r="Z33" s="247" t="n">
        <v>2250.5</v>
      </c>
      <c r="AA33" s="247" t="n">
        <v>74000</v>
      </c>
      <c r="AB33" s="250" t="n">
        <v>321</v>
      </c>
      <c r="AC33" s="247" t="n">
        <v>24200</v>
      </c>
    </row>
    <row r="34" s="158" customFormat="true" ht="12.8" hidden="false" customHeight="false" outlineLevel="0" collapsed="false">
      <c r="A34" s="158" t="s">
        <v>72</v>
      </c>
      <c r="B34" s="248" t="n">
        <v>660</v>
      </c>
      <c r="C34" s="248" t="n">
        <v>11900.13</v>
      </c>
      <c r="D34" s="248" t="n">
        <v>10100</v>
      </c>
      <c r="E34" s="248" t="n">
        <v>5720</v>
      </c>
      <c r="F34" s="248" t="n">
        <v>13066</v>
      </c>
      <c r="G34" s="248" t="n">
        <v>1126.29</v>
      </c>
      <c r="H34" s="248" t="n">
        <v>3010</v>
      </c>
      <c r="I34" s="248" t="n">
        <v>1470</v>
      </c>
      <c r="J34" s="248" t="n">
        <v>6648</v>
      </c>
      <c r="K34" s="248" t="n">
        <v>1551</v>
      </c>
      <c r="L34" s="248" t="n">
        <v>235</v>
      </c>
      <c r="M34" s="248" t="n">
        <v>77850.19</v>
      </c>
      <c r="N34" s="248" t="n">
        <v>5630.22</v>
      </c>
      <c r="O34" s="248" t="n">
        <v>320</v>
      </c>
      <c r="P34" s="248" t="n">
        <v>17204.17</v>
      </c>
      <c r="Q34" s="248" t="n">
        <v>4800</v>
      </c>
      <c r="R34" s="248" t="n">
        <v>41000</v>
      </c>
      <c r="S34" s="248" t="n">
        <v>76727.27</v>
      </c>
      <c r="T34" s="248" t="n">
        <v>1801</v>
      </c>
      <c r="U34" s="248" t="n">
        <v>3100</v>
      </c>
      <c r="V34" s="248" t="n">
        <v>92.89</v>
      </c>
      <c r="W34" s="248" t="n">
        <v>1201.6</v>
      </c>
      <c r="X34" s="248" t="n">
        <v>2300</v>
      </c>
      <c r="Y34" s="248" t="n">
        <v>1558.2</v>
      </c>
      <c r="Z34" s="248" t="n">
        <v>2448.97</v>
      </c>
      <c r="AA34" s="248" t="n">
        <v>74000</v>
      </c>
      <c r="AB34" s="248" t="n">
        <v>285</v>
      </c>
      <c r="AC34" s="248" t="n">
        <v>25100</v>
      </c>
    </row>
    <row r="35" customFormat="false" ht="12.8" hidden="false" customHeight="false" outlineLevel="0" collapsed="false">
      <c r="A35" s="1" t="s">
        <v>73</v>
      </c>
      <c r="B35" s="247" t="n">
        <v>660</v>
      </c>
      <c r="C35" s="247" t="n">
        <v>11201.33</v>
      </c>
      <c r="D35" s="247" t="n">
        <v>10100</v>
      </c>
      <c r="E35" s="247" t="n">
        <v>5500</v>
      </c>
      <c r="F35" s="247" t="n">
        <v>11940</v>
      </c>
      <c r="G35" s="247" t="n">
        <v>1023.75</v>
      </c>
      <c r="H35" s="247" t="n">
        <v>3010</v>
      </c>
      <c r="I35" s="247" t="n">
        <v>1645</v>
      </c>
      <c r="J35" s="247" t="n">
        <v>5649.87</v>
      </c>
      <c r="K35" s="247" t="n">
        <v>1551</v>
      </c>
      <c r="L35" s="247" t="n">
        <v>200</v>
      </c>
      <c r="M35" s="247" t="n">
        <v>72999.96</v>
      </c>
      <c r="N35" s="247" t="n">
        <v>5311</v>
      </c>
      <c r="O35" s="247" t="n">
        <v>309</v>
      </c>
      <c r="P35" s="247" t="n">
        <v>16850</v>
      </c>
      <c r="Q35" s="247" t="n">
        <v>4785.71</v>
      </c>
      <c r="R35" s="247" t="n">
        <v>39500</v>
      </c>
      <c r="S35" s="247" t="n">
        <v>77510</v>
      </c>
      <c r="T35" s="247" t="n">
        <v>1801</v>
      </c>
      <c r="U35" s="247" t="n">
        <v>2652.59</v>
      </c>
      <c r="V35" s="247" t="n">
        <v>108</v>
      </c>
      <c r="W35" s="247" t="n">
        <v>1200</v>
      </c>
      <c r="X35" s="247" t="n">
        <v>2400</v>
      </c>
      <c r="Y35" s="247" t="n">
        <v>1430</v>
      </c>
      <c r="Z35" s="247" t="n">
        <v>2195</v>
      </c>
      <c r="AA35" s="247" t="n">
        <v>75500</v>
      </c>
      <c r="AB35" s="247" t="n">
        <v>295</v>
      </c>
      <c r="AC35" s="247" t="n">
        <v>23051</v>
      </c>
    </row>
    <row r="36" customFormat="false" ht="12.8" hidden="false" customHeight="false" outlineLevel="0" collapsed="false">
      <c r="A36" s="1" t="s">
        <v>75</v>
      </c>
      <c r="B36" s="247" t="n">
        <v>679</v>
      </c>
      <c r="C36" s="247" t="n">
        <v>9045.98</v>
      </c>
      <c r="D36" s="247" t="n">
        <v>10100</v>
      </c>
      <c r="E36" s="247" t="n">
        <v>5500</v>
      </c>
      <c r="F36" s="247" t="n">
        <v>10750</v>
      </c>
      <c r="G36" s="247" t="n">
        <v>871.33</v>
      </c>
      <c r="H36" s="247" t="n">
        <v>3010</v>
      </c>
      <c r="I36" s="247" t="n">
        <v>2350</v>
      </c>
      <c r="J36" s="247" t="n">
        <v>5316.85</v>
      </c>
      <c r="K36" s="247" t="n">
        <v>1551</v>
      </c>
      <c r="L36" s="247" t="n">
        <v>205</v>
      </c>
      <c r="M36" s="247" t="n">
        <v>61980.98</v>
      </c>
      <c r="N36" s="247" t="n">
        <v>5335</v>
      </c>
      <c r="O36" s="247" t="n">
        <v>294</v>
      </c>
      <c r="P36" s="247" t="n">
        <v>15683.87</v>
      </c>
      <c r="Q36" s="247" t="n">
        <v>4400</v>
      </c>
      <c r="R36" s="247" t="n">
        <v>41102</v>
      </c>
      <c r="S36" s="247" t="n">
        <v>74000</v>
      </c>
      <c r="T36" s="247" t="n">
        <v>1801</v>
      </c>
      <c r="U36" s="247" t="n">
        <v>2380.62</v>
      </c>
      <c r="V36" s="247" t="n">
        <v>105</v>
      </c>
      <c r="W36" s="247" t="n">
        <v>1034.87</v>
      </c>
      <c r="X36" s="247" t="n">
        <v>2384.62</v>
      </c>
      <c r="Y36" s="247" t="n">
        <v>1290</v>
      </c>
      <c r="Z36" s="247" t="n">
        <v>2200</v>
      </c>
      <c r="AA36" s="247" t="n">
        <v>77100</v>
      </c>
      <c r="AB36" s="247" t="n">
        <v>377</v>
      </c>
      <c r="AC36" s="247" t="n">
        <v>23001</v>
      </c>
    </row>
    <row r="37" customFormat="false" ht="12.8" hidden="false" customHeight="false" outlineLevel="0" collapsed="false">
      <c r="A37" s="1" t="s">
        <v>76</v>
      </c>
      <c r="B37" s="247" t="n">
        <v>691</v>
      </c>
      <c r="C37" s="247" t="n">
        <v>8500</v>
      </c>
      <c r="D37" s="247" t="n">
        <v>10100</v>
      </c>
      <c r="E37" s="247" t="n">
        <v>5500</v>
      </c>
      <c r="F37" s="247" t="n">
        <v>10777</v>
      </c>
      <c r="G37" s="247" t="n">
        <v>820</v>
      </c>
      <c r="H37" s="247" t="n">
        <v>3010</v>
      </c>
      <c r="I37" s="247" t="n">
        <v>2350</v>
      </c>
      <c r="J37" s="247" t="n">
        <v>5649.59</v>
      </c>
      <c r="K37" s="247" t="n">
        <v>1500</v>
      </c>
      <c r="L37" s="247" t="n">
        <v>211</v>
      </c>
      <c r="M37" s="247" t="n">
        <v>51500</v>
      </c>
      <c r="N37" s="247" t="n">
        <v>5051.25</v>
      </c>
      <c r="O37" s="247" t="n">
        <v>292.88</v>
      </c>
      <c r="P37" s="247" t="n">
        <v>15300</v>
      </c>
      <c r="Q37" s="247" t="n">
        <v>4221</v>
      </c>
      <c r="R37" s="247" t="n">
        <v>44500</v>
      </c>
      <c r="S37" s="247" t="n">
        <v>76000</v>
      </c>
      <c r="T37" s="247" t="n">
        <v>1801</v>
      </c>
      <c r="U37" s="247" t="n">
        <v>2648.4</v>
      </c>
      <c r="V37" s="247" t="n">
        <v>110</v>
      </c>
      <c r="W37" s="247" t="n">
        <v>1178.4</v>
      </c>
      <c r="X37" s="247" t="n">
        <v>2231</v>
      </c>
      <c r="Y37" s="247" t="n">
        <v>1380</v>
      </c>
      <c r="Z37" s="247" t="n">
        <v>2350</v>
      </c>
      <c r="AA37" s="247" t="n">
        <v>76000</v>
      </c>
      <c r="AB37" s="250" t="n">
        <v>389</v>
      </c>
      <c r="AC37" s="247" t="n">
        <v>23500</v>
      </c>
    </row>
    <row r="38" s="158" customFormat="true" ht="12.8" hidden="false" customHeight="false" outlineLevel="0" collapsed="false">
      <c r="A38" s="158" t="s">
        <v>77</v>
      </c>
      <c r="B38" s="248" t="n">
        <v>660</v>
      </c>
      <c r="C38" s="248" t="n">
        <v>8200.64</v>
      </c>
      <c r="D38" s="248" t="n">
        <v>10100</v>
      </c>
      <c r="E38" s="248" t="n">
        <v>4808</v>
      </c>
      <c r="F38" s="248" t="n">
        <v>9431</v>
      </c>
      <c r="G38" s="248" t="n">
        <v>800.48</v>
      </c>
      <c r="H38" s="248" t="n">
        <v>3276</v>
      </c>
      <c r="I38" s="248" t="n">
        <v>2350</v>
      </c>
      <c r="J38" s="248" t="n">
        <v>5050.4</v>
      </c>
      <c r="K38" s="248" t="n">
        <v>1550</v>
      </c>
      <c r="L38" s="248" t="n">
        <v>161</v>
      </c>
      <c r="M38" s="248" t="n">
        <v>47495.3</v>
      </c>
      <c r="N38" s="248" t="n">
        <v>5000</v>
      </c>
      <c r="O38" s="248" t="n">
        <v>290.71</v>
      </c>
      <c r="P38" s="248" t="n">
        <v>14100</v>
      </c>
      <c r="Q38" s="248" t="n">
        <v>4009</v>
      </c>
      <c r="R38" s="248" t="n">
        <v>46020</v>
      </c>
      <c r="S38" s="248" t="n">
        <v>70040</v>
      </c>
      <c r="T38" s="248" t="n">
        <v>1801</v>
      </c>
      <c r="U38" s="248" t="n">
        <v>2140</v>
      </c>
      <c r="V38" s="248" t="n">
        <v>114</v>
      </c>
      <c r="W38" s="248" t="n">
        <v>1200</v>
      </c>
      <c r="X38" s="248" t="n">
        <v>2294.97</v>
      </c>
      <c r="Y38" s="248" t="n">
        <v>1274.11</v>
      </c>
      <c r="Z38" s="248" t="n">
        <v>2100</v>
      </c>
      <c r="AA38" s="248" t="n">
        <v>67900</v>
      </c>
      <c r="AB38" s="247" t="n">
        <v>360</v>
      </c>
      <c r="AC38" s="248" t="n">
        <v>23000</v>
      </c>
    </row>
    <row r="39" customFormat="false" ht="12.8" hidden="false" customHeight="false" outlineLevel="0" collapsed="false">
      <c r="A39" s="1" t="s">
        <v>78</v>
      </c>
      <c r="B39" s="247" t="n">
        <v>560</v>
      </c>
      <c r="C39" s="247" t="n">
        <v>8352.34</v>
      </c>
      <c r="D39" s="247" t="n">
        <v>10100</v>
      </c>
      <c r="E39" s="247" t="n">
        <v>4808</v>
      </c>
      <c r="F39" s="247" t="n">
        <v>9189</v>
      </c>
      <c r="G39" s="247" t="n">
        <v>864.59</v>
      </c>
      <c r="H39" s="247" t="n">
        <v>3276</v>
      </c>
      <c r="I39" s="247" t="n">
        <v>2853</v>
      </c>
      <c r="J39" s="247" t="n">
        <v>5256.56</v>
      </c>
      <c r="K39" s="247" t="n">
        <v>1550</v>
      </c>
      <c r="L39" s="247" t="n">
        <v>238</v>
      </c>
      <c r="M39" s="247" t="n">
        <v>48343.11</v>
      </c>
      <c r="N39" s="247" t="n">
        <v>4875.67</v>
      </c>
      <c r="O39" s="247" t="n">
        <v>288.58</v>
      </c>
      <c r="P39" s="247" t="n">
        <v>14276.4</v>
      </c>
      <c r="Q39" s="247" t="n">
        <v>4946.67</v>
      </c>
      <c r="R39" s="247" t="n">
        <v>46500</v>
      </c>
      <c r="S39" s="247" t="n">
        <v>67000</v>
      </c>
      <c r="T39" s="247" t="n">
        <v>1700</v>
      </c>
      <c r="U39" s="247" t="n">
        <v>2441</v>
      </c>
      <c r="V39" s="247" t="n">
        <v>143.76</v>
      </c>
      <c r="W39" s="247" t="n">
        <v>1155.69</v>
      </c>
      <c r="X39" s="247" t="n">
        <v>2300</v>
      </c>
      <c r="Y39" s="247" t="n">
        <v>1199.05</v>
      </c>
      <c r="Z39" s="247" t="n">
        <v>2364.28</v>
      </c>
      <c r="AA39" s="247" t="n">
        <v>62830.25</v>
      </c>
      <c r="AB39" s="247" t="n">
        <v>350</v>
      </c>
      <c r="AC39" s="247" t="n">
        <v>23800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CM46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CM9" activeCellId="0" sqref="CM9"/>
    </sheetView>
  </sheetViews>
  <sheetFormatPr defaultColWidth="11.53515625" defaultRowHeight="12.8" zeroHeight="false" outlineLevelRow="1" outlineLevelCol="0"/>
  <cols>
    <col collapsed="false" customWidth="true" hidden="false" outlineLevel="0" max="2" min="2" style="18" width="8.55"/>
    <col collapsed="false" customWidth="true" hidden="false" outlineLevel="0" max="3" min="3" style="18" width="8.44"/>
    <col collapsed="false" customWidth="true" hidden="false" outlineLevel="0" max="4" min="4" style="18" width="8.66"/>
    <col collapsed="false" customWidth="true" hidden="false" outlineLevel="0" max="5" min="5" style="18" width="6"/>
    <col collapsed="false" customWidth="true" hidden="false" outlineLevel="0" max="6" min="6" style="18" width="6.53"/>
    <col collapsed="false" customWidth="true" hidden="false" outlineLevel="0" max="7" min="7" style="18" width="6.22"/>
    <col collapsed="false" customWidth="true" hidden="false" outlineLevel="0" max="8" min="8" style="18" width="6.43"/>
    <col collapsed="false" customWidth="true" hidden="false" outlineLevel="0" max="10" min="9" style="18" width="6"/>
    <col collapsed="false" customWidth="true" hidden="false" outlineLevel="0" max="11" min="11" style="18" width="6.22"/>
    <col collapsed="false" customWidth="true" hidden="false" outlineLevel="0" max="12" min="12" style="18" width="5.37"/>
    <col collapsed="false" customWidth="true" hidden="false" outlineLevel="0" max="13" min="13" style="18" width="6.43"/>
    <col collapsed="false" customWidth="true" hidden="false" outlineLevel="0" max="14" min="14" style="18" width="6.32"/>
    <col collapsed="false" customWidth="true" hidden="false" outlineLevel="0" max="15" min="15" style="18" width="5.26"/>
    <col collapsed="false" customWidth="true" hidden="false" outlineLevel="0" max="16" min="16" style="18" width="7.7"/>
    <col collapsed="false" customWidth="true" hidden="false" outlineLevel="0" max="17" min="17" style="18" width="6.43"/>
    <col collapsed="false" customWidth="true" hidden="false" outlineLevel="0" max="18" min="18" style="18" width="6.22"/>
    <col collapsed="false" customWidth="true" hidden="false" outlineLevel="0" max="19" min="19" style="18" width="5.26"/>
    <col collapsed="false" customWidth="true" hidden="false" outlineLevel="0" max="20" min="20" style="18" width="6.75"/>
    <col collapsed="false" customWidth="true" hidden="false" outlineLevel="0" max="21" min="21" style="18" width="6.43"/>
    <col collapsed="false" customWidth="true" hidden="false" outlineLevel="0" max="22" min="22" style="18" width="4.84"/>
    <col collapsed="false" customWidth="true" hidden="false" outlineLevel="0" max="23" min="23" style="18" width="6.11"/>
    <col collapsed="false" customWidth="true" hidden="false" outlineLevel="0" max="24" min="24" style="18" width="5.26"/>
    <col collapsed="false" customWidth="true" hidden="false" outlineLevel="0" max="25" min="25" style="18" width="6.43"/>
    <col collapsed="false" customWidth="true" hidden="false" outlineLevel="0" max="26" min="26" style="18" width="6.22"/>
    <col collapsed="false" customWidth="true" hidden="false" outlineLevel="0" max="27" min="27" style="18" width="5.9"/>
    <col collapsed="false" customWidth="true" hidden="false" outlineLevel="0" max="28" min="28" style="18" width="5.66"/>
    <col collapsed="false" customWidth="true" hidden="false" outlineLevel="0" max="29" min="29" style="18" width="6.11"/>
    <col collapsed="false" customWidth="true" hidden="false" outlineLevel="0" max="30" min="30" style="18" width="5.79"/>
    <col collapsed="false" customWidth="true" hidden="false" outlineLevel="0" max="31" min="31" style="18" width="8.66"/>
    <col collapsed="false" customWidth="true" hidden="false" outlineLevel="0" max="32" min="32" style="18" width="6.64"/>
    <col collapsed="false" customWidth="true" hidden="false" outlineLevel="0" max="33" min="33" style="18" width="5.79"/>
    <col collapsed="false" customWidth="true" hidden="false" outlineLevel="0" max="34" min="34" style="18" width="6.22"/>
    <col collapsed="false" customWidth="true" hidden="false" outlineLevel="0" max="36" min="35" style="18" width="6.53"/>
    <col collapsed="false" customWidth="true" hidden="false" outlineLevel="0" max="37" min="37" style="18" width="6.75"/>
    <col collapsed="false" customWidth="true" hidden="false" outlineLevel="0" max="38" min="38" style="18" width="8.87"/>
    <col collapsed="false" customWidth="true" hidden="false" outlineLevel="0" max="39" min="39" style="18" width="6.53"/>
    <col collapsed="false" customWidth="true" hidden="false" outlineLevel="0" max="40" min="40" style="18" width="8.66"/>
    <col collapsed="false" customWidth="true" hidden="false" outlineLevel="0" max="41" min="41" style="18" width="6.43"/>
    <col collapsed="false" customWidth="true" hidden="false" outlineLevel="0" max="42" min="42" style="18" width="6.75"/>
    <col collapsed="false" customWidth="true" hidden="false" outlineLevel="0" max="43" min="43" style="18" width="6.85"/>
    <col collapsed="false" customWidth="true" hidden="false" outlineLevel="0" max="44" min="44" style="18" width="6.43"/>
    <col collapsed="false" customWidth="true" hidden="false" outlineLevel="0" max="45" min="45" style="18" width="6.75"/>
    <col collapsed="false" customWidth="true" hidden="false" outlineLevel="0" max="46" min="46" style="18" width="8.66"/>
    <col collapsed="false" customWidth="true" hidden="false" outlineLevel="0" max="47" min="47" style="18" width="6.43"/>
    <col collapsed="false" customWidth="true" hidden="false" outlineLevel="0" max="48" min="48" style="18" width="6.53"/>
    <col collapsed="false" customWidth="true" hidden="false" outlineLevel="0" max="49" min="49" style="18" width="5.47"/>
    <col collapsed="false" customWidth="true" hidden="false" outlineLevel="0" max="50" min="50" style="18" width="7.7"/>
    <col collapsed="false" customWidth="true" hidden="false" outlineLevel="0" max="51" min="51" style="18" width="6.53"/>
    <col collapsed="false" customWidth="true" hidden="false" outlineLevel="0" max="52" min="52" style="18" width="6.22"/>
    <col collapsed="false" customWidth="true" hidden="false" outlineLevel="0" max="53" min="53" style="18" width="6"/>
    <col collapsed="false" customWidth="true" hidden="false" outlineLevel="0" max="54" min="54" style="18" width="6.22"/>
    <col collapsed="false" customWidth="true" hidden="false" outlineLevel="0" max="55" min="55" style="18" width="6.32"/>
    <col collapsed="false" customWidth="true" hidden="false" outlineLevel="0" max="56" min="56" style="18" width="9.61"/>
    <col collapsed="false" customWidth="true" hidden="false" outlineLevel="0" max="57" min="57" style="18" width="6.11"/>
    <col collapsed="false" customWidth="true" hidden="false" outlineLevel="0" max="58" min="58" style="18" width="5.37"/>
    <col collapsed="false" customWidth="true" hidden="false" outlineLevel="0" max="59" min="59" style="18" width="6"/>
    <col collapsed="false" customWidth="true" hidden="false" outlineLevel="0" max="60" min="60" style="18" width="6.43"/>
    <col collapsed="false" customWidth="true" hidden="false" outlineLevel="0" max="63" min="61" style="18" width="6.22"/>
    <col collapsed="false" customWidth="true" hidden="false" outlineLevel="0" max="64" min="64" style="18" width="4.09"/>
    <col collapsed="false" customWidth="true" hidden="false" outlineLevel="0" max="65" min="65" style="18" width="8.34"/>
    <col collapsed="false" customWidth="true" hidden="false" outlineLevel="0" max="66" min="66" style="18" width="5.79"/>
    <col collapsed="false" customWidth="true" hidden="false" outlineLevel="0" max="67" min="67" style="18" width="6.75"/>
    <col collapsed="false" customWidth="true" hidden="false" outlineLevel="0" max="68" min="68" style="18" width="6.22"/>
    <col collapsed="false" customWidth="true" hidden="false" outlineLevel="0" max="70" min="69" style="18" width="7.7"/>
    <col collapsed="false" customWidth="true" hidden="false" outlineLevel="0" max="71" min="71" style="18" width="5.79"/>
    <col collapsed="false" customWidth="true" hidden="false" outlineLevel="0" max="72" min="72" style="18" width="7.7"/>
    <col collapsed="false" customWidth="true" hidden="false" outlineLevel="0" max="73" min="73" style="18" width="6.22"/>
    <col collapsed="false" customWidth="true" hidden="false" outlineLevel="0" max="74" min="74" style="18" width="6.11"/>
    <col collapsed="false" customWidth="true" hidden="false" outlineLevel="0" max="75" min="75" style="18" width="6.32"/>
    <col collapsed="false" customWidth="true" hidden="false" outlineLevel="0" max="76" min="76" style="18" width="6.43"/>
    <col collapsed="false" customWidth="true" hidden="false" outlineLevel="0" max="77" min="77" style="18" width="6.75"/>
    <col collapsed="false" customWidth="true" hidden="false" outlineLevel="0" max="78" min="78" style="18" width="6.11"/>
    <col collapsed="false" customWidth="true" hidden="false" outlineLevel="0" max="79" min="79" style="18" width="6.75"/>
    <col collapsed="false" customWidth="true" hidden="false" outlineLevel="0" max="80" min="80" style="18" width="6.22"/>
    <col collapsed="false" customWidth="true" hidden="false" outlineLevel="0" max="81" min="81" style="18" width="5.58"/>
    <col collapsed="false" customWidth="true" hidden="false" outlineLevel="0" max="82" min="82" style="18" width="6.32"/>
    <col collapsed="false" customWidth="true" hidden="false" outlineLevel="0" max="83" min="83" style="18" width="6"/>
    <col collapsed="false" customWidth="true" hidden="false" outlineLevel="0" max="84" min="84" style="18" width="6.43"/>
    <col collapsed="false" customWidth="true" hidden="false" outlineLevel="0" max="85" min="85" style="18" width="6.22"/>
    <col collapsed="false" customWidth="true" hidden="false" outlineLevel="0" max="86" min="86" style="18" width="5.06"/>
    <col collapsed="false" customWidth="true" hidden="false" outlineLevel="0" max="88" min="88" style="18" width="5.26"/>
  </cols>
  <sheetData>
    <row r="1" customFormat="false" ht="12.8" hidden="false" customHeight="false" outlineLevel="0" collapsed="false">
      <c r="A1" s="180" t="s">
        <v>209</v>
      </c>
      <c r="B1" s="18" t="s">
        <v>278</v>
      </c>
      <c r="C1" s="18" t="s">
        <v>197</v>
      </c>
      <c r="D1" s="18" t="s">
        <v>30</v>
      </c>
      <c r="E1" s="18" t="s">
        <v>279</v>
      </c>
      <c r="F1" s="18" t="s">
        <v>280</v>
      </c>
      <c r="G1" s="18" t="s">
        <v>199</v>
      </c>
      <c r="H1" s="18" t="s">
        <v>281</v>
      </c>
      <c r="I1" s="18" t="s">
        <v>188</v>
      </c>
      <c r="J1" s="18" t="s">
        <v>282</v>
      </c>
      <c r="K1" s="18" t="s">
        <v>195</v>
      </c>
      <c r="L1" s="18" t="s">
        <v>283</v>
      </c>
      <c r="M1" s="18" t="s">
        <v>284</v>
      </c>
      <c r="N1" s="18" t="s">
        <v>285</v>
      </c>
      <c r="O1" s="18" t="s">
        <v>286</v>
      </c>
      <c r="P1" s="18" t="s">
        <v>184</v>
      </c>
      <c r="Q1" s="18" t="s">
        <v>287</v>
      </c>
      <c r="R1" s="18" t="s">
        <v>288</v>
      </c>
      <c r="S1" s="18" t="s">
        <v>289</v>
      </c>
      <c r="T1" s="18" t="s">
        <v>290</v>
      </c>
      <c r="U1" s="18" t="s">
        <v>194</v>
      </c>
      <c r="V1" s="18" t="s">
        <v>291</v>
      </c>
      <c r="W1" s="18" t="s">
        <v>292</v>
      </c>
      <c r="X1" s="18" t="s">
        <v>293</v>
      </c>
      <c r="Y1" s="18" t="s">
        <v>294</v>
      </c>
      <c r="Z1" s="18" t="s">
        <v>196</v>
      </c>
      <c r="AA1" s="18" t="s">
        <v>295</v>
      </c>
      <c r="AB1" s="18" t="s">
        <v>296</v>
      </c>
      <c r="AC1" s="18" t="s">
        <v>297</v>
      </c>
      <c r="AD1" s="18" t="s">
        <v>298</v>
      </c>
      <c r="AE1" s="18" t="s">
        <v>24</v>
      </c>
      <c r="AF1" s="18" t="s">
        <v>299</v>
      </c>
      <c r="AG1" s="18" t="s">
        <v>300</v>
      </c>
      <c r="AH1" s="18" t="s">
        <v>301</v>
      </c>
      <c r="AI1" s="18" t="s">
        <v>193</v>
      </c>
      <c r="AJ1" s="18" t="s">
        <v>186</v>
      </c>
      <c r="AK1" s="18" t="s">
        <v>180</v>
      </c>
      <c r="AL1" s="18" t="s">
        <v>302</v>
      </c>
      <c r="AM1" s="18" t="s">
        <v>200</v>
      </c>
      <c r="AN1" s="18" t="s">
        <v>27</v>
      </c>
      <c r="AO1" s="18" t="s">
        <v>303</v>
      </c>
      <c r="AP1" s="18" t="s">
        <v>187</v>
      </c>
      <c r="AQ1" s="18" t="s">
        <v>304</v>
      </c>
      <c r="AR1" s="18" t="s">
        <v>305</v>
      </c>
      <c r="AS1" s="18" t="s">
        <v>306</v>
      </c>
      <c r="AT1" s="18" t="s">
        <v>181</v>
      </c>
      <c r="AU1" s="18" t="s">
        <v>307</v>
      </c>
      <c r="AV1" s="18" t="s">
        <v>308</v>
      </c>
      <c r="AW1" s="18" t="s">
        <v>309</v>
      </c>
      <c r="AX1" s="18" t="s">
        <v>31</v>
      </c>
      <c r="AY1" s="18" t="s">
        <v>310</v>
      </c>
      <c r="AZ1" s="18" t="s">
        <v>311</v>
      </c>
      <c r="BA1" s="18" t="s">
        <v>312</v>
      </c>
      <c r="BB1" s="18" t="s">
        <v>190</v>
      </c>
      <c r="BC1" s="18" t="s">
        <v>198</v>
      </c>
      <c r="BD1" s="18" t="s">
        <v>29</v>
      </c>
      <c r="BE1" s="18" t="s">
        <v>313</v>
      </c>
      <c r="BF1" s="18" t="s">
        <v>314</v>
      </c>
      <c r="BG1" s="18" t="s">
        <v>315</v>
      </c>
      <c r="BH1" s="18" t="s">
        <v>316</v>
      </c>
      <c r="BI1" s="18" t="s">
        <v>317</v>
      </c>
      <c r="BJ1" s="18" t="s">
        <v>318</v>
      </c>
      <c r="BK1" s="18" t="s">
        <v>319</v>
      </c>
      <c r="BL1" s="18" t="s">
        <v>320</v>
      </c>
      <c r="BM1" s="18" t="s">
        <v>321</v>
      </c>
      <c r="BN1" s="18" t="s">
        <v>322</v>
      </c>
      <c r="BO1" s="18" t="s">
        <v>323</v>
      </c>
      <c r="BP1" s="18" t="s">
        <v>324</v>
      </c>
      <c r="BQ1" s="18" t="s">
        <v>26</v>
      </c>
      <c r="BR1" s="18" t="s">
        <v>182</v>
      </c>
      <c r="BS1" s="18" t="s">
        <v>325</v>
      </c>
      <c r="BT1" s="18" t="s">
        <v>191</v>
      </c>
      <c r="BU1" s="18" t="s">
        <v>326</v>
      </c>
      <c r="BV1" s="18" t="s">
        <v>327</v>
      </c>
      <c r="BW1" s="18" t="s">
        <v>328</v>
      </c>
      <c r="BX1" s="18" t="s">
        <v>329</v>
      </c>
      <c r="BY1" s="18" t="s">
        <v>189</v>
      </c>
      <c r="BZ1" s="18" t="s">
        <v>330</v>
      </c>
      <c r="CA1" s="18" t="s">
        <v>185</v>
      </c>
      <c r="CB1" s="18" t="s">
        <v>192</v>
      </c>
      <c r="CC1" s="18" t="s">
        <v>331</v>
      </c>
      <c r="CD1" s="18" t="s">
        <v>332</v>
      </c>
      <c r="CE1" s="18" t="s">
        <v>333</v>
      </c>
      <c r="CF1" s="18" t="s">
        <v>28</v>
      </c>
      <c r="CG1" s="18" t="s">
        <v>183</v>
      </c>
      <c r="CH1" s="18" t="s">
        <v>334</v>
      </c>
      <c r="CJ1" s="18" t="s">
        <v>335</v>
      </c>
      <c r="CL1" s="23" t="s">
        <v>336</v>
      </c>
      <c r="CM1" s="18" t="s">
        <v>337</v>
      </c>
    </row>
    <row r="2" customFormat="false" ht="12.8" hidden="true" customHeight="false" outlineLevel="1" collapsed="false">
      <c r="A2" s="18" t="s">
        <v>231</v>
      </c>
      <c r="B2" s="18" t="n">
        <v>300</v>
      </c>
      <c r="C2" s="18" t="n">
        <v>1500</v>
      </c>
      <c r="D2" s="18" t="n">
        <v>22010.9</v>
      </c>
      <c r="E2" s="18" t="n">
        <v>750</v>
      </c>
      <c r="F2" s="18" t="n">
        <v>2950</v>
      </c>
      <c r="G2" s="18" t="n">
        <v>18001</v>
      </c>
      <c r="H2" s="18" t="n">
        <v>3133</v>
      </c>
      <c r="I2" s="18" t="n">
        <v>6700</v>
      </c>
      <c r="J2" s="18" t="n">
        <v>1002</v>
      </c>
      <c r="K2" s="18" t="n">
        <v>10011</v>
      </c>
      <c r="L2" s="18" t="n">
        <v>1000</v>
      </c>
      <c r="M2" s="18" t="n">
        <v>500</v>
      </c>
      <c r="N2" s="18" t="n">
        <v>500</v>
      </c>
      <c r="O2" s="18" t="n">
        <v>1790</v>
      </c>
      <c r="P2" s="18" t="n">
        <v>1440.36</v>
      </c>
      <c r="Q2" s="18" t="n">
        <v>2250</v>
      </c>
      <c r="R2" s="18" t="n">
        <v>1550</v>
      </c>
      <c r="S2" s="18" t="n">
        <v>185</v>
      </c>
      <c r="T2" s="18" t="n">
        <v>480</v>
      </c>
      <c r="U2" s="18" t="n">
        <v>3168</v>
      </c>
      <c r="V2" s="18" t="n">
        <v>27</v>
      </c>
      <c r="W2" s="18" t="n">
        <v>615</v>
      </c>
      <c r="X2" s="18" t="n">
        <v>80</v>
      </c>
      <c r="Y2" s="18" t="n">
        <v>2266</v>
      </c>
      <c r="Z2" s="18" t="n">
        <v>3616</v>
      </c>
      <c r="AA2" s="18" t="n">
        <v>4005</v>
      </c>
      <c r="AB2" s="18" t="n">
        <v>4500</v>
      </c>
      <c r="AC2" s="18" t="n">
        <v>350</v>
      </c>
      <c r="AD2" s="18" t="n">
        <v>120</v>
      </c>
      <c r="AE2" s="18" t="n">
        <v>23459.94</v>
      </c>
      <c r="AF2" s="18" t="n">
        <v>158</v>
      </c>
      <c r="AG2" s="18" t="n">
        <v>19</v>
      </c>
      <c r="AH2" s="18" t="n">
        <v>180</v>
      </c>
      <c r="AI2" s="18" t="n">
        <v>1200</v>
      </c>
      <c r="AJ2" s="18" t="n">
        <v>7570</v>
      </c>
      <c r="AK2" s="18" t="n">
        <v>411.33</v>
      </c>
      <c r="AL2" s="18" t="n">
        <v>20</v>
      </c>
      <c r="AM2" s="18" t="n">
        <v>231</v>
      </c>
      <c r="AN2" s="18" t="n">
        <v>84875.19</v>
      </c>
      <c r="AO2" s="18" t="n">
        <v>600</v>
      </c>
      <c r="AP2" s="18" t="n">
        <v>140</v>
      </c>
      <c r="AQ2" s="18" t="n">
        <v>3200</v>
      </c>
      <c r="AR2" s="18" t="n">
        <v>607</v>
      </c>
      <c r="AS2" s="18" t="n">
        <v>99</v>
      </c>
      <c r="AT2" s="18" t="n">
        <v>43161.88</v>
      </c>
      <c r="AU2" s="18" t="n">
        <v>61500</v>
      </c>
      <c r="AV2" s="18" t="n">
        <v>1900</v>
      </c>
      <c r="AW2" s="18" t="n">
        <v>6000</v>
      </c>
      <c r="AX2" s="18" t="n">
        <v>5919</v>
      </c>
      <c r="AY2" s="18" t="n">
        <v>300</v>
      </c>
      <c r="AZ2" s="18" t="n">
        <v>16500</v>
      </c>
      <c r="BA2" s="18" t="n">
        <v>2619</v>
      </c>
      <c r="BB2" s="18" t="n">
        <v>34500</v>
      </c>
      <c r="BC2" s="18" t="n">
        <v>2000</v>
      </c>
      <c r="BD2" s="18" t="n">
        <v>142865</v>
      </c>
      <c r="BE2" s="18" t="n">
        <v>50</v>
      </c>
      <c r="BF2" s="18" t="n">
        <v>20</v>
      </c>
      <c r="BG2" s="18" t="n">
        <v>515</v>
      </c>
      <c r="BH2" s="18" t="n">
        <v>20</v>
      </c>
      <c r="BI2" s="18" t="n">
        <v>45</v>
      </c>
      <c r="BJ2" s="18" t="n">
        <v>603</v>
      </c>
      <c r="BK2" s="18" t="n">
        <v>360</v>
      </c>
      <c r="BL2" s="18" t="n">
        <v>70</v>
      </c>
      <c r="BM2" s="18" t="n">
        <v>7051</v>
      </c>
      <c r="BN2" s="18" t="n">
        <v>3100</v>
      </c>
      <c r="BO2" s="18" t="n">
        <v>30</v>
      </c>
      <c r="BP2" s="18" t="n">
        <v>1200</v>
      </c>
      <c r="BQ2" s="18" t="n">
        <v>3350</v>
      </c>
      <c r="BR2" s="18" t="n">
        <v>1800</v>
      </c>
      <c r="BS2" s="18" t="n">
        <v>730</v>
      </c>
      <c r="BT2" s="18" t="n">
        <v>3052.67</v>
      </c>
      <c r="BU2" s="18" t="n">
        <v>1000</v>
      </c>
      <c r="BV2" s="18" t="n">
        <v>1800</v>
      </c>
      <c r="BW2" s="18" t="n">
        <v>97</v>
      </c>
      <c r="BX2" s="18" t="n">
        <v>7838</v>
      </c>
      <c r="BY2" s="18" t="n">
        <v>1800</v>
      </c>
      <c r="BZ2" s="18" t="n">
        <v>250</v>
      </c>
      <c r="CA2" s="18" t="n">
        <v>7000</v>
      </c>
      <c r="CB2" s="18" t="n">
        <v>53560</v>
      </c>
      <c r="CC2" s="18" t="n">
        <v>220</v>
      </c>
      <c r="CD2" s="18" t="n">
        <v>119</v>
      </c>
      <c r="CE2" s="18" t="n">
        <v>2101</v>
      </c>
      <c r="CF2" s="18" t="n">
        <v>315</v>
      </c>
      <c r="CG2" s="18" t="n">
        <v>37150</v>
      </c>
      <c r="CH2" s="18" t="n">
        <v>350</v>
      </c>
      <c r="CJ2" s="18" t="n">
        <v>3700</v>
      </c>
    </row>
    <row r="3" customFormat="false" ht="12.8" hidden="true" customHeight="false" outlineLevel="1" collapsed="false">
      <c r="A3" s="18" t="s">
        <v>42</v>
      </c>
      <c r="B3" s="18" t="n">
        <v>300</v>
      </c>
      <c r="C3" s="18" t="n">
        <v>1500</v>
      </c>
      <c r="D3" s="18" t="n">
        <v>22298.95</v>
      </c>
      <c r="E3" s="18" t="n">
        <v>750</v>
      </c>
      <c r="F3" s="18" t="n">
        <v>2950</v>
      </c>
      <c r="G3" s="18" t="n">
        <v>18001</v>
      </c>
      <c r="H3" s="18" t="n">
        <v>3133</v>
      </c>
      <c r="I3" s="18" t="n">
        <v>6700</v>
      </c>
      <c r="J3" s="18" t="n">
        <v>1002</v>
      </c>
      <c r="K3" s="18" t="n">
        <v>10011</v>
      </c>
      <c r="L3" s="18" t="n">
        <v>1000</v>
      </c>
      <c r="M3" s="18" t="n">
        <v>500</v>
      </c>
      <c r="N3" s="18" t="n">
        <v>500</v>
      </c>
      <c r="O3" s="18" t="n">
        <v>1790</v>
      </c>
      <c r="P3" s="18" t="n">
        <v>1440</v>
      </c>
      <c r="Q3" s="18" t="n">
        <v>2250</v>
      </c>
      <c r="R3" s="18" t="n">
        <v>1550</v>
      </c>
      <c r="S3" s="18" t="n">
        <v>185</v>
      </c>
      <c r="T3" s="18" t="n">
        <v>480</v>
      </c>
      <c r="U3" s="18" t="n">
        <v>3168</v>
      </c>
      <c r="V3" s="18" t="n">
        <v>27</v>
      </c>
      <c r="W3" s="18" t="n">
        <v>615</v>
      </c>
      <c r="X3" s="18" t="n">
        <v>80</v>
      </c>
      <c r="Y3" s="18" t="n">
        <v>2266</v>
      </c>
      <c r="Z3" s="18" t="n">
        <v>3616</v>
      </c>
      <c r="AA3" s="18" t="n">
        <v>4005</v>
      </c>
      <c r="AB3" s="18" t="n">
        <v>4500</v>
      </c>
      <c r="AC3" s="18" t="n">
        <v>350</v>
      </c>
      <c r="AD3" s="18" t="n">
        <v>120</v>
      </c>
      <c r="AE3" s="18" t="n">
        <v>24277.41</v>
      </c>
      <c r="AF3" s="18" t="n">
        <v>158</v>
      </c>
      <c r="AG3" s="18" t="n">
        <v>20</v>
      </c>
      <c r="AH3" s="18" t="n">
        <v>180</v>
      </c>
      <c r="AI3" s="18" t="n">
        <v>1200</v>
      </c>
      <c r="AJ3" s="18" t="n">
        <v>7350</v>
      </c>
      <c r="AK3" s="18" t="n">
        <v>417</v>
      </c>
      <c r="AL3" s="18" t="n">
        <v>20</v>
      </c>
      <c r="AM3" s="18" t="n">
        <v>231</v>
      </c>
      <c r="AN3" s="18" t="n">
        <v>85000</v>
      </c>
      <c r="AO3" s="18" t="n">
        <v>600</v>
      </c>
      <c r="AP3" s="18" t="n">
        <v>140</v>
      </c>
      <c r="AQ3" s="18" t="n">
        <v>3200</v>
      </c>
      <c r="AR3" s="18" t="n">
        <v>607</v>
      </c>
      <c r="AS3" s="18" t="n">
        <v>99</v>
      </c>
      <c r="AT3" s="18" t="n">
        <v>44263.5</v>
      </c>
      <c r="AU3" s="18" t="n">
        <v>61500</v>
      </c>
      <c r="AV3" s="18" t="n">
        <v>1900</v>
      </c>
      <c r="AW3" s="18" t="n">
        <v>6000</v>
      </c>
      <c r="AX3" s="18" t="n">
        <v>5919</v>
      </c>
      <c r="AY3" s="18" t="n">
        <v>300</v>
      </c>
      <c r="AZ3" s="18" t="n">
        <v>16500</v>
      </c>
      <c r="BA3" s="18" t="n">
        <v>2619</v>
      </c>
      <c r="BB3" s="18" t="n">
        <v>34500</v>
      </c>
      <c r="BC3" s="18" t="n">
        <v>2000</v>
      </c>
      <c r="BD3" s="18" t="n">
        <v>142865</v>
      </c>
      <c r="BE3" s="18" t="n">
        <v>50</v>
      </c>
      <c r="BF3" s="18" t="n">
        <v>20</v>
      </c>
      <c r="BG3" s="18" t="n">
        <v>515</v>
      </c>
      <c r="BH3" s="18" t="n">
        <v>20</v>
      </c>
      <c r="BI3" s="18" t="n">
        <v>45</v>
      </c>
      <c r="BJ3" s="18" t="n">
        <v>603</v>
      </c>
      <c r="BK3" s="18" t="n">
        <v>360</v>
      </c>
      <c r="BL3" s="18" t="n">
        <v>70</v>
      </c>
      <c r="BM3" s="18" t="n">
        <v>7051</v>
      </c>
      <c r="BN3" s="18" t="n">
        <v>3100</v>
      </c>
      <c r="BO3" s="18" t="n">
        <v>30</v>
      </c>
      <c r="BP3" s="18" t="n">
        <v>1200</v>
      </c>
      <c r="BQ3" s="18" t="n">
        <v>3080.43</v>
      </c>
      <c r="BR3" s="18" t="n">
        <v>1800</v>
      </c>
      <c r="BS3" s="18" t="n">
        <v>730</v>
      </c>
      <c r="BT3" s="18" t="n">
        <v>3052.67</v>
      </c>
      <c r="BU3" s="18" t="n">
        <v>1000</v>
      </c>
      <c r="BV3" s="18" t="n">
        <v>1800</v>
      </c>
      <c r="BW3" s="18" t="n">
        <v>97</v>
      </c>
      <c r="BX3" s="18" t="n">
        <v>7838</v>
      </c>
      <c r="BY3" s="18" t="n">
        <v>1833</v>
      </c>
      <c r="BZ3" s="18" t="n">
        <v>250</v>
      </c>
      <c r="CA3" s="18" t="n">
        <v>7190</v>
      </c>
      <c r="CB3" s="18" t="n">
        <v>53560</v>
      </c>
      <c r="CC3" s="18" t="n">
        <v>220</v>
      </c>
      <c r="CD3" s="18" t="n">
        <v>119</v>
      </c>
      <c r="CE3" s="18" t="n">
        <v>2101</v>
      </c>
      <c r="CF3" s="18" t="n">
        <v>315</v>
      </c>
      <c r="CG3" s="18" t="n">
        <v>37150</v>
      </c>
      <c r="CH3" s="18" t="n">
        <v>350</v>
      </c>
      <c r="CJ3" s="18" t="n">
        <v>3700</v>
      </c>
    </row>
    <row r="4" customFormat="false" ht="12.8" hidden="true" customHeight="false" outlineLevel="1" collapsed="false">
      <c r="A4" s="40" t="s">
        <v>41</v>
      </c>
      <c r="B4" s="18" t="n">
        <v>300</v>
      </c>
      <c r="C4" s="18" t="n">
        <v>1500</v>
      </c>
      <c r="D4" s="18" t="n">
        <v>22128.55</v>
      </c>
      <c r="E4" s="18" t="n">
        <v>750</v>
      </c>
      <c r="F4" s="18" t="n">
        <v>2950</v>
      </c>
      <c r="G4" s="18" t="n">
        <v>15550</v>
      </c>
      <c r="H4" s="18" t="n">
        <v>3133</v>
      </c>
      <c r="I4" s="18" t="n">
        <v>6700</v>
      </c>
      <c r="J4" s="18" t="n">
        <v>1002</v>
      </c>
      <c r="K4" s="18" t="n">
        <v>10000</v>
      </c>
      <c r="L4" s="18" t="n">
        <v>1000</v>
      </c>
      <c r="M4" s="18" t="n">
        <v>500</v>
      </c>
      <c r="N4" s="18" t="n">
        <v>500</v>
      </c>
      <c r="O4" s="18" t="n">
        <v>1790</v>
      </c>
      <c r="P4" s="18" t="n">
        <v>1440</v>
      </c>
      <c r="Q4" s="18" t="n">
        <v>2250</v>
      </c>
      <c r="R4" s="18" t="n">
        <v>1550</v>
      </c>
      <c r="S4" s="18" t="n">
        <v>185</v>
      </c>
      <c r="T4" s="18" t="n">
        <v>480</v>
      </c>
      <c r="U4" s="18" t="n">
        <v>3168</v>
      </c>
      <c r="V4" s="18" t="n">
        <v>27</v>
      </c>
      <c r="W4" s="18" t="n">
        <v>615</v>
      </c>
      <c r="X4" s="18" t="n">
        <v>80</v>
      </c>
      <c r="Y4" s="18" t="n">
        <v>2266</v>
      </c>
      <c r="Z4" s="18" t="n">
        <v>3616</v>
      </c>
      <c r="AA4" s="18" t="n">
        <v>4005</v>
      </c>
      <c r="AB4" s="18" t="n">
        <v>4500</v>
      </c>
      <c r="AC4" s="18" t="n">
        <v>333</v>
      </c>
      <c r="AD4" s="18" t="n">
        <v>120</v>
      </c>
      <c r="AE4" s="18" t="n">
        <v>23468.23</v>
      </c>
      <c r="AF4" s="18" t="n">
        <v>158</v>
      </c>
      <c r="AG4" s="18" t="n">
        <v>20</v>
      </c>
      <c r="AH4" s="18" t="n">
        <v>180</v>
      </c>
      <c r="AI4" s="18" t="n">
        <v>1200</v>
      </c>
      <c r="AJ4" s="18" t="n">
        <v>8000</v>
      </c>
      <c r="AK4" s="18" t="n">
        <v>419.11</v>
      </c>
      <c r="AL4" s="18" t="n">
        <v>20</v>
      </c>
      <c r="AM4" s="18" t="n">
        <v>231</v>
      </c>
      <c r="AN4" s="18" t="n">
        <v>81499.61</v>
      </c>
      <c r="AO4" s="18" t="n">
        <v>600</v>
      </c>
      <c r="AP4" s="18" t="n">
        <v>136.63</v>
      </c>
      <c r="AQ4" s="18" t="n">
        <v>3200</v>
      </c>
      <c r="AR4" s="18" t="n">
        <v>607</v>
      </c>
      <c r="AS4" s="18" t="n">
        <v>99</v>
      </c>
      <c r="AT4" s="18" t="n">
        <v>41326.84</v>
      </c>
      <c r="AU4" s="18" t="n">
        <v>61500</v>
      </c>
      <c r="AV4" s="18" t="n">
        <v>1900</v>
      </c>
      <c r="AW4" s="18" t="n">
        <v>6000</v>
      </c>
      <c r="AX4" s="18" t="n">
        <v>5348.65</v>
      </c>
      <c r="AY4" s="18" t="n">
        <v>300</v>
      </c>
      <c r="AZ4" s="18" t="n">
        <v>16500</v>
      </c>
      <c r="BA4" s="18" t="n">
        <v>2619</v>
      </c>
      <c r="BB4" s="18" t="n">
        <v>34500</v>
      </c>
      <c r="BC4" s="18" t="n">
        <v>2000</v>
      </c>
      <c r="BD4" s="18" t="n">
        <v>148624.5</v>
      </c>
      <c r="BE4" s="18" t="n">
        <v>50</v>
      </c>
      <c r="BF4" s="18" t="n">
        <v>20</v>
      </c>
      <c r="BG4" s="18" t="n">
        <v>500</v>
      </c>
      <c r="BH4" s="18" t="n">
        <v>20</v>
      </c>
      <c r="BI4" s="18" t="n">
        <v>45</v>
      </c>
      <c r="BJ4" s="18" t="n">
        <v>603</v>
      </c>
      <c r="BK4" s="18" t="n">
        <v>360</v>
      </c>
      <c r="BL4" s="18" t="n">
        <v>70</v>
      </c>
      <c r="BM4" s="18" t="n">
        <v>7051</v>
      </c>
      <c r="BN4" s="18" t="n">
        <v>3100</v>
      </c>
      <c r="BO4" s="18" t="n">
        <v>30</v>
      </c>
      <c r="BP4" s="18" t="n">
        <v>1200</v>
      </c>
      <c r="BQ4" s="18" t="n">
        <v>3100</v>
      </c>
      <c r="BR4" s="18" t="n">
        <v>1569.09</v>
      </c>
      <c r="BS4" s="18" t="n">
        <v>730</v>
      </c>
      <c r="BT4" s="18" t="n">
        <v>2970</v>
      </c>
      <c r="BU4" s="18" t="n">
        <v>1000</v>
      </c>
      <c r="BV4" s="18" t="n">
        <v>1800</v>
      </c>
      <c r="BW4" s="18" t="n">
        <v>97</v>
      </c>
      <c r="BX4" s="18" t="n">
        <v>7838</v>
      </c>
      <c r="BY4" s="18" t="n">
        <v>1550</v>
      </c>
      <c r="BZ4" s="18" t="n">
        <v>250</v>
      </c>
      <c r="CA4" s="18" t="n">
        <v>6950</v>
      </c>
      <c r="CB4" s="18" t="n">
        <v>53560</v>
      </c>
      <c r="CC4" s="18" t="n">
        <v>220</v>
      </c>
      <c r="CD4" s="18" t="n">
        <v>119</v>
      </c>
      <c r="CE4" s="18" t="n">
        <v>2101</v>
      </c>
      <c r="CF4" s="18" t="n">
        <v>315</v>
      </c>
      <c r="CG4" s="18" t="n">
        <v>37200</v>
      </c>
      <c r="CH4" s="18" t="n">
        <v>350</v>
      </c>
      <c r="CJ4" s="18" t="n">
        <v>3800</v>
      </c>
    </row>
    <row r="5" customFormat="false" ht="12.8" hidden="true" customHeight="false" outlineLevel="1" collapsed="false">
      <c r="A5" s="18" t="s">
        <v>40</v>
      </c>
      <c r="B5" s="18" t="n">
        <v>300</v>
      </c>
      <c r="C5" s="18" t="n">
        <v>1600</v>
      </c>
      <c r="D5" s="18" t="n">
        <v>20589</v>
      </c>
      <c r="E5" s="18" t="n">
        <v>750</v>
      </c>
      <c r="F5" s="18" t="n">
        <v>2950</v>
      </c>
      <c r="G5" s="18" t="n">
        <v>15550</v>
      </c>
      <c r="H5" s="18" t="n">
        <v>3133</v>
      </c>
      <c r="I5" s="18" t="n">
        <v>6700</v>
      </c>
      <c r="J5" s="18" t="n">
        <v>1002</v>
      </c>
      <c r="K5" s="18" t="n">
        <v>10999</v>
      </c>
      <c r="L5" s="18" t="n">
        <v>1000</v>
      </c>
      <c r="M5" s="18" t="n">
        <v>500</v>
      </c>
      <c r="N5" s="18" t="n">
        <v>500</v>
      </c>
      <c r="O5" s="18" t="n">
        <v>1790</v>
      </c>
      <c r="P5" s="18" t="n">
        <v>1340</v>
      </c>
      <c r="Q5" s="18" t="n">
        <v>2250</v>
      </c>
      <c r="R5" s="18" t="n">
        <v>1550</v>
      </c>
      <c r="S5" s="18" t="n">
        <v>185</v>
      </c>
      <c r="T5" s="18" t="n">
        <v>480</v>
      </c>
      <c r="U5" s="18" t="n">
        <v>3168</v>
      </c>
      <c r="V5" s="18" t="n">
        <v>27</v>
      </c>
      <c r="W5" s="18" t="n">
        <v>615</v>
      </c>
      <c r="X5" s="18" t="n">
        <v>80</v>
      </c>
      <c r="Y5" s="18" t="n">
        <v>2266</v>
      </c>
      <c r="Z5" s="18" t="n">
        <v>3616</v>
      </c>
      <c r="AA5" s="18" t="n">
        <v>4005</v>
      </c>
      <c r="AB5" s="18" t="n">
        <v>4500</v>
      </c>
      <c r="AC5" s="18" t="n">
        <v>333</v>
      </c>
      <c r="AD5" s="18" t="n">
        <v>120</v>
      </c>
      <c r="AE5" s="18" t="n">
        <v>21699.66</v>
      </c>
      <c r="AF5" s="18" t="n">
        <v>158</v>
      </c>
      <c r="AG5" s="18" t="n">
        <v>20</v>
      </c>
      <c r="AH5" s="18" t="n">
        <v>180</v>
      </c>
      <c r="AI5" s="18" t="n">
        <v>1200</v>
      </c>
      <c r="AJ5" s="18" t="n">
        <v>6502</v>
      </c>
      <c r="AK5" s="18" t="n">
        <v>420.17</v>
      </c>
      <c r="AL5" s="18" t="n">
        <v>20</v>
      </c>
      <c r="AM5" s="18" t="n">
        <v>231</v>
      </c>
      <c r="AN5" s="18" t="n">
        <v>78949.9</v>
      </c>
      <c r="AO5" s="18" t="n">
        <v>600</v>
      </c>
      <c r="AP5" s="18" t="n">
        <v>139</v>
      </c>
      <c r="AQ5" s="18" t="n">
        <v>3200</v>
      </c>
      <c r="AR5" s="18" t="n">
        <v>607</v>
      </c>
      <c r="AS5" s="18" t="n">
        <v>99</v>
      </c>
      <c r="AT5" s="18" t="n">
        <v>38900</v>
      </c>
      <c r="AU5" s="18" t="n">
        <v>61500</v>
      </c>
      <c r="AV5" s="18" t="n">
        <v>1900</v>
      </c>
      <c r="AW5" s="18" t="n">
        <v>6000</v>
      </c>
      <c r="AX5" s="18" t="n">
        <v>4900</v>
      </c>
      <c r="AY5" s="18" t="n">
        <v>300</v>
      </c>
      <c r="AZ5" s="18" t="n">
        <v>16500</v>
      </c>
      <c r="BA5" s="18" t="n">
        <v>2619</v>
      </c>
      <c r="BB5" s="18" t="n">
        <v>34500</v>
      </c>
      <c r="BC5" s="18" t="n">
        <v>2000</v>
      </c>
      <c r="BD5" s="18" t="n">
        <v>116000</v>
      </c>
      <c r="BE5" s="18" t="n">
        <v>50</v>
      </c>
      <c r="BF5" s="18" t="n">
        <v>20</v>
      </c>
      <c r="BG5" s="18" t="n">
        <v>500</v>
      </c>
      <c r="BH5" s="18" t="n">
        <v>20</v>
      </c>
      <c r="BI5" s="18" t="n">
        <v>51</v>
      </c>
      <c r="BJ5" s="18" t="n">
        <v>603</v>
      </c>
      <c r="BK5" s="18" t="n">
        <v>360</v>
      </c>
      <c r="BL5" s="18" t="n">
        <v>70</v>
      </c>
      <c r="BM5" s="18" t="n">
        <v>7051</v>
      </c>
      <c r="BN5" s="18" t="n">
        <v>3100</v>
      </c>
      <c r="BO5" s="18" t="n">
        <v>30</v>
      </c>
      <c r="BP5" s="18" t="n">
        <v>1200</v>
      </c>
      <c r="BQ5" s="18" t="n">
        <v>3000</v>
      </c>
      <c r="BR5" s="18" t="n">
        <v>1560</v>
      </c>
      <c r="BS5" s="18" t="n">
        <v>730</v>
      </c>
      <c r="BT5" s="18" t="n">
        <v>3000</v>
      </c>
      <c r="BU5" s="18" t="n">
        <v>1000</v>
      </c>
      <c r="BV5" s="18" t="n">
        <v>1800</v>
      </c>
      <c r="BW5" s="18" t="n">
        <v>97</v>
      </c>
      <c r="BX5" s="18" t="n">
        <v>7838</v>
      </c>
      <c r="BY5" s="18" t="n">
        <v>1462.5</v>
      </c>
      <c r="BZ5" s="18" t="n">
        <v>250</v>
      </c>
      <c r="CA5" s="18" t="n">
        <v>6750</v>
      </c>
      <c r="CB5" s="18" t="n">
        <v>53560</v>
      </c>
      <c r="CC5" s="18" t="n">
        <v>220</v>
      </c>
      <c r="CD5" s="18" t="n">
        <v>119</v>
      </c>
      <c r="CE5" s="18" t="n">
        <v>2101</v>
      </c>
      <c r="CF5" s="18" t="n">
        <v>315</v>
      </c>
      <c r="CG5" s="18" t="n">
        <v>37200</v>
      </c>
      <c r="CH5" s="18" t="n">
        <v>350</v>
      </c>
      <c r="CJ5" s="18" t="n">
        <v>3600</v>
      </c>
    </row>
    <row r="6" customFormat="false" ht="12.8" hidden="true" customHeight="false" outlineLevel="1" collapsed="false">
      <c r="A6" s="40" t="s">
        <v>38</v>
      </c>
      <c r="B6" s="18" t="n">
        <v>300</v>
      </c>
      <c r="C6" s="18" t="n">
        <v>1200</v>
      </c>
      <c r="D6" s="18" t="n">
        <v>20077.78</v>
      </c>
      <c r="E6" s="18" t="n">
        <v>750</v>
      </c>
      <c r="F6" s="18" t="n">
        <v>2950</v>
      </c>
      <c r="G6" s="18" t="n">
        <v>15550</v>
      </c>
      <c r="H6" s="18" t="n">
        <v>3133</v>
      </c>
      <c r="I6" s="18" t="n">
        <v>6500</v>
      </c>
      <c r="J6" s="18" t="n">
        <v>1002</v>
      </c>
      <c r="K6" s="18" t="n">
        <v>10010</v>
      </c>
      <c r="L6" s="18" t="n">
        <v>1000</v>
      </c>
      <c r="M6" s="18" t="n">
        <v>500</v>
      </c>
      <c r="N6" s="18" t="n">
        <v>500</v>
      </c>
      <c r="O6" s="18" t="n">
        <v>1790</v>
      </c>
      <c r="P6" s="18" t="n">
        <v>1380</v>
      </c>
      <c r="Q6" s="18" t="n">
        <v>2250</v>
      </c>
      <c r="R6" s="18" t="n">
        <v>1550</v>
      </c>
      <c r="S6" s="18" t="n">
        <v>185</v>
      </c>
      <c r="T6" s="18" t="n">
        <v>480</v>
      </c>
      <c r="U6" s="18" t="n">
        <v>3168</v>
      </c>
      <c r="V6" s="18" t="n">
        <v>27</v>
      </c>
      <c r="W6" s="18" t="n">
        <v>615</v>
      </c>
      <c r="X6" s="18" t="n">
        <v>80</v>
      </c>
      <c r="Y6" s="18" t="n">
        <v>2266</v>
      </c>
      <c r="Z6" s="18" t="n">
        <v>3616</v>
      </c>
      <c r="AA6" s="18" t="n">
        <v>4005</v>
      </c>
      <c r="AB6" s="18" t="n">
        <v>4500</v>
      </c>
      <c r="AC6" s="18" t="n">
        <v>333</v>
      </c>
      <c r="AD6" s="18" t="n">
        <v>120</v>
      </c>
      <c r="AE6" s="18" t="n">
        <v>18005.47</v>
      </c>
      <c r="AF6" s="18" t="n">
        <v>158</v>
      </c>
      <c r="AG6" s="18" t="n">
        <v>46</v>
      </c>
      <c r="AH6" s="18" t="n">
        <v>180</v>
      </c>
      <c r="AI6" s="18" t="n">
        <v>1237</v>
      </c>
      <c r="AJ6" s="18" t="n">
        <v>5722</v>
      </c>
      <c r="AK6" s="18" t="n">
        <v>420</v>
      </c>
      <c r="AL6" s="18" t="n">
        <v>20</v>
      </c>
      <c r="AM6" s="18" t="n">
        <v>231</v>
      </c>
      <c r="AN6" s="18" t="n">
        <v>70977.57</v>
      </c>
      <c r="AO6" s="18" t="n">
        <v>600</v>
      </c>
      <c r="AP6" s="18" t="n">
        <v>132</v>
      </c>
      <c r="AQ6" s="18" t="n">
        <v>2575</v>
      </c>
      <c r="AR6" s="18" t="n">
        <v>607</v>
      </c>
      <c r="AS6" s="18" t="n">
        <v>99</v>
      </c>
      <c r="AT6" s="18" t="n">
        <v>38080.35</v>
      </c>
      <c r="AU6" s="18" t="n">
        <v>61500</v>
      </c>
      <c r="AV6" s="18" t="n">
        <v>1900</v>
      </c>
      <c r="AW6" s="18" t="n">
        <v>6000</v>
      </c>
      <c r="AX6" s="18" t="n">
        <v>5146</v>
      </c>
      <c r="AY6" s="18" t="n">
        <v>300</v>
      </c>
      <c r="AZ6" s="18" t="n">
        <v>16500</v>
      </c>
      <c r="BA6" s="18" t="n">
        <v>2619</v>
      </c>
      <c r="BB6" s="18" t="n">
        <v>34300</v>
      </c>
      <c r="BC6" s="18" t="n">
        <v>2000</v>
      </c>
      <c r="BD6" s="18" t="n">
        <v>109000</v>
      </c>
      <c r="BE6" s="18" t="n">
        <v>50</v>
      </c>
      <c r="BF6" s="18" t="n">
        <v>20</v>
      </c>
      <c r="BG6" s="18" t="n">
        <v>367</v>
      </c>
      <c r="BH6" s="18" t="n">
        <v>20</v>
      </c>
      <c r="BI6" s="18" t="n">
        <v>51</v>
      </c>
      <c r="BJ6" s="18" t="n">
        <v>603</v>
      </c>
      <c r="BK6" s="18" t="n">
        <v>360</v>
      </c>
      <c r="BL6" s="18" t="n">
        <v>70</v>
      </c>
      <c r="BM6" s="18" t="n">
        <v>7000</v>
      </c>
      <c r="BN6" s="18" t="n">
        <v>3100</v>
      </c>
      <c r="BO6" s="18" t="n">
        <v>30</v>
      </c>
      <c r="BP6" s="18" t="n">
        <v>1200</v>
      </c>
      <c r="BQ6" s="18" t="n">
        <v>2900</v>
      </c>
      <c r="BR6" s="18" t="n">
        <v>1592.24</v>
      </c>
      <c r="BS6" s="18" t="n">
        <v>730</v>
      </c>
      <c r="BT6" s="18" t="n">
        <v>2881</v>
      </c>
      <c r="BU6" s="18" t="n">
        <v>1000</v>
      </c>
      <c r="BV6" s="18" t="n">
        <v>1800</v>
      </c>
      <c r="BW6" s="18" t="n">
        <v>97</v>
      </c>
      <c r="BX6" s="18" t="n">
        <v>7838</v>
      </c>
      <c r="BY6" s="18" t="n">
        <v>1450</v>
      </c>
      <c r="BZ6" s="18" t="n">
        <v>250</v>
      </c>
      <c r="CA6" s="18" t="n">
        <v>7134.5</v>
      </c>
      <c r="CB6" s="18" t="n">
        <v>52002</v>
      </c>
      <c r="CC6" s="18" t="n">
        <v>220</v>
      </c>
      <c r="CD6" s="18" t="n">
        <v>119</v>
      </c>
      <c r="CE6" s="18" t="n">
        <v>2101</v>
      </c>
      <c r="CF6" s="18" t="n">
        <v>315</v>
      </c>
      <c r="CG6" s="18" t="n">
        <v>31250</v>
      </c>
      <c r="CH6" s="18" t="n">
        <v>350</v>
      </c>
      <c r="CJ6" s="18" t="n">
        <v>3802</v>
      </c>
    </row>
    <row r="7" customFormat="false" ht="12.8" hidden="true" customHeight="false" outlineLevel="1" collapsed="false">
      <c r="A7" s="18" t="s">
        <v>37</v>
      </c>
      <c r="B7" s="18" t="n">
        <v>300</v>
      </c>
      <c r="C7" s="22" t="n">
        <v>1200</v>
      </c>
      <c r="D7" s="18" t="n">
        <v>20395.21</v>
      </c>
      <c r="E7" s="18" t="n">
        <v>750</v>
      </c>
      <c r="F7" s="18" t="n">
        <v>2950</v>
      </c>
      <c r="G7" s="18" t="n">
        <v>15550</v>
      </c>
      <c r="H7" s="18" t="n">
        <v>3133</v>
      </c>
      <c r="I7" s="18" t="n">
        <v>6500</v>
      </c>
      <c r="J7" s="18" t="n">
        <v>1002</v>
      </c>
      <c r="K7" s="18" t="n">
        <v>10000</v>
      </c>
      <c r="L7" s="18" t="n">
        <v>1000</v>
      </c>
      <c r="M7" s="18" t="n">
        <v>500</v>
      </c>
      <c r="N7" s="18" t="n">
        <v>500</v>
      </c>
      <c r="O7" s="18" t="n">
        <v>1790</v>
      </c>
      <c r="P7" s="18" t="n">
        <v>1230</v>
      </c>
      <c r="Q7" s="18" t="n">
        <v>2250</v>
      </c>
      <c r="R7" s="18" t="n">
        <v>1550</v>
      </c>
      <c r="S7" s="18" t="n">
        <v>185</v>
      </c>
      <c r="T7" s="18" t="n">
        <v>480</v>
      </c>
      <c r="U7" s="18" t="n">
        <v>3168</v>
      </c>
      <c r="V7" s="18" t="n">
        <v>27</v>
      </c>
      <c r="W7" s="18" t="n">
        <v>615</v>
      </c>
      <c r="X7" s="18" t="n">
        <v>80</v>
      </c>
      <c r="Y7" s="18" t="n">
        <v>2266</v>
      </c>
      <c r="Z7" s="18" t="n">
        <v>3604</v>
      </c>
      <c r="AA7" s="18" t="n">
        <v>4005</v>
      </c>
      <c r="AB7" s="18" t="n">
        <v>4500</v>
      </c>
      <c r="AC7" s="18" t="n">
        <v>333</v>
      </c>
      <c r="AD7" s="18" t="n">
        <v>120</v>
      </c>
      <c r="AE7" s="18" t="n">
        <v>17947.95</v>
      </c>
      <c r="AF7" s="18" t="n">
        <v>158</v>
      </c>
      <c r="AG7" s="18" t="n">
        <v>46</v>
      </c>
      <c r="AH7" s="18" t="n">
        <v>180</v>
      </c>
      <c r="AI7" s="18" t="n">
        <v>1237</v>
      </c>
      <c r="AJ7" s="18" t="n">
        <v>5150</v>
      </c>
      <c r="AK7" s="18" t="n">
        <v>420</v>
      </c>
      <c r="AL7" s="18" t="n">
        <v>20</v>
      </c>
      <c r="AM7" s="18" t="n">
        <v>231</v>
      </c>
      <c r="AN7" s="18" t="n">
        <v>67999.98</v>
      </c>
      <c r="AO7" s="18" t="n">
        <v>600</v>
      </c>
      <c r="AP7" s="18" t="n">
        <v>133</v>
      </c>
      <c r="AQ7" s="18" t="n">
        <v>2575</v>
      </c>
      <c r="AR7" s="18" t="n">
        <v>607</v>
      </c>
      <c r="AS7" s="18" t="n">
        <v>99</v>
      </c>
      <c r="AT7" s="18" t="n">
        <v>39750</v>
      </c>
      <c r="AU7" s="18" t="n">
        <v>61500</v>
      </c>
      <c r="AV7" s="18" t="n">
        <v>1900</v>
      </c>
      <c r="AW7" s="18" t="n">
        <v>6000</v>
      </c>
      <c r="AX7" s="18" t="n">
        <v>5146</v>
      </c>
      <c r="AY7" s="18" t="n">
        <v>300</v>
      </c>
      <c r="AZ7" s="18" t="n">
        <v>16500</v>
      </c>
      <c r="BA7" s="18" t="n">
        <v>2619</v>
      </c>
      <c r="BB7" s="18" t="n">
        <v>33301</v>
      </c>
      <c r="BC7" s="18" t="n">
        <v>2000</v>
      </c>
      <c r="BD7" s="18" t="n">
        <v>103581.12</v>
      </c>
      <c r="BE7" s="18" t="n">
        <v>50</v>
      </c>
      <c r="BF7" s="18" t="n">
        <v>20</v>
      </c>
      <c r="BG7" s="18" t="n">
        <v>367</v>
      </c>
      <c r="BH7" s="18" t="n">
        <v>20</v>
      </c>
      <c r="BI7" s="18" t="n">
        <v>52</v>
      </c>
      <c r="BJ7" s="18" t="n">
        <v>603</v>
      </c>
      <c r="BK7" s="18" t="n">
        <v>360</v>
      </c>
      <c r="BL7" s="18" t="n">
        <v>70</v>
      </c>
      <c r="BM7" s="18" t="n">
        <v>7000</v>
      </c>
      <c r="BN7" s="18" t="n">
        <v>3100</v>
      </c>
      <c r="BO7" s="18" t="n">
        <v>30</v>
      </c>
      <c r="BP7" s="18" t="n">
        <v>1200</v>
      </c>
      <c r="BQ7" s="18" t="n">
        <v>2647</v>
      </c>
      <c r="BR7" s="18" t="n">
        <v>1512.34</v>
      </c>
      <c r="BS7" s="18" t="n">
        <v>730</v>
      </c>
      <c r="BT7" s="18" t="n">
        <v>2800</v>
      </c>
      <c r="BU7" s="18" t="n">
        <v>1000</v>
      </c>
      <c r="BV7" s="18" t="n">
        <v>1800</v>
      </c>
      <c r="BW7" s="18" t="n">
        <v>97</v>
      </c>
      <c r="BX7" s="18" t="n">
        <v>7838</v>
      </c>
      <c r="BY7" s="18" t="n">
        <v>1455</v>
      </c>
      <c r="BZ7" s="18" t="n">
        <v>250</v>
      </c>
      <c r="CA7" s="18" t="n">
        <v>6932</v>
      </c>
      <c r="CB7" s="18" t="n">
        <v>50500</v>
      </c>
      <c r="CC7" s="18" t="n">
        <v>220</v>
      </c>
      <c r="CD7" s="18" t="n">
        <v>119</v>
      </c>
      <c r="CE7" s="18" t="n">
        <v>2101</v>
      </c>
      <c r="CF7" s="18" t="n">
        <v>309</v>
      </c>
      <c r="CG7" s="18" t="n">
        <v>31250</v>
      </c>
      <c r="CH7" s="18" t="n">
        <v>350</v>
      </c>
      <c r="CJ7" s="18" t="n">
        <v>3802</v>
      </c>
    </row>
    <row r="8" customFormat="false" ht="12.8" hidden="true" customHeight="false" outlineLevel="1" collapsed="false">
      <c r="A8" s="251" t="s">
        <v>36</v>
      </c>
      <c r="B8" s="251" t="n">
        <v>300</v>
      </c>
      <c r="C8" s="251" t="n">
        <v>1200</v>
      </c>
      <c r="D8" s="251" t="n">
        <v>20247.21</v>
      </c>
      <c r="E8" s="251" t="n">
        <v>750</v>
      </c>
      <c r="F8" s="251" t="n">
        <v>2950</v>
      </c>
      <c r="G8" s="251" t="n">
        <v>15550</v>
      </c>
      <c r="H8" s="251" t="n">
        <v>3133</v>
      </c>
      <c r="I8" s="251" t="n">
        <v>6100</v>
      </c>
      <c r="J8" s="251" t="n">
        <v>1002</v>
      </c>
      <c r="K8" s="251" t="n">
        <v>10002</v>
      </c>
      <c r="L8" s="251" t="n">
        <v>1000</v>
      </c>
      <c r="M8" s="251" t="n">
        <v>500</v>
      </c>
      <c r="N8" s="251" t="n">
        <v>500</v>
      </c>
      <c r="O8" s="251" t="n">
        <v>1790</v>
      </c>
      <c r="P8" s="251" t="n">
        <v>1172.86</v>
      </c>
      <c r="Q8" s="251" t="n">
        <v>2250</v>
      </c>
      <c r="R8" s="251" t="n">
        <v>1550</v>
      </c>
      <c r="S8" s="251" t="n">
        <v>185</v>
      </c>
      <c r="T8" s="251" t="n">
        <v>480</v>
      </c>
      <c r="U8" s="251" t="n">
        <v>2987</v>
      </c>
      <c r="V8" s="251" t="n">
        <v>27</v>
      </c>
      <c r="W8" s="251" t="n">
        <v>615</v>
      </c>
      <c r="X8" s="251" t="n">
        <v>80</v>
      </c>
      <c r="Y8" s="251" t="n">
        <v>2266</v>
      </c>
      <c r="Z8" s="251" t="n">
        <v>3600</v>
      </c>
      <c r="AA8" s="251" t="n">
        <v>4005</v>
      </c>
      <c r="AB8" s="251" t="n">
        <v>4500</v>
      </c>
      <c r="AC8" s="251" t="n">
        <v>333</v>
      </c>
      <c r="AD8" s="251" t="n">
        <v>120</v>
      </c>
      <c r="AE8" s="251" t="n">
        <v>16709.04</v>
      </c>
      <c r="AF8" s="251" t="n">
        <v>158</v>
      </c>
      <c r="AG8" s="251" t="n">
        <v>46</v>
      </c>
      <c r="AH8" s="251" t="n">
        <v>180</v>
      </c>
      <c r="AI8" s="251" t="n">
        <v>1237</v>
      </c>
      <c r="AJ8" s="251" t="n">
        <v>5000</v>
      </c>
      <c r="AK8" s="251" t="n">
        <v>420</v>
      </c>
      <c r="AL8" s="251" t="n">
        <v>20</v>
      </c>
      <c r="AM8" s="251" t="n">
        <v>219</v>
      </c>
      <c r="AN8" s="251" t="n">
        <v>65500.02</v>
      </c>
      <c r="AO8" s="251" t="n">
        <v>600</v>
      </c>
      <c r="AP8" s="251" t="n">
        <v>145</v>
      </c>
      <c r="AQ8" s="251" t="n">
        <v>2575</v>
      </c>
      <c r="AR8" s="251" t="n">
        <v>607</v>
      </c>
      <c r="AS8" s="251" t="n">
        <v>99</v>
      </c>
      <c r="AT8" s="251" t="n">
        <v>33508.7</v>
      </c>
      <c r="AU8" s="251" t="n">
        <v>61500</v>
      </c>
      <c r="AV8" s="251" t="n">
        <v>1900</v>
      </c>
      <c r="AW8" s="251" t="n">
        <v>6000</v>
      </c>
      <c r="AX8" s="251" t="n">
        <v>4900</v>
      </c>
      <c r="AY8" s="251" t="n">
        <v>308</v>
      </c>
      <c r="AZ8" s="251" t="n">
        <v>16500</v>
      </c>
      <c r="BA8" s="251" t="n">
        <v>2619</v>
      </c>
      <c r="BB8" s="251" t="n">
        <v>33301</v>
      </c>
      <c r="BC8" s="251" t="n">
        <v>2000</v>
      </c>
      <c r="BD8" s="251" t="n">
        <v>98590.91</v>
      </c>
      <c r="BE8" s="251" t="n">
        <v>50</v>
      </c>
      <c r="BF8" s="251" t="n">
        <v>20</v>
      </c>
      <c r="BG8" s="251" t="n">
        <v>367</v>
      </c>
      <c r="BH8" s="251" t="n">
        <v>20</v>
      </c>
      <c r="BI8" s="251" t="n">
        <v>51</v>
      </c>
      <c r="BJ8" s="251" t="n">
        <v>603</v>
      </c>
      <c r="BK8" s="251" t="n">
        <v>360</v>
      </c>
      <c r="BL8" s="251" t="n">
        <v>70</v>
      </c>
      <c r="BM8" s="251" t="n">
        <v>7000</v>
      </c>
      <c r="BN8" s="251" t="n">
        <v>3100</v>
      </c>
      <c r="BO8" s="251" t="n">
        <v>30</v>
      </c>
      <c r="BP8" s="251" t="n">
        <v>1200</v>
      </c>
      <c r="BQ8" s="251" t="n">
        <v>2550</v>
      </c>
      <c r="BR8" s="251" t="n">
        <v>1410</v>
      </c>
      <c r="BS8" s="251" t="n">
        <v>730</v>
      </c>
      <c r="BT8" s="251" t="n">
        <v>2800</v>
      </c>
      <c r="BU8" s="251" t="n">
        <v>1000</v>
      </c>
      <c r="BV8" s="251" t="n">
        <v>1800</v>
      </c>
      <c r="BW8" s="251" t="n">
        <v>97</v>
      </c>
      <c r="BX8" s="251" t="n">
        <v>7838</v>
      </c>
      <c r="BY8" s="251" t="n">
        <v>1449</v>
      </c>
      <c r="BZ8" s="251" t="n">
        <v>250</v>
      </c>
      <c r="CA8" s="251" t="n">
        <v>7080</v>
      </c>
      <c r="CB8" s="251" t="n">
        <v>51400</v>
      </c>
      <c r="CC8" s="251" t="n">
        <v>400</v>
      </c>
      <c r="CD8" s="251" t="n">
        <v>119</v>
      </c>
      <c r="CE8" s="251" t="n">
        <v>2101</v>
      </c>
      <c r="CF8" s="251" t="n">
        <v>300</v>
      </c>
      <c r="CG8" s="251" t="n">
        <v>30500</v>
      </c>
      <c r="CH8" s="251" t="n">
        <v>350</v>
      </c>
      <c r="CI8" s="251"/>
      <c r="CJ8" s="251" t="n">
        <v>4000</v>
      </c>
      <c r="CK8" s="251"/>
      <c r="CL8" s="251"/>
      <c r="CM8" s="251"/>
    </row>
    <row r="9" customFormat="false" ht="12.8" hidden="false" customHeight="false" outlineLevel="0" collapsed="false">
      <c r="A9" s="222" t="s">
        <v>338</v>
      </c>
      <c r="B9" s="252" t="n">
        <f aca="false">IF(SUM(B2:B8)=B2*COUNT(B2:B8),1,0)</f>
        <v>1</v>
      </c>
      <c r="C9" s="252" t="n">
        <f aca="false">IF(SUM(C2:C8)=C2*COUNT(C2:C8),1,0)</f>
        <v>0</v>
      </c>
      <c r="D9" s="252" t="n">
        <f aca="false">IF(SUM(D2:D8)=D2*COUNT(D2:D8),1,0)</f>
        <v>0</v>
      </c>
      <c r="E9" s="252" t="n">
        <f aca="false">IF(SUM(E2:E8)=E2*COUNT(E2:E8),1,0)</f>
        <v>1</v>
      </c>
      <c r="F9" s="252" t="n">
        <f aca="false">IF(SUM(F2:F8)=F2*COUNT(F2:F8),1,0)</f>
        <v>1</v>
      </c>
      <c r="G9" s="252" t="n">
        <f aca="false">IF(SUM(G2:G8)=G2*COUNT(G2:G8),1,0)</f>
        <v>0</v>
      </c>
      <c r="H9" s="252" t="n">
        <f aca="false">IF(SUM(H2:H8)=H2*COUNT(H2:H8),1,0)</f>
        <v>1</v>
      </c>
      <c r="I9" s="252" t="n">
        <f aca="false">IF(SUM(I2:I8)=I2*COUNT(I2:I8),1,0)</f>
        <v>0</v>
      </c>
      <c r="J9" s="252" t="n">
        <f aca="false">IF(SUM(J2:J8)=J2*COUNT(J2:J8),1,0)</f>
        <v>1</v>
      </c>
      <c r="K9" s="252" t="n">
        <f aca="false">IF(SUM(K2:K8)=K2*COUNT(K2:K8),1,0)</f>
        <v>0</v>
      </c>
      <c r="L9" s="252" t="n">
        <f aca="false">IF(SUM(L2:L8)=L2*COUNT(L2:L8),1,0)</f>
        <v>1</v>
      </c>
      <c r="M9" s="252" t="n">
        <f aca="false">IF(SUM(M2:M8)=M2*COUNT(M2:M8),1,0)</f>
        <v>1</v>
      </c>
      <c r="N9" s="252" t="n">
        <f aca="false">IF(SUM(N2:N8)=N2*COUNT(N2:N8),1,0)</f>
        <v>1</v>
      </c>
      <c r="O9" s="252" t="n">
        <f aca="false">IF(SUM(O2:O8)=O2*COUNT(O2:O8),1,0)</f>
        <v>1</v>
      </c>
      <c r="P9" s="252" t="n">
        <f aca="false">IF(SUM(P2:P8)=P2*COUNT(P2:P8),1,0)</f>
        <v>0</v>
      </c>
      <c r="Q9" s="252" t="n">
        <f aca="false">IF(SUM(Q2:Q8)=Q2*COUNT(Q2:Q8),1,0)</f>
        <v>1</v>
      </c>
      <c r="R9" s="252" t="n">
        <f aca="false">IF(SUM(R2:R8)=R2*COUNT(R2:R8),1,0)</f>
        <v>1</v>
      </c>
      <c r="S9" s="252" t="n">
        <f aca="false">IF(SUM(S2:S8)=S2*COUNT(S2:S8),1,0)</f>
        <v>1</v>
      </c>
      <c r="T9" s="252" t="n">
        <f aca="false">IF(SUM(T2:T8)=T2*COUNT(T2:T8),1,0)</f>
        <v>1</v>
      </c>
      <c r="U9" s="252" t="n">
        <f aca="false">IF(SUM(U2:U8)=U2*COUNT(U2:U8),1,0)</f>
        <v>0</v>
      </c>
      <c r="V9" s="252" t="n">
        <f aca="false">IF(SUM(V2:V8)=V2*COUNT(V2:V8),1,0)</f>
        <v>1</v>
      </c>
      <c r="W9" s="252" t="n">
        <f aca="false">IF(SUM(W2:W8)=W2*COUNT(W2:W8),1,0)</f>
        <v>1</v>
      </c>
      <c r="X9" s="252" t="n">
        <f aca="false">IF(SUM(X2:X8)=X2*COUNT(X2:X8),1,0)</f>
        <v>1</v>
      </c>
      <c r="Y9" s="252" t="n">
        <f aca="false">IF(SUM(Y2:Y8)=Y2*COUNT(Y2:Y8),1,0)</f>
        <v>1</v>
      </c>
      <c r="Z9" s="252" t="n">
        <f aca="false">IF(SUM(Z2:Z8)=Z2*COUNT(Z2:Z8),1,0)</f>
        <v>0</v>
      </c>
      <c r="AA9" s="252" t="n">
        <f aca="false">IF(SUM(AA2:AA8)=AA2*COUNT(AA2:AA8),1,0)</f>
        <v>1</v>
      </c>
      <c r="AB9" s="252" t="n">
        <f aca="false">IF(SUM(AB2:AB8)=AB2*COUNT(AB2:AB8),1,0)</f>
        <v>1</v>
      </c>
      <c r="AC9" s="252" t="n">
        <f aca="false">IF(SUM(AC2:AC8)=AC2*COUNT(AC2:AC8),1,0)</f>
        <v>0</v>
      </c>
      <c r="AD9" s="252" t="n">
        <f aca="false">IF(SUM(AD2:AD8)=AD2*COUNT(AD2:AD8),1,0)</f>
        <v>1</v>
      </c>
      <c r="AE9" s="252" t="n">
        <f aca="false">IF(SUM(AE2:AE8)=AE2*COUNT(AE2:AE8),1,0)</f>
        <v>0</v>
      </c>
      <c r="AF9" s="252" t="n">
        <f aca="false">IF(SUM(AF2:AF8)=AF2*COUNT(AF2:AF8),1,0)</f>
        <v>1</v>
      </c>
      <c r="AG9" s="252" t="n">
        <f aca="false">IF(SUM(AG2:AG8)=AG2*COUNT(AG2:AG8),1,0)</f>
        <v>0</v>
      </c>
      <c r="AH9" s="252" t="n">
        <f aca="false">IF(SUM(AH2:AH8)=AH2*COUNT(AH2:AH8),1,0)</f>
        <v>1</v>
      </c>
      <c r="AI9" s="252" t="n">
        <f aca="false">IF(SUM(AI2:AI8)=AI2*COUNT(AI2:AI8),1,0)</f>
        <v>0</v>
      </c>
      <c r="AJ9" s="252" t="n">
        <f aca="false">IF(SUM(AJ2:AJ8)=AJ2*COUNT(AJ2:AJ8),1,0)</f>
        <v>0</v>
      </c>
      <c r="AK9" s="252" t="n">
        <f aca="false">IF(SUM(AK2:AK8)=AK2*COUNT(AK2:AK8),1,0)</f>
        <v>0</v>
      </c>
      <c r="AL9" s="252" t="n">
        <f aca="false">IF(SUM(AL2:AL8)=AL2*COUNT(AL2:AL8),1,0)</f>
        <v>1</v>
      </c>
      <c r="AM9" s="252" t="n">
        <f aca="false">IF(SUM(AM2:AM8)=AM2*COUNT(AM2:AM8),1,0)</f>
        <v>0</v>
      </c>
      <c r="AN9" s="252" t="n">
        <f aca="false">IF(SUM(AN2:AN8)=AN2*COUNT(AN2:AN8),1,0)</f>
        <v>0</v>
      </c>
      <c r="AO9" s="252" t="n">
        <f aca="false">IF(SUM(AO2:AO8)=AO2*COUNT(AO2:AO8),1,0)</f>
        <v>1</v>
      </c>
      <c r="AP9" s="252" t="n">
        <f aca="false">IF(SUM(AP2:AP8)=AP2*COUNT(AP2:AP8),1,0)</f>
        <v>0</v>
      </c>
      <c r="AQ9" s="252" t="n">
        <f aca="false">IF(SUM(AQ2:AQ8)=AQ2*COUNT(AQ2:AQ8),1,0)</f>
        <v>0</v>
      </c>
      <c r="AR9" s="252" t="n">
        <f aca="false">IF(SUM(AR2:AR8)=AR2*COUNT(AR2:AR8),1,0)</f>
        <v>1</v>
      </c>
      <c r="AS9" s="252" t="n">
        <f aca="false">IF(SUM(AS2:AS8)=AS2*COUNT(AS2:AS8),1,0)</f>
        <v>1</v>
      </c>
      <c r="AT9" s="252" t="n">
        <f aca="false">IF(SUM(AT2:AT8)=AT2*COUNT(AT2:AT8),1,0)</f>
        <v>0</v>
      </c>
      <c r="AU9" s="252" t="n">
        <f aca="false">IF(SUM(AU2:AU8)=AU2*COUNT(AU2:AU8),1,0)</f>
        <v>1</v>
      </c>
      <c r="AV9" s="252" t="n">
        <f aca="false">IF(SUM(AV2:AV8)=AV2*COUNT(AV2:AV8),1,0)</f>
        <v>1</v>
      </c>
      <c r="AW9" s="252" t="n">
        <f aca="false">IF(SUM(AW2:AW8)=AW2*COUNT(AW2:AW8),1,0)</f>
        <v>1</v>
      </c>
      <c r="AX9" s="252" t="n">
        <f aca="false">IF(SUM(AX2:AX8)=AX2*COUNT(AX2:AX8),1,0)</f>
        <v>0</v>
      </c>
      <c r="AY9" s="252" t="n">
        <f aca="false">IF(SUM(AY2:AY8)=AY2*COUNT(AY2:AY8),1,0)</f>
        <v>0</v>
      </c>
      <c r="AZ9" s="252" t="n">
        <f aca="false">IF(SUM(AZ2:AZ8)=AZ2*COUNT(AZ2:AZ8),1,0)</f>
        <v>1</v>
      </c>
      <c r="BA9" s="252" t="n">
        <f aca="false">IF(SUM(BA2:BA8)=BA2*COUNT(BA2:BA8),1,0)</f>
        <v>1</v>
      </c>
      <c r="BB9" s="252" t="n">
        <f aca="false">IF(SUM(BB2:BB8)=BB2*COUNT(BB2:BB8),1,0)</f>
        <v>0</v>
      </c>
      <c r="BC9" s="252" t="n">
        <f aca="false">IF(SUM(BC2:BC8)=BC2*COUNT(BC2:BC8),1,0)</f>
        <v>1</v>
      </c>
      <c r="BD9" s="252" t="n">
        <f aca="false">IF(SUM(BD2:BD8)=BD2*COUNT(BD2:BD8),1,0)</f>
        <v>0</v>
      </c>
      <c r="BE9" s="252" t="n">
        <f aca="false">IF(SUM(BE2:BE8)=BE2*COUNT(BE2:BE8),1,0)</f>
        <v>1</v>
      </c>
      <c r="BF9" s="252" t="n">
        <f aca="false">IF(SUM(BF2:BF8)=BF2*COUNT(BF2:BF8),1,0)</f>
        <v>1</v>
      </c>
      <c r="BG9" s="252" t="n">
        <f aca="false">IF(SUM(BG2:BG8)=BG2*COUNT(BG2:BG8),1,0)</f>
        <v>0</v>
      </c>
      <c r="BH9" s="252" t="n">
        <f aca="false">IF(SUM(BH2:BH8)=BH2*COUNT(BH2:BH8),1,0)</f>
        <v>1</v>
      </c>
      <c r="BI9" s="252" t="n">
        <f aca="false">IF(SUM(BI2:BI8)=BI2*COUNT(BI2:BI8),1,0)</f>
        <v>0</v>
      </c>
      <c r="BJ9" s="252" t="n">
        <f aca="false">IF(SUM(BJ2:BJ8)=BJ2*COUNT(BJ2:BJ8),1,0)</f>
        <v>1</v>
      </c>
      <c r="BK9" s="252" t="n">
        <f aca="false">IF(SUM(BK2:BK8)=BK2*COUNT(BK2:BK8),1,0)</f>
        <v>1</v>
      </c>
      <c r="BL9" s="252" t="n">
        <f aca="false">IF(SUM(BL2:BL8)=BL2*COUNT(BL2:BL8),1,0)</f>
        <v>1</v>
      </c>
      <c r="BM9" s="252" t="n">
        <f aca="false">IF(SUM(BM2:BM8)=BM2*COUNT(BM2:BM8),1,0)</f>
        <v>0</v>
      </c>
      <c r="BN9" s="252" t="n">
        <f aca="false">IF(SUM(BN2:BN8)=BN2*COUNT(BN2:BN8),1,0)</f>
        <v>1</v>
      </c>
      <c r="BO9" s="252" t="n">
        <f aca="false">IF(SUM(BO2:BO8)=BO2*COUNT(BO2:BO8),1,0)</f>
        <v>1</v>
      </c>
      <c r="BP9" s="252" t="n">
        <f aca="false">IF(SUM(BP2:BP8)=BP2*COUNT(BP2:BP8),1,0)</f>
        <v>1</v>
      </c>
      <c r="BQ9" s="252" t="n">
        <f aca="false">IF(SUM(BQ2:BQ8)=BQ2*COUNT(BQ2:BQ8),1,0)</f>
        <v>0</v>
      </c>
      <c r="BR9" s="252" t="n">
        <f aca="false">IF(SUM(BR2:BR8)=BR2*COUNT(BR2:BR8),1,0)</f>
        <v>0</v>
      </c>
      <c r="BS9" s="252" t="n">
        <f aca="false">IF(SUM(BS2:BS8)=BS2*COUNT(BS2:BS8),1,0)</f>
        <v>1</v>
      </c>
      <c r="BT9" s="252" t="n">
        <f aca="false">IF(SUM(BT2:BT8)=BT2*COUNT(BT2:BT8),1,0)</f>
        <v>0</v>
      </c>
      <c r="BU9" s="252" t="n">
        <f aca="false">IF(SUM(BU2:BU8)=BU2*COUNT(BU2:BU8),1,0)</f>
        <v>1</v>
      </c>
      <c r="BV9" s="252" t="n">
        <f aca="false">IF(SUM(BV2:BV8)=BV2*COUNT(BV2:BV8),1,0)</f>
        <v>1</v>
      </c>
      <c r="BW9" s="252" t="n">
        <f aca="false">IF(SUM(BW2:BW8)=BW2*COUNT(BW2:BW8),1,0)</f>
        <v>1</v>
      </c>
      <c r="BX9" s="252" t="n">
        <f aca="false">IF(SUM(BX2:BX8)=BX2*COUNT(BX2:BX8),1,0)</f>
        <v>1</v>
      </c>
      <c r="BY9" s="252" t="n">
        <f aca="false">IF(SUM(BY2:BY8)=BY2*COUNT(BY2:BY8),1,0)</f>
        <v>0</v>
      </c>
      <c r="BZ9" s="252" t="n">
        <f aca="false">IF(SUM(BZ2:BZ8)=BZ2*COUNT(BZ2:BZ8),1,0)</f>
        <v>1</v>
      </c>
      <c r="CA9" s="252" t="n">
        <f aca="false">IF(SUM(CA2:CA8)=CA2*COUNT(CA2:CA8),1,0)</f>
        <v>0</v>
      </c>
      <c r="CB9" s="252" t="n">
        <f aca="false">IF(SUM(CB2:CB8)=CB2*COUNT(CB2:CB8),1,0)</f>
        <v>0</v>
      </c>
      <c r="CC9" s="252" t="n">
        <f aca="false">IF(SUM(CC2:CC8)=CC2*COUNT(CC2:CC8),1,0)</f>
        <v>0</v>
      </c>
      <c r="CD9" s="252" t="n">
        <f aca="false">IF(SUM(CD2:CD8)=CD2*COUNT(CD2:CD8),1,0)</f>
        <v>1</v>
      </c>
      <c r="CE9" s="252" t="n">
        <f aca="false">IF(SUM(CE2:CE8)=CE2*COUNT(CE2:CE8),1,0)</f>
        <v>1</v>
      </c>
      <c r="CF9" s="252" t="n">
        <f aca="false">IF(SUM(CF2:CF8)=CF2*COUNT(CF2:CF8),1,0)</f>
        <v>0</v>
      </c>
      <c r="CG9" s="252" t="n">
        <f aca="false">IF(SUM(CG2:CG8)=CG2*COUNT(CG2:CG8),1,0)</f>
        <v>0</v>
      </c>
      <c r="CH9" s="252" t="n">
        <f aca="false">IF(SUM(CH2:CH8)=CH2*COUNT(CH2:CH8),1,0)</f>
        <v>1</v>
      </c>
      <c r="CI9" s="252"/>
      <c r="CJ9" s="252" t="n">
        <f aca="false">IF(SUM(CJ2:CJ8)=CJ2*COUNT(CJ2:CJ8),1,0)</f>
        <v>0</v>
      </c>
      <c r="CK9" s="222"/>
      <c r="CL9" s="222" t="n">
        <f aca="false">COUNT(B9:CJ9)</f>
        <v>86</v>
      </c>
      <c r="CM9" s="253" t="n">
        <f aca="false">COUNTIF(B9:CJ9,0)/CL9</f>
        <v>0.418604651162791</v>
      </c>
    </row>
    <row r="10" customFormat="false" ht="12.8" hidden="true" customHeight="false" outlineLevel="1" collapsed="false">
      <c r="A10" s="18" t="s">
        <v>35</v>
      </c>
      <c r="B10" s="18" t="n">
        <v>300</v>
      </c>
      <c r="C10" s="18" t="n">
        <v>1000</v>
      </c>
      <c r="D10" s="18" t="n">
        <v>18154.55</v>
      </c>
      <c r="E10" s="18" t="n">
        <v>750</v>
      </c>
      <c r="F10" s="18" t="n">
        <v>2950</v>
      </c>
      <c r="G10" s="18" t="n">
        <v>15550</v>
      </c>
      <c r="H10" s="18" t="n">
        <v>3133</v>
      </c>
      <c r="I10" s="18" t="n">
        <v>6101</v>
      </c>
      <c r="J10" s="18" t="n">
        <v>1002</v>
      </c>
      <c r="K10" s="18" t="n">
        <v>10700</v>
      </c>
      <c r="L10" s="18" t="n">
        <v>1000</v>
      </c>
      <c r="M10" s="18" t="n">
        <v>500</v>
      </c>
      <c r="N10" s="18" t="n">
        <v>500</v>
      </c>
      <c r="O10" s="18" t="n">
        <v>1790</v>
      </c>
      <c r="P10" s="18" t="n">
        <v>1179.25</v>
      </c>
      <c r="Q10" s="18" t="n">
        <v>2250</v>
      </c>
      <c r="R10" s="18" t="n">
        <v>1550</v>
      </c>
      <c r="S10" s="18" t="n">
        <v>185</v>
      </c>
      <c r="T10" s="18" t="n">
        <v>480</v>
      </c>
      <c r="U10" s="18" t="n">
        <v>2987</v>
      </c>
      <c r="V10" s="18" t="n">
        <v>27</v>
      </c>
      <c r="W10" s="18" t="n">
        <v>615</v>
      </c>
      <c r="X10" s="18" t="n">
        <v>80</v>
      </c>
      <c r="Y10" s="18" t="n">
        <v>2266</v>
      </c>
      <c r="Z10" s="18" t="n">
        <v>3600</v>
      </c>
      <c r="AA10" s="18" t="n">
        <v>4005</v>
      </c>
      <c r="AB10" s="18" t="n">
        <v>4500</v>
      </c>
      <c r="AC10" s="18" t="n">
        <v>333</v>
      </c>
      <c r="AD10" s="18" t="n">
        <v>120</v>
      </c>
      <c r="AE10" s="18" t="n">
        <v>14226.83</v>
      </c>
      <c r="AF10" s="18" t="n">
        <v>158</v>
      </c>
      <c r="AG10" s="18" t="n">
        <v>46</v>
      </c>
      <c r="AH10" s="18" t="n">
        <v>180</v>
      </c>
      <c r="AI10" s="18" t="n">
        <v>1237</v>
      </c>
      <c r="AJ10" s="18" t="n">
        <v>4774.12</v>
      </c>
      <c r="AK10" s="18" t="n">
        <v>383.8</v>
      </c>
      <c r="AL10" s="18" t="n">
        <v>20</v>
      </c>
      <c r="AM10" s="18" t="n">
        <v>220</v>
      </c>
      <c r="AN10" s="18" t="n">
        <v>64375.5</v>
      </c>
      <c r="AO10" s="18" t="n">
        <v>600</v>
      </c>
      <c r="AP10" s="18" t="n">
        <v>127</v>
      </c>
      <c r="AQ10" s="18" t="n">
        <v>2575</v>
      </c>
      <c r="AR10" s="18" t="n">
        <v>607</v>
      </c>
      <c r="AS10" s="18" t="n">
        <v>99</v>
      </c>
      <c r="AT10" s="18" t="n">
        <v>29539.32</v>
      </c>
      <c r="AU10" s="18" t="n">
        <v>61500</v>
      </c>
      <c r="AV10" s="18" t="n">
        <v>1900</v>
      </c>
      <c r="AW10" s="18" t="n">
        <v>6000</v>
      </c>
      <c r="AX10" s="18" t="n">
        <v>4990</v>
      </c>
      <c r="AY10" s="18" t="n">
        <v>308</v>
      </c>
      <c r="AZ10" s="18" t="n">
        <v>16500</v>
      </c>
      <c r="BA10" s="18" t="n">
        <v>2619</v>
      </c>
      <c r="BB10" s="18" t="n">
        <v>30101</v>
      </c>
      <c r="BC10" s="18" t="n">
        <v>1400</v>
      </c>
      <c r="BD10" s="18" t="n">
        <v>93000</v>
      </c>
      <c r="BE10" s="18" t="n">
        <v>50</v>
      </c>
      <c r="BF10" s="18" t="n">
        <v>20</v>
      </c>
      <c r="BG10" s="18" t="n">
        <v>367</v>
      </c>
      <c r="BH10" s="18" t="n">
        <v>20</v>
      </c>
      <c r="BI10" s="18" t="n">
        <v>50</v>
      </c>
      <c r="BJ10" s="18" t="n">
        <v>603</v>
      </c>
      <c r="BK10" s="18" t="n">
        <v>360</v>
      </c>
      <c r="BL10" s="18" t="n">
        <v>70</v>
      </c>
      <c r="BM10" s="18" t="n">
        <v>7000</v>
      </c>
      <c r="BN10" s="18" t="n">
        <v>3100</v>
      </c>
      <c r="BO10" s="18" t="n">
        <v>30</v>
      </c>
      <c r="BP10" s="18" t="n">
        <v>1200</v>
      </c>
      <c r="BQ10" s="18" t="n">
        <v>2400</v>
      </c>
      <c r="BR10" s="18" t="n">
        <v>1317.78</v>
      </c>
      <c r="BS10" s="18" t="n">
        <v>730</v>
      </c>
      <c r="BT10" s="18" t="n">
        <v>2989</v>
      </c>
      <c r="BU10" s="18" t="n">
        <v>1000</v>
      </c>
      <c r="BV10" s="18" t="n">
        <v>1800</v>
      </c>
      <c r="BW10" s="18" t="n">
        <v>97</v>
      </c>
      <c r="BX10" s="18" t="n">
        <v>7838</v>
      </c>
      <c r="BY10" s="18" t="n">
        <v>1450</v>
      </c>
      <c r="BZ10" s="18" t="n">
        <v>250</v>
      </c>
      <c r="CA10" s="18" t="n">
        <v>5665.15</v>
      </c>
      <c r="CB10" s="18" t="n">
        <v>51400</v>
      </c>
      <c r="CC10" s="18" t="n">
        <v>400</v>
      </c>
      <c r="CD10" s="18" t="n">
        <v>119</v>
      </c>
      <c r="CE10" s="18" t="n">
        <v>2101</v>
      </c>
      <c r="CF10" s="18" t="n">
        <v>300</v>
      </c>
      <c r="CG10" s="18" t="n">
        <v>30385</v>
      </c>
      <c r="CH10" s="18" t="n">
        <v>350</v>
      </c>
      <c r="CJ10" s="18" t="n">
        <v>2750</v>
      </c>
    </row>
    <row r="11" customFormat="false" ht="12.8" hidden="true" customHeight="false" outlineLevel="1" collapsed="false">
      <c r="A11" s="18" t="s">
        <v>33</v>
      </c>
      <c r="B11" s="18" t="n">
        <v>300</v>
      </c>
      <c r="C11" s="18" t="n">
        <v>865</v>
      </c>
      <c r="D11" s="18" t="n">
        <v>17587.5</v>
      </c>
      <c r="E11" s="18" t="n">
        <v>750</v>
      </c>
      <c r="F11" s="18" t="n">
        <v>3040</v>
      </c>
      <c r="G11" s="18" t="n">
        <v>15550</v>
      </c>
      <c r="H11" s="18" t="n">
        <v>3133</v>
      </c>
      <c r="I11" s="18" t="n">
        <v>5761</v>
      </c>
      <c r="J11" s="18" t="n">
        <v>1002</v>
      </c>
      <c r="K11" s="18" t="n">
        <v>10850</v>
      </c>
      <c r="L11" s="18" t="n">
        <v>1000</v>
      </c>
      <c r="M11" s="18" t="n">
        <v>500</v>
      </c>
      <c r="N11" s="18" t="n">
        <v>500</v>
      </c>
      <c r="O11" s="18" t="n">
        <v>1790</v>
      </c>
      <c r="P11" s="18" t="n">
        <v>1115.6</v>
      </c>
      <c r="Q11" s="18" t="n">
        <v>2250</v>
      </c>
      <c r="R11" s="18" t="n">
        <v>1550</v>
      </c>
      <c r="S11" s="18" t="n">
        <v>185</v>
      </c>
      <c r="T11" s="18" t="n">
        <v>480</v>
      </c>
      <c r="U11" s="18" t="n">
        <v>2900</v>
      </c>
      <c r="V11" s="18" t="n">
        <v>27</v>
      </c>
      <c r="W11" s="18" t="n">
        <v>615</v>
      </c>
      <c r="X11" s="18" t="n">
        <v>114</v>
      </c>
      <c r="Y11" s="18" t="n">
        <v>2266</v>
      </c>
      <c r="Z11" s="18" t="n">
        <v>3600</v>
      </c>
      <c r="AA11" s="18" t="n">
        <v>4005</v>
      </c>
      <c r="AB11" s="18" t="n">
        <v>4500</v>
      </c>
      <c r="AC11" s="18" t="n">
        <v>333</v>
      </c>
      <c r="AD11" s="18" t="n">
        <v>120</v>
      </c>
      <c r="AE11" s="18" t="n">
        <v>12490.76</v>
      </c>
      <c r="AF11" s="18" t="n">
        <v>158</v>
      </c>
      <c r="AG11" s="18" t="n">
        <v>46</v>
      </c>
      <c r="AH11" s="18" t="n">
        <v>180</v>
      </c>
      <c r="AI11" s="18" t="n">
        <v>1237</v>
      </c>
      <c r="AJ11" s="18" t="n">
        <v>4400</v>
      </c>
      <c r="AK11" s="18" t="n">
        <v>400</v>
      </c>
      <c r="AL11" s="18" t="n">
        <v>20</v>
      </c>
      <c r="AM11" s="18" t="n">
        <v>206</v>
      </c>
      <c r="AN11" s="18" t="n">
        <v>65250</v>
      </c>
      <c r="AO11" s="18" t="n">
        <v>600</v>
      </c>
      <c r="AP11" s="18" t="n">
        <v>126</v>
      </c>
      <c r="AQ11" s="18" t="n">
        <v>2500</v>
      </c>
      <c r="AR11" s="18" t="n">
        <v>607</v>
      </c>
      <c r="AS11" s="18" t="n">
        <v>99</v>
      </c>
      <c r="AT11" s="18" t="n">
        <v>28208.33</v>
      </c>
      <c r="AU11" s="18" t="n">
        <v>61500</v>
      </c>
      <c r="AV11" s="18" t="n">
        <v>1900</v>
      </c>
      <c r="AW11" s="18" t="n">
        <v>6000</v>
      </c>
      <c r="AX11" s="18" t="n">
        <v>6070.3</v>
      </c>
      <c r="AY11" s="18" t="n">
        <v>201</v>
      </c>
      <c r="AZ11" s="18" t="n">
        <v>16500</v>
      </c>
      <c r="BA11" s="18" t="n">
        <v>2619</v>
      </c>
      <c r="BB11" s="18" t="n">
        <v>30101</v>
      </c>
      <c r="BC11" s="18" t="n">
        <v>2000</v>
      </c>
      <c r="BD11" s="18" t="n">
        <v>85000</v>
      </c>
      <c r="BE11" s="18" t="n">
        <v>50</v>
      </c>
      <c r="BF11" s="18" t="n">
        <v>20</v>
      </c>
      <c r="BG11" s="18" t="n">
        <v>366</v>
      </c>
      <c r="BH11" s="18" t="n">
        <v>20</v>
      </c>
      <c r="BI11" s="18" t="n">
        <v>50</v>
      </c>
      <c r="BJ11" s="18" t="n">
        <v>603</v>
      </c>
      <c r="BK11" s="18" t="n">
        <v>360</v>
      </c>
      <c r="BL11" s="18" t="n">
        <v>70</v>
      </c>
      <c r="BM11" s="18" t="n">
        <v>7209</v>
      </c>
      <c r="BN11" s="18" t="n">
        <v>3100</v>
      </c>
      <c r="BO11" s="18" t="n">
        <v>30</v>
      </c>
      <c r="BP11" s="18" t="n">
        <v>1200</v>
      </c>
      <c r="BQ11" s="18" t="n">
        <v>2701</v>
      </c>
      <c r="BR11" s="18" t="n">
        <v>1296.8</v>
      </c>
      <c r="BS11" s="18" t="n">
        <v>730</v>
      </c>
      <c r="BT11" s="18" t="n">
        <v>3100</v>
      </c>
      <c r="BU11" s="18" t="n">
        <v>1000</v>
      </c>
      <c r="BV11" s="18" t="n">
        <v>1800</v>
      </c>
      <c r="BW11" s="18" t="n">
        <v>97</v>
      </c>
      <c r="BX11" s="18" t="n">
        <v>7838</v>
      </c>
      <c r="BY11" s="18" t="n">
        <v>1250.15</v>
      </c>
      <c r="BZ11" s="18" t="n">
        <v>250</v>
      </c>
      <c r="CA11" s="18" t="n">
        <v>5000</v>
      </c>
      <c r="CB11" s="18" t="n">
        <v>51410</v>
      </c>
      <c r="CC11" s="18" t="n">
        <v>200</v>
      </c>
      <c r="CD11" s="18" t="n">
        <v>119</v>
      </c>
      <c r="CE11" s="18" t="n">
        <v>2101</v>
      </c>
      <c r="CF11" s="18" t="n">
        <v>300</v>
      </c>
      <c r="CG11" s="18" t="n">
        <v>28899</v>
      </c>
      <c r="CH11" s="18" t="n">
        <v>350</v>
      </c>
      <c r="CJ11" s="18" t="n">
        <v>2716</v>
      </c>
    </row>
    <row r="12" customFormat="false" ht="12.8" hidden="true" customHeight="false" outlineLevel="1" collapsed="false">
      <c r="A12" s="166" t="s">
        <v>32</v>
      </c>
      <c r="B12" s="18" t="n">
        <v>300</v>
      </c>
      <c r="C12" s="18" t="n">
        <v>865</v>
      </c>
      <c r="D12" s="18" t="n">
        <v>17514.13</v>
      </c>
      <c r="E12" s="18" t="n">
        <v>750</v>
      </c>
      <c r="F12" s="18" t="n">
        <v>2950</v>
      </c>
      <c r="G12" s="18" t="n">
        <v>15550</v>
      </c>
      <c r="H12" s="18" t="n">
        <v>3133</v>
      </c>
      <c r="I12" s="18" t="n">
        <v>5761</v>
      </c>
      <c r="J12" s="18" t="n">
        <v>1002</v>
      </c>
      <c r="K12" s="18" t="n">
        <v>10850</v>
      </c>
      <c r="L12" s="18" t="n">
        <v>1000</v>
      </c>
      <c r="M12" s="18" t="n">
        <v>500</v>
      </c>
      <c r="N12" s="18" t="n">
        <v>500</v>
      </c>
      <c r="O12" s="18" t="n">
        <v>1790</v>
      </c>
      <c r="P12" s="18" t="n">
        <v>1110</v>
      </c>
      <c r="Q12" s="18" t="n">
        <v>2250</v>
      </c>
      <c r="R12" s="18" t="n">
        <v>1550</v>
      </c>
      <c r="S12" s="18" t="n">
        <v>185</v>
      </c>
      <c r="T12" s="18" t="n">
        <v>480</v>
      </c>
      <c r="U12" s="18" t="n">
        <v>2900</v>
      </c>
      <c r="V12" s="18" t="n">
        <v>27</v>
      </c>
      <c r="W12" s="18" t="n">
        <v>615</v>
      </c>
      <c r="X12" s="18" t="n">
        <v>114</v>
      </c>
      <c r="Y12" s="18" t="n">
        <v>2266</v>
      </c>
      <c r="Z12" s="18" t="n">
        <v>3600</v>
      </c>
      <c r="AA12" s="18" t="n">
        <v>4005</v>
      </c>
      <c r="AB12" s="18" t="n">
        <v>4500</v>
      </c>
      <c r="AC12" s="18" t="n">
        <v>333</v>
      </c>
      <c r="AD12" s="18" t="n">
        <v>120</v>
      </c>
      <c r="AE12" s="18" t="n">
        <v>12440.07</v>
      </c>
      <c r="AF12" s="18" t="n">
        <v>158</v>
      </c>
      <c r="AG12" s="18" t="n">
        <v>46</v>
      </c>
      <c r="AH12" s="18" t="n">
        <v>180</v>
      </c>
      <c r="AI12" s="18" t="n">
        <v>1237</v>
      </c>
      <c r="AJ12" s="18" t="n">
        <v>4400</v>
      </c>
      <c r="AK12" s="18" t="n">
        <v>400</v>
      </c>
      <c r="AL12" s="18" t="n">
        <v>20</v>
      </c>
      <c r="AM12" s="18" t="n">
        <v>206</v>
      </c>
      <c r="AN12" s="18" t="n">
        <v>65300</v>
      </c>
      <c r="AO12" s="18" t="n">
        <v>600</v>
      </c>
      <c r="AP12" s="18" t="n">
        <v>126</v>
      </c>
      <c r="AQ12" s="18" t="n">
        <v>2500</v>
      </c>
      <c r="AR12" s="18" t="n">
        <v>607</v>
      </c>
      <c r="AS12" s="18" t="n">
        <v>99</v>
      </c>
      <c r="AT12" s="18" t="n">
        <v>28300</v>
      </c>
      <c r="AU12" s="18" t="n">
        <v>61500</v>
      </c>
      <c r="AV12" s="18" t="n">
        <v>1900</v>
      </c>
      <c r="AW12" s="18" t="n">
        <v>6000</v>
      </c>
      <c r="AX12" s="18" t="n">
        <v>6097.84</v>
      </c>
      <c r="AY12" s="18" t="n">
        <v>201</v>
      </c>
      <c r="AZ12" s="18" t="n">
        <v>16500</v>
      </c>
      <c r="BA12" s="18" t="n">
        <v>2619</v>
      </c>
      <c r="BB12" s="18" t="n">
        <v>30101</v>
      </c>
      <c r="BC12" s="18" t="n">
        <v>2000</v>
      </c>
      <c r="BD12" s="18" t="n">
        <v>85000</v>
      </c>
      <c r="BE12" s="18" t="n">
        <v>50</v>
      </c>
      <c r="BF12" s="18" t="n">
        <v>20</v>
      </c>
      <c r="BG12" s="18" t="n">
        <v>366</v>
      </c>
      <c r="BH12" s="18" t="n">
        <v>20</v>
      </c>
      <c r="BI12" s="18" t="n">
        <v>50</v>
      </c>
      <c r="BJ12" s="18" t="n">
        <v>603</v>
      </c>
      <c r="BK12" s="18" t="n">
        <v>360</v>
      </c>
      <c r="BL12" s="18" t="n">
        <v>70</v>
      </c>
      <c r="BM12" s="18" t="n">
        <v>7209</v>
      </c>
      <c r="BN12" s="18" t="n">
        <v>3100</v>
      </c>
      <c r="BO12" s="18" t="n">
        <v>30</v>
      </c>
      <c r="BP12" s="18" t="n">
        <v>1200</v>
      </c>
      <c r="BQ12" s="18" t="n">
        <v>2400</v>
      </c>
      <c r="BR12" s="18" t="n">
        <v>1299</v>
      </c>
      <c r="BS12" s="18" t="n">
        <v>730</v>
      </c>
      <c r="BT12" s="18" t="n">
        <v>3100</v>
      </c>
      <c r="BU12" s="18" t="n">
        <v>1000</v>
      </c>
      <c r="BV12" s="18" t="n">
        <v>1800</v>
      </c>
      <c r="BW12" s="18" t="n">
        <v>97</v>
      </c>
      <c r="BX12" s="18" t="n">
        <v>7838</v>
      </c>
      <c r="BY12" s="18" t="n">
        <v>1250</v>
      </c>
      <c r="BZ12" s="18" t="n">
        <v>250</v>
      </c>
      <c r="CA12" s="18" t="n">
        <v>5000</v>
      </c>
      <c r="CB12" s="18" t="n">
        <v>51410</v>
      </c>
      <c r="CC12" s="18" t="n">
        <v>200</v>
      </c>
      <c r="CD12" s="18" t="n">
        <v>119</v>
      </c>
      <c r="CE12" s="18" t="n">
        <v>2101</v>
      </c>
      <c r="CF12" s="18" t="n">
        <v>300</v>
      </c>
      <c r="CG12" s="18" t="n">
        <v>28899</v>
      </c>
      <c r="CH12" s="18" t="n">
        <v>350</v>
      </c>
      <c r="CJ12" s="18" t="n">
        <v>2716</v>
      </c>
    </row>
    <row r="13" customFormat="false" ht="12.8" hidden="true" customHeight="false" outlineLevel="1" collapsed="false">
      <c r="A13" s="166" t="s">
        <v>50</v>
      </c>
      <c r="B13" s="18" t="n">
        <v>300</v>
      </c>
      <c r="C13" s="18" t="n">
        <v>865</v>
      </c>
      <c r="D13" s="18" t="n">
        <v>17494.54</v>
      </c>
      <c r="E13" s="18" t="n">
        <v>750</v>
      </c>
      <c r="F13" s="18" t="n">
        <v>3040</v>
      </c>
      <c r="G13" s="18" t="n">
        <v>15550</v>
      </c>
      <c r="H13" s="18" t="n">
        <v>3133</v>
      </c>
      <c r="I13" s="18" t="n">
        <v>5700</v>
      </c>
      <c r="J13" s="18" t="n">
        <v>1002</v>
      </c>
      <c r="K13" s="18" t="n">
        <v>10850</v>
      </c>
      <c r="L13" s="18" t="n">
        <v>1000</v>
      </c>
      <c r="M13" s="18" t="n">
        <v>500</v>
      </c>
      <c r="N13" s="18" t="n">
        <v>500</v>
      </c>
      <c r="O13" s="18" t="n">
        <v>1790</v>
      </c>
      <c r="P13" s="18" t="n">
        <v>1110</v>
      </c>
      <c r="Q13" s="18" t="n">
        <v>2250</v>
      </c>
      <c r="R13" s="18" t="n">
        <v>1550</v>
      </c>
      <c r="S13" s="18" t="n">
        <v>185</v>
      </c>
      <c r="T13" s="18" t="n">
        <v>480</v>
      </c>
      <c r="U13" s="18" t="n">
        <v>2900</v>
      </c>
      <c r="V13" s="18" t="n">
        <v>27</v>
      </c>
      <c r="W13" s="18" t="n">
        <v>615</v>
      </c>
      <c r="X13" s="18" t="n">
        <v>114</v>
      </c>
      <c r="Y13" s="18" t="n">
        <v>2266</v>
      </c>
      <c r="Z13" s="18" t="n">
        <v>3600</v>
      </c>
      <c r="AA13" s="18" t="n">
        <v>4005</v>
      </c>
      <c r="AB13" s="18" t="n">
        <v>4500</v>
      </c>
      <c r="AC13" s="18" t="n">
        <v>333</v>
      </c>
      <c r="AD13" s="18" t="n">
        <v>120</v>
      </c>
      <c r="AE13" s="18" t="n">
        <v>12312.25</v>
      </c>
      <c r="AF13" s="18" t="n">
        <v>158</v>
      </c>
      <c r="AG13" s="18" t="n">
        <v>46</v>
      </c>
      <c r="AH13" s="18" t="n">
        <v>180</v>
      </c>
      <c r="AI13" s="18" t="n">
        <v>1237</v>
      </c>
      <c r="AJ13" s="18" t="n">
        <v>4350</v>
      </c>
      <c r="AK13" s="18" t="n">
        <v>399</v>
      </c>
      <c r="AL13" s="18" t="n">
        <v>20</v>
      </c>
      <c r="AM13" s="18" t="n">
        <v>206</v>
      </c>
      <c r="AN13" s="18" t="n">
        <v>65300.25</v>
      </c>
      <c r="AO13" s="18" t="n">
        <v>600</v>
      </c>
      <c r="AP13" s="18" t="n">
        <v>125</v>
      </c>
      <c r="AQ13" s="18" t="n">
        <v>2500</v>
      </c>
      <c r="AR13" s="18" t="n">
        <v>607</v>
      </c>
      <c r="AS13" s="18" t="n">
        <v>99</v>
      </c>
      <c r="AT13" s="18" t="n">
        <v>27966.96</v>
      </c>
      <c r="AU13" s="18" t="n">
        <v>61500</v>
      </c>
      <c r="AV13" s="18" t="n">
        <v>1900</v>
      </c>
      <c r="AW13" s="18" t="n">
        <v>6000</v>
      </c>
      <c r="AX13" s="18" t="n">
        <v>5562.22</v>
      </c>
      <c r="AY13" s="18" t="n">
        <v>201</v>
      </c>
      <c r="AZ13" s="18" t="n">
        <v>16500</v>
      </c>
      <c r="BA13" s="18" t="n">
        <v>2619</v>
      </c>
      <c r="BB13" s="18" t="n">
        <v>30101</v>
      </c>
      <c r="BC13" s="18" t="n">
        <v>2000</v>
      </c>
      <c r="BD13" s="18" t="n">
        <v>80000</v>
      </c>
      <c r="BE13" s="18" t="n">
        <v>50</v>
      </c>
      <c r="BF13" s="18" t="n">
        <v>20</v>
      </c>
      <c r="BG13" s="18" t="n">
        <v>366</v>
      </c>
      <c r="BH13" s="18" t="n">
        <v>20</v>
      </c>
      <c r="BI13" s="18" t="n">
        <v>50</v>
      </c>
      <c r="BJ13" s="18" t="n">
        <v>603</v>
      </c>
      <c r="BK13" s="18" t="n">
        <v>360</v>
      </c>
      <c r="BL13" s="18" t="n">
        <v>70</v>
      </c>
      <c r="BM13" s="18" t="n">
        <v>7209</v>
      </c>
      <c r="BN13" s="18" t="n">
        <v>3100</v>
      </c>
      <c r="BO13" s="18" t="n">
        <v>30</v>
      </c>
      <c r="BP13" s="18" t="n">
        <v>1200</v>
      </c>
      <c r="BQ13" s="18" t="n">
        <v>2400</v>
      </c>
      <c r="BR13" s="18" t="n">
        <v>1285.85</v>
      </c>
      <c r="BS13" s="18" t="n">
        <v>730</v>
      </c>
      <c r="BT13" s="18" t="n">
        <v>3090</v>
      </c>
      <c r="BU13" s="18" t="n">
        <v>1000</v>
      </c>
      <c r="BV13" s="18" t="n">
        <v>1800</v>
      </c>
      <c r="BW13" s="18" t="n">
        <v>97</v>
      </c>
      <c r="BX13" s="18" t="n">
        <v>7838</v>
      </c>
      <c r="BY13" s="18" t="n">
        <v>1249.95</v>
      </c>
      <c r="BZ13" s="18" t="n">
        <v>250</v>
      </c>
      <c r="CA13" s="18" t="n">
        <v>5001</v>
      </c>
      <c r="CB13" s="18" t="n">
        <v>51410</v>
      </c>
      <c r="CC13" s="18" t="n">
        <v>200</v>
      </c>
      <c r="CD13" s="18" t="n">
        <v>119</v>
      </c>
      <c r="CE13" s="18" t="n">
        <v>2101</v>
      </c>
      <c r="CF13" s="18" t="n">
        <v>195</v>
      </c>
      <c r="CG13" s="18" t="n">
        <v>28899</v>
      </c>
      <c r="CH13" s="18" t="n">
        <v>350</v>
      </c>
      <c r="CJ13" s="18" t="n">
        <v>2716</v>
      </c>
    </row>
    <row r="14" customFormat="false" ht="12.8" hidden="true" customHeight="false" outlineLevel="1" collapsed="false">
      <c r="A14" s="18" t="s">
        <v>51</v>
      </c>
      <c r="B14" s="18" t="n">
        <v>300</v>
      </c>
      <c r="C14" s="18" t="n">
        <v>722</v>
      </c>
      <c r="D14" s="18" t="n">
        <v>17848.48</v>
      </c>
      <c r="E14" s="18" t="n">
        <v>750</v>
      </c>
      <c r="F14" s="18" t="n">
        <v>2987</v>
      </c>
      <c r="G14" s="18" t="n">
        <v>15550</v>
      </c>
      <c r="H14" s="18" t="n">
        <v>3133</v>
      </c>
      <c r="I14" s="18" t="n">
        <v>5702</v>
      </c>
      <c r="J14" s="18" t="n">
        <v>1002</v>
      </c>
      <c r="K14" s="18" t="n">
        <v>11000</v>
      </c>
      <c r="L14" s="18" t="n">
        <v>1000</v>
      </c>
      <c r="M14" s="18" t="n">
        <v>500</v>
      </c>
      <c r="N14" s="18" t="n">
        <v>500</v>
      </c>
      <c r="O14" s="18" t="n">
        <v>1790</v>
      </c>
      <c r="P14" s="18" t="n">
        <v>1149.37</v>
      </c>
      <c r="Q14" s="18" t="n">
        <v>2250</v>
      </c>
      <c r="R14" s="18" t="n">
        <v>1550</v>
      </c>
      <c r="S14" s="18" t="n">
        <v>185</v>
      </c>
      <c r="T14" s="18" t="n">
        <v>480</v>
      </c>
      <c r="U14" s="18" t="n">
        <v>2900</v>
      </c>
      <c r="V14" s="18" t="n">
        <v>27</v>
      </c>
      <c r="W14" s="18" t="n">
        <v>615</v>
      </c>
      <c r="X14" s="18" t="n">
        <v>114</v>
      </c>
      <c r="Y14" s="18" t="n">
        <v>2266</v>
      </c>
      <c r="Z14" s="18" t="n">
        <v>3600</v>
      </c>
      <c r="AA14" s="18" t="n">
        <v>4005</v>
      </c>
      <c r="AB14" s="18" t="n">
        <v>4500</v>
      </c>
      <c r="AC14" s="18" t="n">
        <v>333</v>
      </c>
      <c r="AD14" s="18" t="n">
        <v>120</v>
      </c>
      <c r="AE14" s="18" t="n">
        <v>11700</v>
      </c>
      <c r="AF14" s="18" t="n">
        <v>158</v>
      </c>
      <c r="AG14" s="18" t="n">
        <v>45</v>
      </c>
      <c r="AH14" s="18" t="n">
        <v>180</v>
      </c>
      <c r="AI14" s="18" t="n">
        <v>1237</v>
      </c>
      <c r="AJ14" s="18" t="n">
        <v>4430</v>
      </c>
      <c r="AK14" s="18" t="n">
        <v>401.94</v>
      </c>
      <c r="AL14" s="18" t="n">
        <v>20</v>
      </c>
      <c r="AM14" s="18" t="n">
        <v>191</v>
      </c>
      <c r="AN14" s="18" t="n">
        <v>65932.1</v>
      </c>
      <c r="AO14" s="18" t="n">
        <v>600</v>
      </c>
      <c r="AP14" s="18" t="n">
        <v>130</v>
      </c>
      <c r="AQ14" s="18" t="n">
        <v>2500</v>
      </c>
      <c r="AR14" s="18" t="n">
        <v>607</v>
      </c>
      <c r="AS14" s="18" t="n">
        <v>62</v>
      </c>
      <c r="AT14" s="18" t="n">
        <v>26120</v>
      </c>
      <c r="AU14" s="18" t="n">
        <v>61500</v>
      </c>
      <c r="AV14" s="18" t="n">
        <v>1900</v>
      </c>
      <c r="AW14" s="18" t="n">
        <v>6000</v>
      </c>
      <c r="AX14" s="18" t="n">
        <v>3300</v>
      </c>
      <c r="AY14" s="18" t="n">
        <v>201</v>
      </c>
      <c r="AZ14" s="18" t="n">
        <v>16500</v>
      </c>
      <c r="BA14" s="18" t="n">
        <v>2619</v>
      </c>
      <c r="BB14" s="18" t="n">
        <v>30000</v>
      </c>
      <c r="BC14" s="18" t="n">
        <v>2000</v>
      </c>
      <c r="BD14" s="18" t="n">
        <v>79970.14</v>
      </c>
      <c r="BE14" s="18" t="n">
        <v>50</v>
      </c>
      <c r="BF14" s="18" t="n">
        <v>20</v>
      </c>
      <c r="BG14" s="18" t="n">
        <v>365</v>
      </c>
      <c r="BH14" s="18" t="n">
        <v>20</v>
      </c>
      <c r="BI14" s="18" t="n">
        <v>50</v>
      </c>
      <c r="BJ14" s="18" t="n">
        <v>603</v>
      </c>
      <c r="BK14" s="18" t="n">
        <v>360</v>
      </c>
      <c r="BL14" s="18" t="n">
        <v>70</v>
      </c>
      <c r="BM14" s="18" t="n">
        <v>7209</v>
      </c>
      <c r="BN14" s="18" t="n">
        <v>3106</v>
      </c>
      <c r="BO14" s="18" t="n">
        <v>30</v>
      </c>
      <c r="BP14" s="18" t="n">
        <v>1200</v>
      </c>
      <c r="BQ14" s="18" t="n">
        <v>2390</v>
      </c>
      <c r="BR14" s="18" t="n">
        <v>1236</v>
      </c>
      <c r="BS14" s="18" t="n">
        <v>730</v>
      </c>
      <c r="BT14" s="18" t="n">
        <v>3100</v>
      </c>
      <c r="BU14" s="18" t="n">
        <v>1000</v>
      </c>
      <c r="BV14" s="18" t="n">
        <v>1800</v>
      </c>
      <c r="BW14" s="18" t="n">
        <v>97</v>
      </c>
      <c r="BX14" s="18" t="n">
        <v>7838</v>
      </c>
      <c r="BY14" s="18" t="n">
        <v>1249</v>
      </c>
      <c r="BZ14" s="18" t="n">
        <v>250</v>
      </c>
      <c r="CA14" s="18" t="n">
        <v>5150</v>
      </c>
      <c r="CB14" s="18" t="n">
        <v>51410</v>
      </c>
      <c r="CC14" s="18" t="n">
        <v>200</v>
      </c>
      <c r="CD14" s="18" t="n">
        <v>119</v>
      </c>
      <c r="CE14" s="18" t="n">
        <v>2101</v>
      </c>
      <c r="CF14" s="18" t="n">
        <v>195</v>
      </c>
      <c r="CG14" s="18" t="n">
        <v>29200</v>
      </c>
      <c r="CH14" s="18" t="n">
        <v>350</v>
      </c>
      <c r="CJ14" s="18" t="n">
        <v>2716</v>
      </c>
    </row>
    <row r="15" customFormat="false" ht="12.8" hidden="true" customHeight="false" outlineLevel="1" collapsed="false">
      <c r="A15" s="18" t="s">
        <v>52</v>
      </c>
      <c r="B15" s="18" t="n">
        <v>300</v>
      </c>
      <c r="C15" s="18" t="n">
        <v>722</v>
      </c>
      <c r="D15" s="18" t="n">
        <v>17914.64</v>
      </c>
      <c r="E15" s="18" t="n">
        <v>750</v>
      </c>
      <c r="F15" s="18" t="n">
        <v>2900</v>
      </c>
      <c r="G15" s="18" t="n">
        <v>15550</v>
      </c>
      <c r="H15" s="18" t="n">
        <v>3133</v>
      </c>
      <c r="I15" s="18" t="n">
        <v>5723</v>
      </c>
      <c r="J15" s="18" t="n">
        <v>1002</v>
      </c>
      <c r="K15" s="18" t="n">
        <v>11000</v>
      </c>
      <c r="L15" s="18" t="n">
        <v>1000</v>
      </c>
      <c r="M15" s="18" t="n">
        <v>500</v>
      </c>
      <c r="N15" s="18" t="n">
        <v>500</v>
      </c>
      <c r="O15" s="18" t="n">
        <v>1790</v>
      </c>
      <c r="P15" s="18" t="n">
        <v>1201</v>
      </c>
      <c r="Q15" s="18" t="n">
        <v>2250</v>
      </c>
      <c r="R15" s="18" t="n">
        <v>1550</v>
      </c>
      <c r="S15" s="18" t="n">
        <v>185</v>
      </c>
      <c r="T15" s="18" t="n">
        <v>480</v>
      </c>
      <c r="U15" s="18" t="n">
        <v>2900</v>
      </c>
      <c r="V15" s="18" t="n">
        <v>27</v>
      </c>
      <c r="W15" s="18" t="n">
        <v>970</v>
      </c>
      <c r="X15" s="18" t="n">
        <v>114</v>
      </c>
      <c r="Y15" s="18" t="n">
        <v>2200</v>
      </c>
      <c r="Z15" s="18" t="n">
        <v>3611</v>
      </c>
      <c r="AA15" s="18" t="n">
        <v>4005</v>
      </c>
      <c r="AB15" s="18" t="n">
        <v>4500</v>
      </c>
      <c r="AC15" s="18" t="n">
        <v>333</v>
      </c>
      <c r="AD15" s="18" t="n">
        <v>120</v>
      </c>
      <c r="AE15" s="18" t="n">
        <v>12394.49</v>
      </c>
      <c r="AF15" s="18" t="n">
        <v>158</v>
      </c>
      <c r="AG15" s="18" t="n">
        <v>35</v>
      </c>
      <c r="AH15" s="18" t="n">
        <v>180</v>
      </c>
      <c r="AI15" s="18" t="n">
        <v>1236</v>
      </c>
      <c r="AJ15" s="18" t="n">
        <v>4550</v>
      </c>
      <c r="AK15" s="18" t="n">
        <v>385</v>
      </c>
      <c r="AL15" s="18" t="n">
        <v>20</v>
      </c>
      <c r="AM15" s="18" t="n">
        <v>195</v>
      </c>
      <c r="AN15" s="18" t="n">
        <v>66572.29</v>
      </c>
      <c r="AO15" s="18" t="n">
        <v>600</v>
      </c>
      <c r="AP15" s="18" t="n">
        <v>134</v>
      </c>
      <c r="AQ15" s="18" t="n">
        <v>2500</v>
      </c>
      <c r="AR15" s="18" t="n">
        <v>607</v>
      </c>
      <c r="AS15" s="18" t="n">
        <v>62</v>
      </c>
      <c r="AT15" s="18" t="n">
        <v>26584.38</v>
      </c>
      <c r="AU15" s="18" t="n">
        <v>61500</v>
      </c>
      <c r="AV15" s="18" t="n">
        <v>1900</v>
      </c>
      <c r="AW15" s="18" t="n">
        <v>6000</v>
      </c>
      <c r="AX15" s="18" t="n">
        <v>3350</v>
      </c>
      <c r="AY15" s="18" t="n">
        <v>201</v>
      </c>
      <c r="AZ15" s="18" t="n">
        <v>16500</v>
      </c>
      <c r="BA15" s="18" t="n">
        <v>2619</v>
      </c>
      <c r="BB15" s="18" t="n">
        <v>32000</v>
      </c>
      <c r="BC15" s="18" t="n">
        <v>2100</v>
      </c>
      <c r="BD15" s="18" t="n">
        <v>82000</v>
      </c>
      <c r="BE15" s="18" t="n">
        <v>50</v>
      </c>
      <c r="BF15" s="18" t="n">
        <v>20</v>
      </c>
      <c r="BG15" s="18" t="n">
        <v>301</v>
      </c>
      <c r="BH15" s="18" t="n">
        <v>20</v>
      </c>
      <c r="BI15" s="18" t="n">
        <v>52</v>
      </c>
      <c r="BJ15" s="18" t="n">
        <v>603</v>
      </c>
      <c r="BK15" s="18" t="n">
        <v>360</v>
      </c>
      <c r="BL15" s="18" t="n">
        <v>70</v>
      </c>
      <c r="BM15" s="18" t="n">
        <v>7000</v>
      </c>
      <c r="BN15" s="18" t="n">
        <v>3100</v>
      </c>
      <c r="BO15" s="18" t="n">
        <v>30</v>
      </c>
      <c r="BP15" s="18" t="n">
        <v>1200</v>
      </c>
      <c r="BQ15" s="18" t="n">
        <v>2600</v>
      </c>
      <c r="BR15" s="18" t="n">
        <v>1315.97</v>
      </c>
      <c r="BS15" s="18" t="n">
        <v>730</v>
      </c>
      <c r="BT15" s="18" t="n">
        <v>2593.33</v>
      </c>
      <c r="BU15" s="18" t="n">
        <v>1000</v>
      </c>
      <c r="BV15" s="18" t="n">
        <v>1800</v>
      </c>
      <c r="BW15" s="18" t="n">
        <v>97</v>
      </c>
      <c r="BX15" s="18" t="n">
        <v>10000</v>
      </c>
      <c r="BY15" s="18" t="n">
        <v>1351</v>
      </c>
      <c r="BZ15" s="18" t="n">
        <v>250</v>
      </c>
      <c r="CA15" s="18" t="n">
        <v>4900</v>
      </c>
      <c r="CB15" s="18" t="n">
        <v>53050</v>
      </c>
      <c r="CC15" s="18" t="n">
        <v>399</v>
      </c>
      <c r="CD15" s="18" t="n">
        <v>119</v>
      </c>
      <c r="CE15" s="18" t="n">
        <v>2101</v>
      </c>
      <c r="CF15" s="18" t="n">
        <v>308</v>
      </c>
      <c r="CG15" s="18" t="n">
        <v>29850</v>
      </c>
      <c r="CH15" s="18" t="n">
        <v>450</v>
      </c>
      <c r="CJ15" s="18" t="n">
        <v>3650</v>
      </c>
    </row>
    <row r="16" customFormat="false" ht="12.8" hidden="false" customHeight="false" outlineLevel="0" collapsed="false">
      <c r="A16" s="222" t="s">
        <v>339</v>
      </c>
      <c r="B16" s="252" t="n">
        <f aca="false">IF(SUM(B10:B15)=B10*COUNT(B10:B15),1,0)</f>
        <v>1</v>
      </c>
      <c r="C16" s="252" t="n">
        <f aca="false">IF(SUM(C10:C15)=C10*COUNT(C10:C15),1,0)</f>
        <v>0</v>
      </c>
      <c r="D16" s="252" t="n">
        <f aca="false">IF(SUM(D10:D15)=D10*COUNT(D10:D15),1,0)</f>
        <v>0</v>
      </c>
      <c r="E16" s="252" t="n">
        <f aca="false">IF(SUM(E10:E15)=E10*COUNT(E10:E15),1,0)</f>
        <v>1</v>
      </c>
      <c r="F16" s="252" t="n">
        <f aca="false">IF(SUM(F10:F15)=F10*COUNT(F10:F15),1,0)</f>
        <v>0</v>
      </c>
      <c r="G16" s="252" t="n">
        <f aca="false">IF(SUM(G10:G15)=G10*COUNT(G10:G15),1,0)</f>
        <v>1</v>
      </c>
      <c r="H16" s="252" t="n">
        <f aca="false">IF(SUM(H10:H15)=H10*COUNT(H10:H15),1,0)</f>
        <v>1</v>
      </c>
      <c r="I16" s="252" t="n">
        <f aca="false">IF(SUM(I10:I15)=I10*COUNT(I10:I15),1,0)</f>
        <v>0</v>
      </c>
      <c r="J16" s="252" t="n">
        <f aca="false">IF(SUM(J10:J15)=J10*COUNT(J10:J15),1,0)</f>
        <v>1</v>
      </c>
      <c r="K16" s="252" t="n">
        <f aca="false">IF(SUM(K10:K15)=K10*COUNT(K10:K15),1,0)</f>
        <v>0</v>
      </c>
      <c r="L16" s="252" t="n">
        <f aca="false">IF(SUM(L10:L15)=L10*COUNT(L10:L15),1,0)</f>
        <v>1</v>
      </c>
      <c r="M16" s="252" t="n">
        <f aca="false">IF(SUM(M10:M15)=M10*COUNT(M10:M15),1,0)</f>
        <v>1</v>
      </c>
      <c r="N16" s="252" t="n">
        <f aca="false">IF(SUM(N10:N15)=N10*COUNT(N10:N15),1,0)</f>
        <v>1</v>
      </c>
      <c r="O16" s="252" t="n">
        <f aca="false">IF(SUM(O10:O15)=O10*COUNT(O10:O15),1,0)</f>
        <v>1</v>
      </c>
      <c r="P16" s="252" t="n">
        <f aca="false">IF(SUM(P10:P15)=P10*COUNT(P10:P15),1,0)</f>
        <v>0</v>
      </c>
      <c r="Q16" s="252" t="n">
        <f aca="false">IF(SUM(Q10:Q15)=Q10*COUNT(Q10:Q15),1,0)</f>
        <v>1</v>
      </c>
      <c r="R16" s="252" t="n">
        <f aca="false">IF(SUM(R10:R15)=R10*COUNT(R10:R15),1,0)</f>
        <v>1</v>
      </c>
      <c r="S16" s="252" t="n">
        <f aca="false">IF(SUM(S10:S15)=S10*COUNT(S10:S15),1,0)</f>
        <v>1</v>
      </c>
      <c r="T16" s="252" t="n">
        <f aca="false">IF(SUM(T10:T15)=T10*COUNT(T10:T15),1,0)</f>
        <v>1</v>
      </c>
      <c r="U16" s="252" t="n">
        <f aca="false">IF(SUM(U10:U15)=U10*COUNT(U10:U15),1,0)</f>
        <v>0</v>
      </c>
      <c r="V16" s="252" t="n">
        <f aca="false">IF(SUM(V10:V15)=V10*COUNT(V10:V15),1,0)</f>
        <v>1</v>
      </c>
      <c r="W16" s="252" t="n">
        <f aca="false">IF(SUM(W10:W15)=W10*COUNT(W10:W15),1,0)</f>
        <v>0</v>
      </c>
      <c r="X16" s="252" t="n">
        <f aca="false">IF(SUM(X10:X15)=X10*COUNT(X10:X15),1,0)</f>
        <v>0</v>
      </c>
      <c r="Y16" s="252" t="n">
        <f aca="false">IF(SUM(Y10:Y15)=Y10*COUNT(Y10:Y15),1,0)</f>
        <v>0</v>
      </c>
      <c r="Z16" s="252" t="n">
        <f aca="false">IF(SUM(Z10:Z15)=Z10*COUNT(Z10:Z15),1,0)</f>
        <v>0</v>
      </c>
      <c r="AA16" s="252" t="n">
        <f aca="false">IF(SUM(AA10:AA15)=AA10*COUNT(AA10:AA15),1,0)</f>
        <v>1</v>
      </c>
      <c r="AB16" s="252" t="n">
        <f aca="false">IF(SUM(AB10:AB15)=AB10*COUNT(AB10:AB15),1,0)</f>
        <v>1</v>
      </c>
      <c r="AC16" s="252" t="n">
        <f aca="false">IF(SUM(AC10:AC15)=AC10*COUNT(AC10:AC15),1,0)</f>
        <v>1</v>
      </c>
      <c r="AD16" s="252" t="n">
        <f aca="false">IF(SUM(AD10:AD15)=AD10*COUNT(AD10:AD15),1,0)</f>
        <v>1</v>
      </c>
      <c r="AE16" s="252" t="n">
        <f aca="false">IF(SUM(AE10:AE15)=AE10*COUNT(AE10:AE15),1,0)</f>
        <v>0</v>
      </c>
      <c r="AF16" s="252" t="n">
        <f aca="false">IF(SUM(AF10:AF15)=AF10*COUNT(AF10:AF15),1,0)</f>
        <v>1</v>
      </c>
      <c r="AG16" s="252" t="n">
        <f aca="false">IF(SUM(AG10:AG15)=AG10*COUNT(AG10:AG15),1,0)</f>
        <v>0</v>
      </c>
      <c r="AH16" s="252" t="n">
        <f aca="false">IF(SUM(AH10:AH15)=AH10*COUNT(AH10:AH15),1,0)</f>
        <v>1</v>
      </c>
      <c r="AI16" s="252" t="n">
        <f aca="false">IF(SUM(AI10:AI15)=AI10*COUNT(AI10:AI15),1,0)</f>
        <v>0</v>
      </c>
      <c r="AJ16" s="252" t="n">
        <f aca="false">IF(SUM(AJ10:AJ15)=AJ10*COUNT(AJ10:AJ15),1,0)</f>
        <v>0</v>
      </c>
      <c r="AK16" s="252" t="n">
        <f aca="false">IF(SUM(AK10:AK15)=AK10*COUNT(AK10:AK15),1,0)</f>
        <v>0</v>
      </c>
      <c r="AL16" s="252" t="n">
        <f aca="false">IF(SUM(AL10:AL15)=AL10*COUNT(AL10:AL15),1,0)</f>
        <v>1</v>
      </c>
      <c r="AM16" s="252" t="n">
        <f aca="false">IF(SUM(AM10:AM15)=AM10*COUNT(AM10:AM15),1,0)</f>
        <v>0</v>
      </c>
      <c r="AN16" s="252" t="n">
        <f aca="false">IF(SUM(AN10:AN15)=AN10*COUNT(AN10:AN15),1,0)</f>
        <v>0</v>
      </c>
      <c r="AO16" s="252" t="n">
        <f aca="false">IF(SUM(AO10:AO15)=AO10*COUNT(AO10:AO15),1,0)</f>
        <v>1</v>
      </c>
      <c r="AP16" s="252" t="n">
        <f aca="false">IF(SUM(AP10:AP15)=AP10*COUNT(AP10:AP15),1,0)</f>
        <v>0</v>
      </c>
      <c r="AQ16" s="252" t="n">
        <f aca="false">IF(SUM(AQ10:AQ15)=AQ10*COUNT(AQ10:AQ15),1,0)</f>
        <v>0</v>
      </c>
      <c r="AR16" s="252" t="n">
        <f aca="false">IF(SUM(AR10:AR15)=AR10*COUNT(AR10:AR15),1,0)</f>
        <v>1</v>
      </c>
      <c r="AS16" s="252" t="n">
        <f aca="false">IF(SUM(AS10:AS15)=AS10*COUNT(AS10:AS15),1,0)</f>
        <v>0</v>
      </c>
      <c r="AT16" s="252" t="n">
        <f aca="false">IF(SUM(AT10:AT15)=AT10*COUNT(AT10:AT15),1,0)</f>
        <v>0</v>
      </c>
      <c r="AU16" s="252" t="n">
        <f aca="false">IF(SUM(AU10:AU15)=AU10*COUNT(AU10:AU15),1,0)</f>
        <v>1</v>
      </c>
      <c r="AV16" s="252" t="n">
        <f aca="false">IF(SUM(AV10:AV15)=AV10*COUNT(AV10:AV15),1,0)</f>
        <v>1</v>
      </c>
      <c r="AW16" s="252" t="n">
        <f aca="false">IF(SUM(AW10:AW15)=AW10*COUNT(AW10:AW15),1,0)</f>
        <v>1</v>
      </c>
      <c r="AX16" s="252" t="n">
        <f aca="false">IF(SUM(AX10:AX15)=AX10*COUNT(AX10:AX15),1,0)</f>
        <v>0</v>
      </c>
      <c r="AY16" s="252" t="n">
        <f aca="false">IF(SUM(AY10:AY15)=AY10*COUNT(AY10:AY15),1,0)</f>
        <v>0</v>
      </c>
      <c r="AZ16" s="252" t="n">
        <f aca="false">IF(SUM(AZ10:AZ15)=AZ10*COUNT(AZ10:AZ15),1,0)</f>
        <v>1</v>
      </c>
      <c r="BA16" s="252" t="n">
        <f aca="false">IF(SUM(BA10:BA15)=BA10*COUNT(BA10:BA15),1,0)</f>
        <v>1</v>
      </c>
      <c r="BB16" s="252" t="n">
        <f aca="false">IF(SUM(BB10:BB15)=BB10*COUNT(BB10:BB15),1,0)</f>
        <v>0</v>
      </c>
      <c r="BC16" s="252" t="n">
        <f aca="false">IF(SUM(BC10:BC15)=BC10*COUNT(BC10:BC15),1,0)</f>
        <v>0</v>
      </c>
      <c r="BD16" s="252" t="n">
        <f aca="false">IF(SUM(BD10:BD15)=BD10*COUNT(BD10:BD15),1,0)</f>
        <v>0</v>
      </c>
      <c r="BE16" s="252" t="n">
        <f aca="false">IF(SUM(BE10:BE15)=BE10*COUNT(BE10:BE15),1,0)</f>
        <v>1</v>
      </c>
      <c r="BF16" s="252" t="n">
        <f aca="false">IF(SUM(BF10:BF15)=BF10*COUNT(BF10:BF15),1,0)</f>
        <v>1</v>
      </c>
      <c r="BG16" s="252" t="n">
        <f aca="false">IF(SUM(BG10:BG15)=BG10*COUNT(BG10:BG15),1,0)</f>
        <v>0</v>
      </c>
      <c r="BH16" s="252" t="n">
        <f aca="false">IF(SUM(BH10:BH15)=BH10*COUNT(BH10:BH15),1,0)</f>
        <v>1</v>
      </c>
      <c r="BI16" s="252" t="n">
        <f aca="false">IF(SUM(BI10:BI15)=BI10*COUNT(BI10:BI15),1,0)</f>
        <v>0</v>
      </c>
      <c r="BJ16" s="252" t="n">
        <f aca="false">IF(SUM(BJ10:BJ15)=BJ10*COUNT(BJ10:BJ15),1,0)</f>
        <v>1</v>
      </c>
      <c r="BK16" s="252" t="n">
        <f aca="false">IF(SUM(BK10:BK15)=BK10*COUNT(BK10:BK15),1,0)</f>
        <v>1</v>
      </c>
      <c r="BL16" s="252" t="n">
        <f aca="false">IF(SUM(BL10:BL15)=BL10*COUNT(BL10:BL15),1,0)</f>
        <v>1</v>
      </c>
      <c r="BM16" s="252" t="n">
        <f aca="false">IF(SUM(BM10:BM15)=BM10*COUNT(BM10:BM15),1,0)</f>
        <v>0</v>
      </c>
      <c r="BN16" s="252" t="n">
        <f aca="false">IF(SUM(BN10:BN15)=BN10*COUNT(BN10:BN15),1,0)</f>
        <v>0</v>
      </c>
      <c r="BO16" s="252" t="n">
        <f aca="false">IF(SUM(BO10:BO15)=BO10*COUNT(BO10:BO15),1,0)</f>
        <v>1</v>
      </c>
      <c r="BP16" s="252" t="n">
        <f aca="false">IF(SUM(BP10:BP15)=BP10*COUNT(BP10:BP15),1,0)</f>
        <v>1</v>
      </c>
      <c r="BQ16" s="252" t="n">
        <f aca="false">IF(SUM(BQ10:BQ15)=BQ10*COUNT(BQ10:BQ15),1,0)</f>
        <v>0</v>
      </c>
      <c r="BR16" s="252" t="n">
        <f aca="false">IF(SUM(BR10:BR15)=BR10*COUNT(BR10:BR15),1,0)</f>
        <v>0</v>
      </c>
      <c r="BS16" s="252" t="n">
        <f aca="false">IF(SUM(BS10:BS15)=BS10*COUNT(BS10:BS15),1,0)</f>
        <v>1</v>
      </c>
      <c r="BT16" s="252" t="n">
        <f aca="false">IF(SUM(BT10:BT15)=BT10*COUNT(BT10:BT15),1,0)</f>
        <v>0</v>
      </c>
      <c r="BU16" s="252" t="n">
        <f aca="false">IF(SUM(BU10:BU15)=BU10*COUNT(BU10:BU15),1,0)</f>
        <v>1</v>
      </c>
      <c r="BV16" s="252" t="n">
        <f aca="false">IF(SUM(BV10:BV15)=BV10*COUNT(BV10:BV15),1,0)</f>
        <v>1</v>
      </c>
      <c r="BW16" s="252" t="n">
        <f aca="false">IF(SUM(BW10:BW15)=BW10*COUNT(BW10:BW15),1,0)</f>
        <v>1</v>
      </c>
      <c r="BX16" s="252" t="n">
        <f aca="false">IF(SUM(BX10:BX15)=BX10*COUNT(BX10:BX15),1,0)</f>
        <v>0</v>
      </c>
      <c r="BY16" s="252" t="n">
        <f aca="false">IF(SUM(BY10:BY15)=BY10*COUNT(BY10:BY15),1,0)</f>
        <v>0</v>
      </c>
      <c r="BZ16" s="252" t="n">
        <f aca="false">IF(SUM(BZ10:BZ15)=BZ10*COUNT(BZ10:BZ15),1,0)</f>
        <v>1</v>
      </c>
      <c r="CA16" s="252" t="n">
        <f aca="false">IF(SUM(CA10:CA15)=CA10*COUNT(CA10:CA15),1,0)</f>
        <v>0</v>
      </c>
      <c r="CB16" s="252" t="n">
        <f aca="false">IF(SUM(CB10:CB15)=CB10*COUNT(CB10:CB15),1,0)</f>
        <v>0</v>
      </c>
      <c r="CC16" s="252" t="n">
        <f aca="false">IF(SUM(CC10:CC15)=CC10*COUNT(CC10:CC15),1,0)</f>
        <v>0</v>
      </c>
      <c r="CD16" s="252" t="n">
        <f aca="false">IF(SUM(CD10:CD15)=CD10*COUNT(CD10:CD15),1,0)</f>
        <v>1</v>
      </c>
      <c r="CE16" s="252" t="n">
        <f aca="false">IF(SUM(CE10:CE15)=CE10*COUNT(CE10:CE15),1,0)</f>
        <v>1</v>
      </c>
      <c r="CF16" s="252" t="n">
        <f aca="false">IF(SUM(CF10:CF15)=CF10*COUNT(CF10:CF15),1,0)</f>
        <v>0</v>
      </c>
      <c r="CG16" s="252" t="n">
        <f aca="false">IF(SUM(CG10:CG15)=CG10*COUNT(CG10:CG15),1,0)</f>
        <v>0</v>
      </c>
      <c r="CH16" s="252" t="n">
        <f aca="false">IF(SUM(CH10:CH15)=CH10*COUNT(CH10:CH15),1,0)</f>
        <v>0</v>
      </c>
      <c r="CI16" s="252"/>
      <c r="CJ16" s="252" t="n">
        <f aca="false">IF(SUM(CJ10:CJ15)=CJ10*COUNT(CJ10:CJ15),1,0)</f>
        <v>0</v>
      </c>
      <c r="CK16" s="222"/>
      <c r="CL16" s="222" t="n">
        <f aca="false">COUNT(B16:CJ16)</f>
        <v>86</v>
      </c>
      <c r="CM16" s="253" t="n">
        <f aca="false">COUNTIF(B16:CJ16,0)/CL16</f>
        <v>0.5</v>
      </c>
    </row>
    <row r="17" customFormat="false" ht="12.8" hidden="true" customHeight="false" outlineLevel="1" collapsed="false">
      <c r="A17" s="18" t="s">
        <v>53</v>
      </c>
      <c r="B17" s="18" t="n">
        <v>300</v>
      </c>
      <c r="C17" s="18" t="n">
        <v>840</v>
      </c>
      <c r="D17" s="18" t="n">
        <v>17157.28</v>
      </c>
      <c r="E17" s="18" t="n">
        <v>750</v>
      </c>
      <c r="F17" s="18" t="n">
        <v>2700</v>
      </c>
      <c r="G17" s="18" t="n">
        <v>15550</v>
      </c>
      <c r="H17" s="18" t="n">
        <v>3133</v>
      </c>
      <c r="I17" s="18" t="n">
        <v>5502</v>
      </c>
      <c r="J17" s="18" t="n">
        <v>1002</v>
      </c>
      <c r="K17" s="18" t="n">
        <v>12200</v>
      </c>
      <c r="L17" s="18" t="n">
        <v>1000</v>
      </c>
      <c r="M17" s="18" t="n">
        <v>500</v>
      </c>
      <c r="N17" s="18" t="n">
        <v>500</v>
      </c>
      <c r="O17" s="18" t="n">
        <v>1790</v>
      </c>
      <c r="P17" s="18" t="n">
        <v>1275.08</v>
      </c>
      <c r="Q17" s="18" t="n">
        <v>2250</v>
      </c>
      <c r="R17" s="18" t="n">
        <v>1550</v>
      </c>
      <c r="S17" s="18" t="n">
        <v>185</v>
      </c>
      <c r="T17" s="18" t="n">
        <v>480</v>
      </c>
      <c r="U17" s="18" t="n">
        <v>2900</v>
      </c>
      <c r="V17" s="18" t="n">
        <v>310</v>
      </c>
      <c r="W17" s="18" t="n">
        <v>970</v>
      </c>
      <c r="X17" s="18" t="n">
        <v>114</v>
      </c>
      <c r="Y17" s="18" t="n">
        <v>2200</v>
      </c>
      <c r="Z17" s="18" t="n">
        <v>3422</v>
      </c>
      <c r="AA17" s="18" t="n">
        <v>4005</v>
      </c>
      <c r="AB17" s="18" t="n">
        <v>4500</v>
      </c>
      <c r="AC17" s="18" t="n">
        <v>333</v>
      </c>
      <c r="AD17" s="18" t="n">
        <v>120</v>
      </c>
      <c r="AE17" s="18" t="n">
        <v>11678.26</v>
      </c>
      <c r="AF17" s="18" t="n">
        <v>160</v>
      </c>
      <c r="AG17" s="18" t="n">
        <v>39</v>
      </c>
      <c r="AH17" s="18" t="n">
        <v>200</v>
      </c>
      <c r="AI17" s="18" t="n">
        <v>1200</v>
      </c>
      <c r="AJ17" s="18" t="n">
        <v>4400</v>
      </c>
      <c r="AK17" s="18" t="n">
        <v>365</v>
      </c>
      <c r="AL17" s="18" t="n">
        <v>20</v>
      </c>
      <c r="AM17" s="18" t="n">
        <v>200</v>
      </c>
      <c r="AN17" s="18" t="n">
        <v>67394.06</v>
      </c>
      <c r="AO17" s="18" t="n">
        <v>600</v>
      </c>
      <c r="AP17" s="18" t="n">
        <v>132</v>
      </c>
      <c r="AQ17" s="18" t="n">
        <v>2500</v>
      </c>
      <c r="AR17" s="18" t="n">
        <v>607</v>
      </c>
      <c r="AS17" s="18" t="n">
        <v>100</v>
      </c>
      <c r="AT17" s="18" t="n">
        <v>23700</v>
      </c>
      <c r="AU17" s="18" t="n">
        <v>61500</v>
      </c>
      <c r="AV17" s="18" t="n">
        <v>1900</v>
      </c>
      <c r="AW17" s="18" t="n">
        <v>6000</v>
      </c>
      <c r="AX17" s="18" t="n">
        <v>3500</v>
      </c>
      <c r="AY17" s="18" t="n">
        <v>201</v>
      </c>
      <c r="AZ17" s="18" t="n">
        <v>16500</v>
      </c>
      <c r="BA17" s="18" t="n">
        <v>2619</v>
      </c>
      <c r="BB17" s="18" t="n">
        <v>32000</v>
      </c>
      <c r="BC17" s="18" t="n">
        <v>2100</v>
      </c>
      <c r="BD17" s="18" t="n">
        <v>87550</v>
      </c>
      <c r="BE17" s="18" t="n">
        <v>50</v>
      </c>
      <c r="BF17" s="18" t="n">
        <v>20</v>
      </c>
      <c r="BG17" s="18" t="n">
        <v>450</v>
      </c>
      <c r="BH17" s="18" t="n">
        <v>20</v>
      </c>
      <c r="BI17" s="18" t="n">
        <v>51.85</v>
      </c>
      <c r="BJ17" s="18" t="n">
        <v>603</v>
      </c>
      <c r="BK17" s="18" t="n">
        <v>360</v>
      </c>
      <c r="BL17" s="18" t="n">
        <v>70</v>
      </c>
      <c r="BM17" s="18" t="n">
        <v>7000</v>
      </c>
      <c r="BN17" s="18" t="n">
        <v>3100</v>
      </c>
      <c r="BO17" s="18" t="n">
        <v>30</v>
      </c>
      <c r="BP17" s="18" t="n">
        <v>1200</v>
      </c>
      <c r="BQ17" s="18" t="n">
        <v>2430</v>
      </c>
      <c r="BR17" s="18" t="n">
        <v>1346</v>
      </c>
      <c r="BS17" s="18" t="n">
        <v>730</v>
      </c>
      <c r="BT17" s="18" t="n">
        <v>2500</v>
      </c>
      <c r="BU17" s="18" t="n">
        <v>1000</v>
      </c>
      <c r="BV17" s="18" t="n">
        <v>1800</v>
      </c>
      <c r="BW17" s="18" t="n">
        <v>97</v>
      </c>
      <c r="BX17" s="18" t="n">
        <v>10000</v>
      </c>
      <c r="BY17" s="18" t="n">
        <v>1355</v>
      </c>
      <c r="BZ17" s="18" t="n">
        <v>250</v>
      </c>
      <c r="CA17" s="18" t="n">
        <v>4005.6</v>
      </c>
      <c r="CB17" s="18" t="n">
        <v>53000</v>
      </c>
      <c r="CC17" s="18" t="n">
        <v>399</v>
      </c>
      <c r="CD17" s="18" t="n">
        <v>119</v>
      </c>
      <c r="CE17" s="18" t="n">
        <v>1801</v>
      </c>
      <c r="CF17" s="18" t="n">
        <v>308</v>
      </c>
      <c r="CG17" s="18" t="n">
        <v>29000</v>
      </c>
      <c r="CH17" s="18" t="n">
        <v>600</v>
      </c>
      <c r="CJ17" s="18" t="n">
        <v>2500</v>
      </c>
    </row>
    <row r="18" customFormat="false" ht="12.8" hidden="true" customHeight="false" outlineLevel="1" collapsed="false">
      <c r="A18" s="18" t="s">
        <v>54</v>
      </c>
      <c r="B18" s="18" t="n">
        <v>300</v>
      </c>
      <c r="C18" s="18" t="n">
        <v>815</v>
      </c>
      <c r="D18" s="18" t="n">
        <v>16070.28</v>
      </c>
      <c r="E18" s="18" t="n">
        <v>750</v>
      </c>
      <c r="F18" s="18" t="n">
        <v>2700</v>
      </c>
      <c r="G18" s="18" t="n">
        <v>15550</v>
      </c>
      <c r="H18" s="18" t="n">
        <v>3133</v>
      </c>
      <c r="I18" s="18" t="n">
        <v>5190</v>
      </c>
      <c r="J18" s="18" t="n">
        <v>1002</v>
      </c>
      <c r="K18" s="18" t="n">
        <v>12200</v>
      </c>
      <c r="L18" s="18" t="n">
        <v>1000</v>
      </c>
      <c r="M18" s="18" t="n">
        <v>500</v>
      </c>
      <c r="N18" s="18" t="n">
        <v>500</v>
      </c>
      <c r="O18" s="18" t="n">
        <v>1790</v>
      </c>
      <c r="P18" s="18" t="n">
        <v>1499.6</v>
      </c>
      <c r="Q18" s="18" t="n">
        <v>2250</v>
      </c>
      <c r="R18" s="18" t="n">
        <v>1550</v>
      </c>
      <c r="S18" s="18" t="n">
        <v>185</v>
      </c>
      <c r="T18" s="18" t="n">
        <v>480</v>
      </c>
      <c r="U18" s="18" t="n">
        <v>2900</v>
      </c>
      <c r="V18" s="18" t="n">
        <v>310</v>
      </c>
      <c r="W18" s="18" t="n">
        <v>970</v>
      </c>
      <c r="X18" s="18" t="n">
        <v>120</v>
      </c>
      <c r="Y18" s="18" t="n">
        <v>2200</v>
      </c>
      <c r="Z18" s="18" t="n">
        <v>3500</v>
      </c>
      <c r="AA18" s="18" t="n">
        <v>4005</v>
      </c>
      <c r="AB18" s="18" t="n">
        <v>4500</v>
      </c>
      <c r="AC18" s="18" t="n">
        <v>333</v>
      </c>
      <c r="AD18" s="18" t="n">
        <v>120</v>
      </c>
      <c r="AE18" s="18" t="n">
        <v>11086.82</v>
      </c>
      <c r="AF18" s="18" t="n">
        <v>152</v>
      </c>
      <c r="AG18" s="18" t="n">
        <v>50</v>
      </c>
      <c r="AH18" s="18" t="n">
        <v>200</v>
      </c>
      <c r="AI18" s="18" t="n">
        <v>1200</v>
      </c>
      <c r="AJ18" s="18" t="n">
        <v>4400</v>
      </c>
      <c r="AK18" s="18" t="n">
        <v>350</v>
      </c>
      <c r="AL18" s="18" t="n">
        <v>20</v>
      </c>
      <c r="AM18" s="18" t="n">
        <v>200</v>
      </c>
      <c r="AN18" s="18" t="n">
        <v>66000.05</v>
      </c>
      <c r="AO18" s="18" t="n">
        <v>553</v>
      </c>
      <c r="AP18" s="18" t="n">
        <v>118</v>
      </c>
      <c r="AQ18" s="18" t="n">
        <v>2500</v>
      </c>
      <c r="AR18" s="18" t="n">
        <v>607</v>
      </c>
      <c r="AS18" s="18" t="n">
        <v>100</v>
      </c>
      <c r="AT18" s="18" t="n">
        <v>22709</v>
      </c>
      <c r="AU18" s="18" t="n">
        <v>61500</v>
      </c>
      <c r="AV18" s="18" t="n">
        <v>1900</v>
      </c>
      <c r="AW18" s="18" t="n">
        <v>6000</v>
      </c>
      <c r="AX18" s="18" t="n">
        <v>3303</v>
      </c>
      <c r="AY18" s="18" t="n">
        <v>100</v>
      </c>
      <c r="AZ18" s="18" t="n">
        <v>16500</v>
      </c>
      <c r="BA18" s="18" t="n">
        <v>2400</v>
      </c>
      <c r="BB18" s="18" t="n">
        <v>32998</v>
      </c>
      <c r="BC18" s="18" t="n">
        <v>2100</v>
      </c>
      <c r="BD18" s="18" t="n">
        <v>91000</v>
      </c>
      <c r="BE18" s="18" t="n">
        <v>50</v>
      </c>
      <c r="BF18" s="18" t="n">
        <v>20</v>
      </c>
      <c r="BG18" s="18" t="n">
        <v>430</v>
      </c>
      <c r="BH18" s="18" t="n">
        <v>28</v>
      </c>
      <c r="BI18" s="18" t="n">
        <v>55</v>
      </c>
      <c r="BJ18" s="18" t="n">
        <v>603</v>
      </c>
      <c r="BK18" s="18" t="n">
        <v>360</v>
      </c>
      <c r="BL18" s="18" t="n">
        <v>70</v>
      </c>
      <c r="BM18" s="18" t="n">
        <v>7000</v>
      </c>
      <c r="BN18" s="18" t="n">
        <v>3100</v>
      </c>
      <c r="BO18" s="18" t="n">
        <v>30</v>
      </c>
      <c r="BP18" s="18" t="n">
        <v>1200</v>
      </c>
      <c r="BQ18" s="18" t="n">
        <v>2699</v>
      </c>
      <c r="BR18" s="18" t="n">
        <v>1350</v>
      </c>
      <c r="BS18" s="18" t="n">
        <v>730</v>
      </c>
      <c r="BT18" s="18" t="n">
        <v>2267</v>
      </c>
      <c r="BU18" s="18" t="n">
        <v>1000</v>
      </c>
      <c r="BV18" s="18" t="n">
        <v>1800</v>
      </c>
      <c r="BW18" s="18" t="n">
        <v>97</v>
      </c>
      <c r="BX18" s="18" t="n">
        <v>10000</v>
      </c>
      <c r="BY18" s="18" t="n">
        <v>1380</v>
      </c>
      <c r="BZ18" s="18" t="n">
        <v>250</v>
      </c>
      <c r="CA18" s="18" t="n">
        <v>3170</v>
      </c>
      <c r="CB18" s="18" t="n">
        <v>54000</v>
      </c>
      <c r="CC18" s="18" t="n">
        <v>400</v>
      </c>
      <c r="CD18" s="18" t="n">
        <v>119</v>
      </c>
      <c r="CE18" s="18" t="n">
        <v>1801</v>
      </c>
      <c r="CF18" s="18" t="n">
        <v>308</v>
      </c>
      <c r="CG18" s="18" t="n">
        <v>28501</v>
      </c>
      <c r="CH18" s="18" t="n">
        <v>450</v>
      </c>
      <c r="CJ18" s="18" t="n">
        <v>2000</v>
      </c>
    </row>
    <row r="19" customFormat="false" ht="12.8" hidden="true" customHeight="false" outlineLevel="1" collapsed="false">
      <c r="A19" s="166" t="s">
        <v>55</v>
      </c>
      <c r="B19" s="18" t="n">
        <v>300</v>
      </c>
      <c r="C19" s="18" t="n">
        <v>815</v>
      </c>
      <c r="D19" s="18" t="n">
        <v>16869.57</v>
      </c>
      <c r="E19" s="18" t="n">
        <v>750</v>
      </c>
      <c r="F19" s="18" t="n">
        <v>2700</v>
      </c>
      <c r="G19" s="18" t="n">
        <v>15550</v>
      </c>
      <c r="H19" s="18" t="n">
        <v>3133</v>
      </c>
      <c r="I19" s="18" t="n">
        <v>5190</v>
      </c>
      <c r="J19" s="18" t="n">
        <v>1002</v>
      </c>
      <c r="K19" s="18" t="n">
        <v>12200</v>
      </c>
      <c r="L19" s="18" t="n">
        <v>1000</v>
      </c>
      <c r="M19" s="18" t="n">
        <v>500</v>
      </c>
      <c r="N19" s="18" t="n">
        <v>500</v>
      </c>
      <c r="O19" s="18" t="n">
        <v>1790</v>
      </c>
      <c r="P19" s="18" t="n">
        <v>1388.37</v>
      </c>
      <c r="Q19" s="18" t="n">
        <v>2250</v>
      </c>
      <c r="R19" s="18" t="n">
        <v>1550</v>
      </c>
      <c r="S19" s="18" t="n">
        <v>185</v>
      </c>
      <c r="T19" s="18" t="n">
        <v>480</v>
      </c>
      <c r="U19" s="18" t="n">
        <v>2900</v>
      </c>
      <c r="V19" s="18" t="n">
        <v>310</v>
      </c>
      <c r="W19" s="18" t="n">
        <v>970</v>
      </c>
      <c r="X19" s="18" t="n">
        <v>170</v>
      </c>
      <c r="Y19" s="18" t="n">
        <v>2200</v>
      </c>
      <c r="Z19" s="18" t="n">
        <v>3500</v>
      </c>
      <c r="AA19" s="18" t="n">
        <v>4005</v>
      </c>
      <c r="AB19" s="18" t="n">
        <v>4500</v>
      </c>
      <c r="AC19" s="18" t="n">
        <v>333</v>
      </c>
      <c r="AD19" s="18" t="n">
        <v>120</v>
      </c>
      <c r="AE19" s="18" t="n">
        <v>11397.85</v>
      </c>
      <c r="AF19" s="18" t="n">
        <v>152</v>
      </c>
      <c r="AG19" s="18" t="n">
        <v>50</v>
      </c>
      <c r="AH19" s="18" t="n">
        <v>200</v>
      </c>
      <c r="AI19" s="18" t="n">
        <v>1200</v>
      </c>
      <c r="AJ19" s="18" t="n">
        <v>4392.07</v>
      </c>
      <c r="AK19" s="18" t="n">
        <v>368.4</v>
      </c>
      <c r="AL19" s="18" t="n">
        <v>20</v>
      </c>
      <c r="AM19" s="18" t="n">
        <v>204</v>
      </c>
      <c r="AN19" s="18" t="n">
        <v>69832.42</v>
      </c>
      <c r="AO19" s="18" t="n">
        <v>553</v>
      </c>
      <c r="AP19" s="18" t="n">
        <v>121.47</v>
      </c>
      <c r="AQ19" s="18" t="n">
        <v>2500</v>
      </c>
      <c r="AR19" s="18" t="n">
        <v>607</v>
      </c>
      <c r="AS19" s="18" t="n">
        <v>100</v>
      </c>
      <c r="AT19" s="18" t="n">
        <v>25023.14</v>
      </c>
      <c r="AU19" s="18" t="n">
        <v>61500</v>
      </c>
      <c r="AV19" s="18" t="n">
        <v>1900</v>
      </c>
      <c r="AW19" s="18" t="n">
        <v>6000</v>
      </c>
      <c r="AX19" s="18" t="n">
        <v>3630</v>
      </c>
      <c r="AY19" s="18" t="n">
        <v>100</v>
      </c>
      <c r="AZ19" s="18" t="n">
        <v>16500</v>
      </c>
      <c r="BA19" s="18" t="n">
        <v>2472</v>
      </c>
      <c r="BB19" s="18" t="n">
        <v>33000</v>
      </c>
      <c r="BC19" s="18" t="n">
        <v>2100</v>
      </c>
      <c r="BD19" s="18" t="n">
        <v>91000</v>
      </c>
      <c r="BE19" s="18" t="n">
        <v>50</v>
      </c>
      <c r="BF19" s="18" t="n">
        <v>20</v>
      </c>
      <c r="BG19" s="18" t="n">
        <v>430</v>
      </c>
      <c r="BH19" s="18" t="n">
        <v>28</v>
      </c>
      <c r="BI19" s="18" t="n">
        <v>54</v>
      </c>
      <c r="BJ19" s="18" t="n">
        <v>603</v>
      </c>
      <c r="BK19" s="18" t="n">
        <v>360</v>
      </c>
      <c r="BL19" s="18" t="n">
        <v>70</v>
      </c>
      <c r="BM19" s="18" t="n">
        <v>7000</v>
      </c>
      <c r="BN19" s="18" t="n">
        <v>3100</v>
      </c>
      <c r="BO19" s="18" t="n">
        <v>30</v>
      </c>
      <c r="BP19" s="18" t="n">
        <v>1200</v>
      </c>
      <c r="BQ19" s="18" t="n">
        <v>2699</v>
      </c>
      <c r="BR19" s="18" t="n">
        <v>1405.51</v>
      </c>
      <c r="BS19" s="18" t="n">
        <v>730</v>
      </c>
      <c r="BT19" s="18" t="n">
        <v>2280</v>
      </c>
      <c r="BU19" s="18" t="n">
        <v>1000</v>
      </c>
      <c r="BV19" s="18" t="n">
        <v>1800</v>
      </c>
      <c r="BW19" s="18" t="n">
        <v>97</v>
      </c>
      <c r="BX19" s="18" t="n">
        <v>10000</v>
      </c>
      <c r="BY19" s="18" t="n">
        <v>1360</v>
      </c>
      <c r="BZ19" s="18" t="n">
        <v>250</v>
      </c>
      <c r="CA19" s="18" t="n">
        <v>2850</v>
      </c>
      <c r="CB19" s="18" t="n">
        <v>54000</v>
      </c>
      <c r="CC19" s="18" t="n">
        <v>400</v>
      </c>
      <c r="CD19" s="18" t="n">
        <v>119</v>
      </c>
      <c r="CE19" s="18" t="n">
        <v>1801</v>
      </c>
      <c r="CF19" s="18" t="n">
        <v>308</v>
      </c>
      <c r="CG19" s="18" t="n">
        <v>28220</v>
      </c>
      <c r="CH19" s="18" t="n">
        <v>450</v>
      </c>
      <c r="CJ19" s="18" t="n">
        <v>2000</v>
      </c>
    </row>
    <row r="20" customFormat="false" ht="12.8" hidden="true" customHeight="false" outlineLevel="1" collapsed="false">
      <c r="A20" s="18" t="s">
        <v>56</v>
      </c>
      <c r="B20" s="18" t="n">
        <v>300</v>
      </c>
      <c r="C20" s="18" t="n">
        <v>805</v>
      </c>
      <c r="D20" s="18" t="n">
        <v>16752.41</v>
      </c>
      <c r="E20" s="18" t="n">
        <v>750</v>
      </c>
      <c r="F20" s="18" t="n">
        <v>2500</v>
      </c>
      <c r="G20" s="18" t="n">
        <v>15550</v>
      </c>
      <c r="H20" s="18" t="n">
        <v>3133</v>
      </c>
      <c r="I20" s="18" t="n">
        <v>5010</v>
      </c>
      <c r="J20" s="18" t="n">
        <v>1002</v>
      </c>
      <c r="K20" s="18" t="n">
        <v>12200</v>
      </c>
      <c r="L20" s="18" t="n">
        <v>1000</v>
      </c>
      <c r="M20" s="18" t="n">
        <v>500</v>
      </c>
      <c r="N20" s="18" t="n">
        <v>500</v>
      </c>
      <c r="O20" s="18" t="n">
        <v>1790</v>
      </c>
      <c r="P20" s="18" t="n">
        <v>1320</v>
      </c>
      <c r="Q20" s="18" t="n">
        <v>2250</v>
      </c>
      <c r="R20" s="18" t="n">
        <v>1550</v>
      </c>
      <c r="S20" s="18" t="n">
        <v>185</v>
      </c>
      <c r="T20" s="18" t="n">
        <v>480</v>
      </c>
      <c r="U20" s="18" t="n">
        <v>2900</v>
      </c>
      <c r="V20" s="18" t="n">
        <v>310</v>
      </c>
      <c r="W20" s="18" t="n">
        <v>970</v>
      </c>
      <c r="X20" s="18" t="n">
        <v>170</v>
      </c>
      <c r="Y20" s="18" t="n">
        <v>2200</v>
      </c>
      <c r="Z20" s="18" t="n">
        <v>3600</v>
      </c>
      <c r="AA20" s="18" t="n">
        <v>4005</v>
      </c>
      <c r="AB20" s="18" t="n">
        <v>4500</v>
      </c>
      <c r="AC20" s="18" t="n">
        <v>333</v>
      </c>
      <c r="AD20" s="18" t="n">
        <v>120</v>
      </c>
      <c r="AE20" s="18" t="n">
        <v>11652.18</v>
      </c>
      <c r="AF20" s="18" t="n">
        <v>152</v>
      </c>
      <c r="AG20" s="18" t="n">
        <v>60</v>
      </c>
      <c r="AH20" s="18" t="n">
        <v>200</v>
      </c>
      <c r="AI20" s="18" t="n">
        <v>1200</v>
      </c>
      <c r="AJ20" s="18" t="n">
        <v>4559</v>
      </c>
      <c r="AK20" s="18" t="n">
        <v>371.75</v>
      </c>
      <c r="AL20" s="18" t="n">
        <v>20</v>
      </c>
      <c r="AM20" s="18" t="n">
        <v>190</v>
      </c>
      <c r="AN20" s="18" t="n">
        <v>71000</v>
      </c>
      <c r="AO20" s="18" t="n">
        <v>553</v>
      </c>
      <c r="AP20" s="18" t="n">
        <v>120.88</v>
      </c>
      <c r="AQ20" s="18" t="n">
        <v>2500</v>
      </c>
      <c r="AR20" s="18" t="n">
        <v>607</v>
      </c>
      <c r="AS20" s="18" t="n">
        <v>100</v>
      </c>
      <c r="AT20" s="18" t="n">
        <v>24800</v>
      </c>
      <c r="AU20" s="18" t="n">
        <v>61500</v>
      </c>
      <c r="AV20" s="18" t="n">
        <v>1900</v>
      </c>
      <c r="AW20" s="18" t="n">
        <v>6000</v>
      </c>
      <c r="AX20" s="18" t="n">
        <v>3263</v>
      </c>
      <c r="AY20" s="18" t="n">
        <v>100</v>
      </c>
      <c r="AZ20" s="18" t="n">
        <v>16464</v>
      </c>
      <c r="BA20" s="18" t="n">
        <v>2472</v>
      </c>
      <c r="BB20" s="18" t="n">
        <v>33000</v>
      </c>
      <c r="BC20" s="18" t="n">
        <v>2150</v>
      </c>
      <c r="BD20" s="18" t="n">
        <v>86010</v>
      </c>
      <c r="BE20" s="18" t="n">
        <v>50</v>
      </c>
      <c r="BF20" s="18" t="n">
        <v>20</v>
      </c>
      <c r="BG20" s="18" t="n">
        <v>521</v>
      </c>
      <c r="BH20" s="18" t="n">
        <v>28</v>
      </c>
      <c r="BI20" s="18" t="n">
        <v>51</v>
      </c>
      <c r="BJ20" s="18" t="n">
        <v>603</v>
      </c>
      <c r="BK20" s="18" t="n">
        <v>360</v>
      </c>
      <c r="BL20" s="18" t="n">
        <v>70</v>
      </c>
      <c r="BM20" s="18" t="n">
        <v>7000</v>
      </c>
      <c r="BN20" s="18" t="n">
        <v>3100</v>
      </c>
      <c r="BO20" s="18" t="n">
        <v>30</v>
      </c>
      <c r="BP20" s="18" t="n">
        <v>1200</v>
      </c>
      <c r="BQ20" s="18" t="n">
        <v>2999.33</v>
      </c>
      <c r="BR20" s="18" t="n">
        <v>1369.55</v>
      </c>
      <c r="BS20" s="18" t="n">
        <v>730</v>
      </c>
      <c r="BT20" s="18" t="n">
        <v>2260.34</v>
      </c>
      <c r="BU20" s="18" t="n">
        <v>1000</v>
      </c>
      <c r="BV20" s="18" t="n">
        <v>1800</v>
      </c>
      <c r="BW20" s="18" t="n">
        <v>97</v>
      </c>
      <c r="BX20" s="18" t="n">
        <v>10000</v>
      </c>
      <c r="BY20" s="18" t="n">
        <v>1420.73</v>
      </c>
      <c r="BZ20" s="18" t="n">
        <v>250</v>
      </c>
      <c r="CA20" s="18" t="n">
        <v>3100</v>
      </c>
      <c r="CB20" s="18" t="n">
        <v>55500</v>
      </c>
      <c r="CC20" s="18" t="n">
        <v>400</v>
      </c>
      <c r="CD20" s="18" t="n">
        <v>119</v>
      </c>
      <c r="CE20" s="18" t="n">
        <v>1801</v>
      </c>
      <c r="CF20" s="18" t="n">
        <v>308</v>
      </c>
      <c r="CG20" s="18" t="n">
        <v>35000</v>
      </c>
      <c r="CH20" s="18" t="n">
        <v>450</v>
      </c>
      <c r="CJ20" s="18" t="n">
        <v>2850</v>
      </c>
    </row>
    <row r="21" customFormat="false" ht="12.8" hidden="true" customHeight="false" outlineLevel="1" collapsed="false">
      <c r="A21" s="18" t="s">
        <v>57</v>
      </c>
      <c r="B21" s="18" t="n">
        <v>300</v>
      </c>
      <c r="C21" s="18" t="n">
        <v>760</v>
      </c>
      <c r="D21" s="18" t="n">
        <v>18000</v>
      </c>
      <c r="E21" s="18" t="n">
        <v>750</v>
      </c>
      <c r="F21" s="18" t="n">
        <v>2700</v>
      </c>
      <c r="G21" s="18" t="n">
        <v>15550</v>
      </c>
      <c r="H21" s="18" t="n">
        <v>3133</v>
      </c>
      <c r="I21" s="18" t="n">
        <v>5500</v>
      </c>
      <c r="J21" s="18" t="n">
        <v>1002</v>
      </c>
      <c r="K21" s="18" t="n">
        <v>12150</v>
      </c>
      <c r="L21" s="18" t="n">
        <v>1030</v>
      </c>
      <c r="M21" s="18" t="n">
        <v>500</v>
      </c>
      <c r="N21" s="18" t="n">
        <v>500</v>
      </c>
      <c r="O21" s="18" t="n">
        <v>1790</v>
      </c>
      <c r="P21" s="18" t="n">
        <v>1299.95</v>
      </c>
      <c r="Q21" s="18" t="n">
        <v>2250</v>
      </c>
      <c r="R21" s="18" t="n">
        <v>1550</v>
      </c>
      <c r="S21" s="18" t="n">
        <v>185</v>
      </c>
      <c r="T21" s="18" t="n">
        <v>480</v>
      </c>
      <c r="U21" s="18" t="n">
        <v>2900</v>
      </c>
      <c r="V21" s="18" t="n">
        <v>310</v>
      </c>
      <c r="W21" s="18" t="n">
        <v>970</v>
      </c>
      <c r="X21" s="18" t="n">
        <v>170</v>
      </c>
      <c r="Y21" s="18" t="n">
        <v>2317</v>
      </c>
      <c r="Z21" s="18" t="n">
        <v>3599</v>
      </c>
      <c r="AA21" s="18" t="n">
        <v>4005</v>
      </c>
      <c r="AB21" s="18" t="n">
        <v>4500</v>
      </c>
      <c r="AC21" s="18" t="n">
        <v>333</v>
      </c>
      <c r="AD21" s="18" t="n">
        <v>120</v>
      </c>
      <c r="AE21" s="18" t="n">
        <v>12608.26</v>
      </c>
      <c r="AF21" s="18" t="n">
        <v>150</v>
      </c>
      <c r="AG21" s="18" t="n">
        <v>62</v>
      </c>
      <c r="AH21" s="18" t="n">
        <v>206</v>
      </c>
      <c r="AI21" s="18" t="n">
        <v>1131</v>
      </c>
      <c r="AJ21" s="18" t="n">
        <v>4600</v>
      </c>
      <c r="AK21" s="18" t="n">
        <v>360</v>
      </c>
      <c r="AL21" s="18" t="n">
        <v>20</v>
      </c>
      <c r="AM21" s="18" t="n">
        <v>185</v>
      </c>
      <c r="AN21" s="18" t="n">
        <v>73503.33</v>
      </c>
      <c r="AO21" s="18" t="n">
        <v>553</v>
      </c>
      <c r="AP21" s="18" t="n">
        <v>110</v>
      </c>
      <c r="AQ21" s="18" t="n">
        <v>2500</v>
      </c>
      <c r="AR21" s="18" t="n">
        <v>607</v>
      </c>
      <c r="AS21" s="18" t="n">
        <v>100</v>
      </c>
      <c r="AT21" s="18" t="n">
        <v>28200</v>
      </c>
      <c r="AU21" s="18" t="n">
        <v>61500</v>
      </c>
      <c r="AV21" s="18" t="n">
        <v>1900</v>
      </c>
      <c r="AW21" s="18" t="n">
        <v>6000</v>
      </c>
      <c r="AX21" s="18" t="n">
        <v>3638</v>
      </c>
      <c r="AY21" s="18" t="n">
        <v>100</v>
      </c>
      <c r="AZ21" s="18" t="n">
        <v>15000</v>
      </c>
      <c r="BA21" s="18" t="n">
        <v>2400</v>
      </c>
      <c r="BB21" s="18" t="n">
        <v>33000</v>
      </c>
      <c r="BC21" s="18" t="n">
        <v>2150</v>
      </c>
      <c r="BD21" s="18" t="n">
        <v>83005</v>
      </c>
      <c r="BE21" s="18" t="n">
        <v>50</v>
      </c>
      <c r="BF21" s="18" t="n">
        <v>20</v>
      </c>
      <c r="BG21" s="18" t="n">
        <v>518</v>
      </c>
      <c r="BH21" s="18" t="n">
        <v>28</v>
      </c>
      <c r="BI21" s="18" t="n">
        <v>51</v>
      </c>
      <c r="BJ21" s="18" t="n">
        <v>603</v>
      </c>
      <c r="BK21" s="18" t="n">
        <v>360</v>
      </c>
      <c r="BL21" s="18" t="n">
        <v>70</v>
      </c>
      <c r="BM21" s="18" t="n">
        <v>5300</v>
      </c>
      <c r="BN21" s="18" t="n">
        <v>3100</v>
      </c>
      <c r="BO21" s="18" t="n">
        <v>30</v>
      </c>
      <c r="BP21" s="18" t="n">
        <v>1200</v>
      </c>
      <c r="BQ21" s="18" t="n">
        <v>3050</v>
      </c>
      <c r="BR21" s="18" t="n">
        <v>1500</v>
      </c>
      <c r="BS21" s="18" t="n">
        <v>730</v>
      </c>
      <c r="BT21" s="18" t="n">
        <v>2350</v>
      </c>
      <c r="BU21" s="18" t="n">
        <v>1000</v>
      </c>
      <c r="BV21" s="18" t="n">
        <v>1800</v>
      </c>
      <c r="BW21" s="18" t="n">
        <v>97</v>
      </c>
      <c r="BX21" s="18" t="n">
        <v>10000</v>
      </c>
      <c r="BY21" s="18" t="n">
        <v>1390</v>
      </c>
      <c r="BZ21" s="18" t="n">
        <v>250</v>
      </c>
      <c r="CA21" s="18" t="n">
        <v>2750</v>
      </c>
      <c r="CB21" s="18" t="n">
        <v>57000</v>
      </c>
      <c r="CC21" s="18" t="n">
        <v>400</v>
      </c>
      <c r="CD21" s="18" t="n">
        <v>119</v>
      </c>
      <c r="CE21" s="18" t="n">
        <v>1568</v>
      </c>
      <c r="CF21" s="18" t="n">
        <v>308</v>
      </c>
      <c r="CG21" s="18" t="n">
        <v>41000</v>
      </c>
      <c r="CH21" s="18" t="n">
        <v>600</v>
      </c>
      <c r="CJ21" s="18" t="n">
        <v>2899</v>
      </c>
    </row>
    <row r="22" customFormat="false" ht="12.8" hidden="true" customHeight="false" outlineLevel="1" collapsed="false">
      <c r="A22" s="18" t="s">
        <v>340</v>
      </c>
      <c r="B22" s="18" t="n">
        <v>300</v>
      </c>
      <c r="C22" s="18" t="n">
        <v>750</v>
      </c>
      <c r="D22" s="18" t="n">
        <v>17535.51</v>
      </c>
      <c r="E22" s="18" t="n">
        <v>750</v>
      </c>
      <c r="F22" s="18" t="n">
        <v>2700</v>
      </c>
      <c r="G22" s="18" t="n">
        <v>15550</v>
      </c>
      <c r="H22" s="18" t="n">
        <v>3133</v>
      </c>
      <c r="I22" s="18" t="n">
        <v>5500</v>
      </c>
      <c r="J22" s="18" t="n">
        <v>973</v>
      </c>
      <c r="K22" s="18" t="n">
        <v>12150</v>
      </c>
      <c r="L22" s="18" t="n">
        <v>157</v>
      </c>
      <c r="M22" s="18" t="n">
        <v>500</v>
      </c>
      <c r="N22" s="18" t="n">
        <v>500</v>
      </c>
      <c r="O22" s="18" t="n">
        <v>1790</v>
      </c>
      <c r="P22" s="18" t="n">
        <v>1184.16</v>
      </c>
      <c r="Q22" s="18" t="n">
        <v>2250</v>
      </c>
      <c r="R22" s="18" t="n">
        <v>1550</v>
      </c>
      <c r="S22" s="18" t="n">
        <v>185</v>
      </c>
      <c r="T22" s="18" t="n">
        <v>480</v>
      </c>
      <c r="U22" s="18" t="n">
        <v>2900</v>
      </c>
      <c r="V22" s="18" t="n">
        <v>310</v>
      </c>
      <c r="W22" s="18" t="n">
        <v>970</v>
      </c>
      <c r="X22" s="18" t="n">
        <v>170</v>
      </c>
      <c r="Y22" s="18" t="n">
        <v>2317</v>
      </c>
      <c r="Z22" s="18" t="n">
        <v>3599</v>
      </c>
      <c r="AA22" s="18" t="n">
        <v>4005</v>
      </c>
      <c r="AB22" s="18" t="n">
        <v>4500</v>
      </c>
      <c r="AC22" s="18" t="n">
        <v>333</v>
      </c>
      <c r="AD22" s="18" t="n">
        <v>120</v>
      </c>
      <c r="AE22" s="18" t="n">
        <v>12148.85</v>
      </c>
      <c r="AF22" s="18" t="n">
        <v>150</v>
      </c>
      <c r="AG22" s="18" t="n">
        <v>63</v>
      </c>
      <c r="AH22" s="18" t="n">
        <v>206</v>
      </c>
      <c r="AI22" s="18" t="n">
        <v>1131</v>
      </c>
      <c r="AJ22" s="18" t="n">
        <v>4700</v>
      </c>
      <c r="AK22" s="18" t="n">
        <v>359</v>
      </c>
      <c r="AL22" s="18" t="n">
        <v>20</v>
      </c>
      <c r="AM22" s="18" t="n">
        <v>185</v>
      </c>
      <c r="AN22" s="18" t="n">
        <v>68993.29</v>
      </c>
      <c r="AO22" s="18" t="n">
        <v>553</v>
      </c>
      <c r="AP22" s="18" t="n">
        <v>96</v>
      </c>
      <c r="AQ22" s="18" t="n">
        <v>2500</v>
      </c>
      <c r="AR22" s="18" t="n">
        <v>607</v>
      </c>
      <c r="AS22" s="18" t="n">
        <v>100</v>
      </c>
      <c r="AT22" s="18" t="n">
        <v>27797.27</v>
      </c>
      <c r="AU22" s="18" t="n">
        <v>61500</v>
      </c>
      <c r="AV22" s="18" t="n">
        <v>1900</v>
      </c>
      <c r="AW22" s="18" t="n">
        <v>6000</v>
      </c>
      <c r="AX22" s="18" t="n">
        <v>3651</v>
      </c>
      <c r="AY22" s="18" t="n">
        <v>100</v>
      </c>
      <c r="AZ22" s="18" t="n">
        <v>15000</v>
      </c>
      <c r="BA22" s="18" t="n">
        <v>2400</v>
      </c>
      <c r="BB22" s="18" t="n">
        <v>37000</v>
      </c>
      <c r="BC22" s="18" t="n">
        <v>2150</v>
      </c>
      <c r="BD22" s="18" t="n">
        <v>92001</v>
      </c>
      <c r="BE22" s="18" t="n">
        <v>50</v>
      </c>
      <c r="BF22" s="18" t="n">
        <v>20</v>
      </c>
      <c r="BG22" s="18" t="n">
        <v>500</v>
      </c>
      <c r="BH22" s="18" t="n">
        <v>28</v>
      </c>
      <c r="BI22" s="18" t="n">
        <v>51</v>
      </c>
      <c r="BJ22" s="18" t="n">
        <v>603</v>
      </c>
      <c r="BK22" s="18" t="n">
        <v>360</v>
      </c>
      <c r="BL22" s="18" t="n">
        <v>70</v>
      </c>
      <c r="BM22" s="18" t="n">
        <v>5300</v>
      </c>
      <c r="BN22" s="18" t="n">
        <v>3100</v>
      </c>
      <c r="BO22" s="18" t="n">
        <v>30</v>
      </c>
      <c r="BP22" s="18" t="n">
        <v>1200</v>
      </c>
      <c r="BQ22" s="18" t="n">
        <v>3006.73</v>
      </c>
      <c r="BR22" s="18" t="n">
        <v>1402</v>
      </c>
      <c r="BS22" s="18" t="n">
        <v>730</v>
      </c>
      <c r="BT22" s="18" t="n">
        <v>2305</v>
      </c>
      <c r="BU22" s="18" t="n">
        <v>1000</v>
      </c>
      <c r="BV22" s="18" t="n">
        <v>1800</v>
      </c>
      <c r="BW22" s="18" t="n">
        <v>97</v>
      </c>
      <c r="BX22" s="18" t="n">
        <v>10000</v>
      </c>
      <c r="BY22" s="18" t="n">
        <v>1393.55</v>
      </c>
      <c r="BZ22" s="18" t="n">
        <v>250</v>
      </c>
      <c r="CA22" s="18" t="n">
        <v>2912.21</v>
      </c>
      <c r="CB22" s="18" t="n">
        <v>59500</v>
      </c>
      <c r="CC22" s="18" t="n">
        <v>400</v>
      </c>
      <c r="CD22" s="18" t="n">
        <v>119</v>
      </c>
      <c r="CE22" s="18" t="n">
        <v>1568</v>
      </c>
      <c r="CF22" s="18" t="n">
        <v>308</v>
      </c>
      <c r="CG22" s="18" t="n">
        <v>39900</v>
      </c>
      <c r="CH22" s="18" t="n">
        <v>600</v>
      </c>
      <c r="CJ22" s="18" t="n">
        <v>2899</v>
      </c>
    </row>
    <row r="23" customFormat="false" ht="12.8" hidden="true" customHeight="false" outlineLevel="1" collapsed="false">
      <c r="A23" s="18" t="s">
        <v>341</v>
      </c>
      <c r="B23" s="18" t="n">
        <v>300</v>
      </c>
      <c r="C23" s="18" t="n">
        <v>750</v>
      </c>
      <c r="D23" s="18" t="n">
        <v>16473.99</v>
      </c>
      <c r="E23" s="18" t="n">
        <v>750</v>
      </c>
      <c r="F23" s="18" t="n">
        <v>2700</v>
      </c>
      <c r="G23" s="18" t="n">
        <v>15550</v>
      </c>
      <c r="H23" s="18" t="n">
        <v>3133</v>
      </c>
      <c r="I23" s="18" t="n">
        <v>5500</v>
      </c>
      <c r="J23" s="18" t="n">
        <v>973</v>
      </c>
      <c r="K23" s="18" t="n">
        <v>12150</v>
      </c>
      <c r="L23" s="18" t="n">
        <v>157</v>
      </c>
      <c r="M23" s="18" t="n">
        <v>500</v>
      </c>
      <c r="N23" s="18" t="n">
        <v>500</v>
      </c>
      <c r="O23" s="18" t="n">
        <v>1790</v>
      </c>
      <c r="P23" s="18" t="n">
        <v>1184.16</v>
      </c>
      <c r="Q23" s="18" t="n">
        <v>2250</v>
      </c>
      <c r="R23" s="18" t="n">
        <v>1550</v>
      </c>
      <c r="S23" s="18" t="n">
        <v>185</v>
      </c>
      <c r="T23" s="18" t="n">
        <v>480</v>
      </c>
      <c r="U23" s="18" t="n">
        <v>2900</v>
      </c>
      <c r="V23" s="18" t="n">
        <v>310</v>
      </c>
      <c r="W23" s="18" t="n">
        <v>970</v>
      </c>
      <c r="X23" s="18" t="n">
        <v>170</v>
      </c>
      <c r="Y23" s="18" t="n">
        <v>2317</v>
      </c>
      <c r="Z23" s="18" t="n">
        <v>3599</v>
      </c>
      <c r="AA23" s="18" t="n">
        <v>4005</v>
      </c>
      <c r="AB23" s="18" t="n">
        <v>4500</v>
      </c>
      <c r="AC23" s="18" t="n">
        <v>333</v>
      </c>
      <c r="AD23" s="18" t="n">
        <v>120</v>
      </c>
      <c r="AE23" s="18" t="n">
        <v>11182.45</v>
      </c>
      <c r="AF23" s="18" t="n">
        <v>150</v>
      </c>
      <c r="AG23" s="18" t="n">
        <v>63</v>
      </c>
      <c r="AH23" s="18" t="n">
        <v>206</v>
      </c>
      <c r="AI23" s="18" t="n">
        <v>1131</v>
      </c>
      <c r="AJ23" s="18" t="n">
        <v>4700</v>
      </c>
      <c r="AK23" s="18" t="n">
        <v>350.17</v>
      </c>
      <c r="AL23" s="18" t="n">
        <v>20</v>
      </c>
      <c r="AM23" s="18" t="n">
        <v>185</v>
      </c>
      <c r="AN23" s="18" t="n">
        <v>68400</v>
      </c>
      <c r="AO23" s="18" t="n">
        <v>553</v>
      </c>
      <c r="AP23" s="18" t="n">
        <v>87.9</v>
      </c>
      <c r="AQ23" s="18" t="n">
        <v>2500</v>
      </c>
      <c r="AR23" s="18" t="n">
        <v>607</v>
      </c>
      <c r="AS23" s="18" t="n">
        <v>100</v>
      </c>
      <c r="AT23" s="18" t="n">
        <v>26385.39</v>
      </c>
      <c r="AU23" s="18" t="n">
        <v>61500</v>
      </c>
      <c r="AV23" s="18" t="n">
        <v>1900</v>
      </c>
      <c r="AW23" s="18" t="n">
        <v>6000</v>
      </c>
      <c r="AX23" s="18" t="n">
        <v>3651</v>
      </c>
      <c r="AY23" s="18" t="n">
        <v>100</v>
      </c>
      <c r="AZ23" s="18" t="n">
        <v>15000</v>
      </c>
      <c r="BA23" s="18" t="n">
        <v>2400</v>
      </c>
      <c r="BB23" s="18" t="n">
        <v>37000</v>
      </c>
      <c r="BC23" s="18" t="n">
        <v>2150</v>
      </c>
      <c r="BD23" s="18" t="n">
        <v>92001</v>
      </c>
      <c r="BE23" s="18" t="n">
        <v>50</v>
      </c>
      <c r="BF23" s="18" t="n">
        <v>20</v>
      </c>
      <c r="BG23" s="18" t="n">
        <v>500</v>
      </c>
      <c r="BH23" s="18" t="n">
        <v>28</v>
      </c>
      <c r="BI23" s="18" t="n">
        <v>51</v>
      </c>
      <c r="BJ23" s="18" t="n">
        <v>603</v>
      </c>
      <c r="BK23" s="18" t="n">
        <v>360</v>
      </c>
      <c r="BL23" s="18" t="n">
        <v>70</v>
      </c>
      <c r="BM23" s="18" t="n">
        <v>5300</v>
      </c>
      <c r="BN23" s="18" t="n">
        <v>3100</v>
      </c>
      <c r="BO23" s="18" t="n">
        <v>30</v>
      </c>
      <c r="BP23" s="18" t="n">
        <v>1200</v>
      </c>
      <c r="BQ23" s="18" t="n">
        <v>3006.73</v>
      </c>
      <c r="BR23" s="18" t="n">
        <v>1353.33</v>
      </c>
      <c r="BS23" s="18" t="n">
        <v>730</v>
      </c>
      <c r="BT23" s="18" t="n">
        <v>2305</v>
      </c>
      <c r="BU23" s="18" t="n">
        <v>1000</v>
      </c>
      <c r="BV23" s="18" t="n">
        <v>1800</v>
      </c>
      <c r="BW23" s="18" t="n">
        <v>97</v>
      </c>
      <c r="BX23" s="18" t="n">
        <v>10000</v>
      </c>
      <c r="BY23" s="18" t="n">
        <v>1310</v>
      </c>
      <c r="BZ23" s="18" t="n">
        <v>250</v>
      </c>
      <c r="CA23" s="18" t="n">
        <v>2902.38</v>
      </c>
      <c r="CB23" s="18" t="n">
        <v>59500</v>
      </c>
      <c r="CC23" s="18" t="n">
        <v>400</v>
      </c>
      <c r="CD23" s="18" t="n">
        <v>119</v>
      </c>
      <c r="CE23" s="18" t="n">
        <v>1568</v>
      </c>
      <c r="CF23" s="18" t="n">
        <v>308</v>
      </c>
      <c r="CG23" s="18" t="n">
        <v>39900</v>
      </c>
      <c r="CH23" s="18" t="n">
        <v>600</v>
      </c>
      <c r="CJ23" s="18" t="n">
        <v>2899</v>
      </c>
    </row>
    <row r="24" customFormat="false" ht="12.8" hidden="true" customHeight="false" outlineLevel="1" collapsed="false">
      <c r="A24" s="18" t="s">
        <v>342</v>
      </c>
      <c r="B24" s="18" t="n">
        <v>300</v>
      </c>
      <c r="C24" s="18" t="n">
        <v>732</v>
      </c>
      <c r="D24" s="18" t="n">
        <v>18204.9</v>
      </c>
      <c r="E24" s="18" t="n">
        <v>750</v>
      </c>
      <c r="F24" s="18" t="n">
        <v>2700</v>
      </c>
      <c r="G24" s="18" t="n">
        <v>15550</v>
      </c>
      <c r="H24" s="18" t="n">
        <v>3133</v>
      </c>
      <c r="I24" s="18" t="n">
        <v>5500</v>
      </c>
      <c r="J24" s="18" t="n">
        <v>973</v>
      </c>
      <c r="K24" s="18" t="n">
        <v>12150</v>
      </c>
      <c r="L24" s="18" t="n">
        <v>157</v>
      </c>
      <c r="M24" s="18" t="n">
        <v>500</v>
      </c>
      <c r="N24" s="18" t="n">
        <v>500</v>
      </c>
      <c r="O24" s="18" t="n">
        <v>1790</v>
      </c>
      <c r="P24" s="18" t="n">
        <v>1315.36</v>
      </c>
      <c r="Q24" s="18" t="n">
        <v>2250</v>
      </c>
      <c r="R24" s="18" t="n">
        <v>1550</v>
      </c>
      <c r="S24" s="18" t="n">
        <v>185</v>
      </c>
      <c r="T24" s="18" t="n">
        <v>480</v>
      </c>
      <c r="U24" s="18" t="n">
        <v>2900</v>
      </c>
      <c r="V24" s="18" t="n">
        <v>310</v>
      </c>
      <c r="W24" s="18" t="n">
        <v>970</v>
      </c>
      <c r="X24" s="18" t="n">
        <v>170</v>
      </c>
      <c r="Y24" s="18" t="n">
        <v>2317</v>
      </c>
      <c r="Z24" s="18" t="n">
        <v>3599</v>
      </c>
      <c r="AA24" s="18" t="n">
        <v>4005</v>
      </c>
      <c r="AB24" s="18" t="n">
        <v>4500</v>
      </c>
      <c r="AC24" s="18" t="n">
        <v>333</v>
      </c>
      <c r="AD24" s="18" t="n">
        <v>120</v>
      </c>
      <c r="AE24" s="18" t="n">
        <v>12423.76</v>
      </c>
      <c r="AF24" s="18" t="n">
        <v>150</v>
      </c>
      <c r="AG24" s="18" t="n">
        <v>69</v>
      </c>
      <c r="AH24" s="18" t="n">
        <v>206</v>
      </c>
      <c r="AI24" s="18" t="n">
        <v>1131</v>
      </c>
      <c r="AJ24" s="18" t="n">
        <v>4700</v>
      </c>
      <c r="AK24" s="18" t="n">
        <v>365</v>
      </c>
      <c r="AL24" s="18" t="n">
        <v>20</v>
      </c>
      <c r="AM24" s="18" t="n">
        <v>209</v>
      </c>
      <c r="AN24" s="18" t="n">
        <v>76000</v>
      </c>
      <c r="AO24" s="18" t="n">
        <v>553</v>
      </c>
      <c r="AP24" s="18" t="n">
        <v>91</v>
      </c>
      <c r="AQ24" s="18" t="n">
        <v>2500</v>
      </c>
      <c r="AR24" s="18" t="n">
        <v>607</v>
      </c>
      <c r="AS24" s="18" t="n">
        <v>100</v>
      </c>
      <c r="AT24" s="18" t="n">
        <v>28500</v>
      </c>
      <c r="AU24" s="18" t="n">
        <v>61500</v>
      </c>
      <c r="AV24" s="18" t="n">
        <v>1900</v>
      </c>
      <c r="AW24" s="18" t="n">
        <v>6000</v>
      </c>
      <c r="AX24" s="18" t="n">
        <v>3651</v>
      </c>
      <c r="AY24" s="18" t="n">
        <v>100</v>
      </c>
      <c r="AZ24" s="18" t="n">
        <v>15000</v>
      </c>
      <c r="BA24" s="18" t="n">
        <v>2400</v>
      </c>
      <c r="BB24" s="18" t="n">
        <v>37000</v>
      </c>
      <c r="BC24" s="18" t="n">
        <v>2150</v>
      </c>
      <c r="BD24" s="18" t="n">
        <v>92001</v>
      </c>
      <c r="BE24" s="18" t="n">
        <v>50</v>
      </c>
      <c r="BF24" s="18" t="n">
        <v>20</v>
      </c>
      <c r="BG24" s="18" t="n">
        <v>500</v>
      </c>
      <c r="BH24" s="18" t="n">
        <v>28</v>
      </c>
      <c r="BI24" s="18" t="n">
        <v>51</v>
      </c>
      <c r="BJ24" s="18" t="n">
        <v>603</v>
      </c>
      <c r="BK24" s="18" t="n">
        <v>360</v>
      </c>
      <c r="BL24" s="18" t="n">
        <v>70</v>
      </c>
      <c r="BM24" s="18" t="n">
        <v>5300</v>
      </c>
      <c r="BN24" s="18" t="n">
        <v>3100</v>
      </c>
      <c r="BO24" s="18" t="n">
        <v>30</v>
      </c>
      <c r="BP24" s="18" t="n">
        <v>1200</v>
      </c>
      <c r="BQ24" s="18" t="n">
        <v>3300</v>
      </c>
      <c r="BR24" s="18" t="n">
        <v>1500</v>
      </c>
      <c r="BS24" s="18" t="n">
        <v>730</v>
      </c>
      <c r="BT24" s="18" t="n">
        <v>2305</v>
      </c>
      <c r="BU24" s="18" t="n">
        <v>1000</v>
      </c>
      <c r="BV24" s="18" t="n">
        <v>1800</v>
      </c>
      <c r="BW24" s="18" t="n">
        <v>97</v>
      </c>
      <c r="BX24" s="18" t="n">
        <v>10000</v>
      </c>
      <c r="BY24" s="18" t="n">
        <v>1310</v>
      </c>
      <c r="BZ24" s="18" t="n">
        <v>250</v>
      </c>
      <c r="CA24" s="18" t="n">
        <v>2902.38</v>
      </c>
      <c r="CB24" s="18" t="n">
        <v>59500</v>
      </c>
      <c r="CC24" s="18" t="n">
        <v>400</v>
      </c>
      <c r="CD24" s="18" t="n">
        <v>119</v>
      </c>
      <c r="CE24" s="18" t="n">
        <v>1568</v>
      </c>
      <c r="CF24" s="18" t="n">
        <v>308</v>
      </c>
      <c r="CG24" s="18" t="n">
        <v>39900</v>
      </c>
      <c r="CH24" s="18" t="n">
        <v>600</v>
      </c>
      <c r="CJ24" s="18" t="n">
        <v>2899</v>
      </c>
    </row>
    <row r="25" customFormat="false" ht="12.8" hidden="false" customHeight="false" outlineLevel="0" collapsed="false">
      <c r="A25" s="222" t="s">
        <v>343</v>
      </c>
      <c r="B25" s="252" t="n">
        <f aca="false">IF(SUM(B17:B24)=B17*COUNT(B17:B24),1,0)</f>
        <v>1</v>
      </c>
      <c r="C25" s="252" t="n">
        <f aca="false">IF(SUM(C17:C24)=C17*COUNT(C17:C24),1,0)</f>
        <v>0</v>
      </c>
      <c r="D25" s="252" t="n">
        <f aca="false">IF(SUM(D17:D24)=D17*COUNT(D17:D24),1,0)</f>
        <v>0</v>
      </c>
      <c r="E25" s="252" t="n">
        <f aca="false">IF(SUM(E17:E24)=E17*COUNT(E17:E24),1,0)</f>
        <v>1</v>
      </c>
      <c r="F25" s="252" t="n">
        <f aca="false">IF(SUM(F17:F24)=F17*COUNT(F17:F24),1,0)</f>
        <v>0</v>
      </c>
      <c r="G25" s="252" t="n">
        <f aca="false">IF(SUM(G17:G24)=G17*COUNT(G17:G24),1,0)</f>
        <v>1</v>
      </c>
      <c r="H25" s="252" t="n">
        <f aca="false">IF(SUM(H17:H24)=H17*COUNT(H17:H24),1,0)</f>
        <v>1</v>
      </c>
      <c r="I25" s="252" t="n">
        <f aca="false">IF(SUM(I17:I24)=I17*COUNT(I17:I24),1,0)</f>
        <v>0</v>
      </c>
      <c r="J25" s="252" t="n">
        <f aca="false">IF(SUM(J17:J24)=J17*COUNT(J17:J24),1,0)</f>
        <v>0</v>
      </c>
      <c r="K25" s="252" t="n">
        <f aca="false">IF(SUM(K17:K24)=K17*COUNT(K17:K24),1,0)</f>
        <v>0</v>
      </c>
      <c r="L25" s="252" t="n">
        <f aca="false">IF(SUM(L17:L24)=L17*COUNT(L17:L24),1,0)</f>
        <v>0</v>
      </c>
      <c r="M25" s="252" t="n">
        <f aca="false">IF(SUM(M17:M24)=M17*COUNT(M17:M24),1,0)</f>
        <v>1</v>
      </c>
      <c r="N25" s="252" t="n">
        <f aca="false">IF(SUM(N17:N24)=N17*COUNT(N17:N24),1,0)</f>
        <v>1</v>
      </c>
      <c r="O25" s="252" t="n">
        <f aca="false">IF(SUM(O17:O24)=O17*COUNT(O17:O24),1,0)</f>
        <v>1</v>
      </c>
      <c r="P25" s="252" t="n">
        <f aca="false">IF(SUM(P17:P24)=P17*COUNT(P17:P24),1,0)</f>
        <v>0</v>
      </c>
      <c r="Q25" s="252" t="n">
        <f aca="false">IF(SUM(Q17:Q24)=Q17*COUNT(Q17:Q24),1,0)</f>
        <v>1</v>
      </c>
      <c r="R25" s="252" t="n">
        <f aca="false">IF(SUM(R17:R24)=R17*COUNT(R17:R24),1,0)</f>
        <v>1</v>
      </c>
      <c r="S25" s="252" t="n">
        <f aca="false">IF(SUM(S17:S24)=S17*COUNT(S17:S24),1,0)</f>
        <v>1</v>
      </c>
      <c r="T25" s="252" t="n">
        <f aca="false">IF(SUM(T17:T24)=T17*COUNT(T17:T24),1,0)</f>
        <v>1</v>
      </c>
      <c r="U25" s="252" t="n">
        <f aca="false">IF(SUM(U17:U24)=U17*COUNT(U17:U24),1,0)</f>
        <v>1</v>
      </c>
      <c r="V25" s="252" t="n">
        <f aca="false">IF(SUM(V17:V24)=V17*COUNT(V17:V24),1,0)</f>
        <v>1</v>
      </c>
      <c r="W25" s="252" t="n">
        <f aca="false">IF(SUM(W17:W24)=W17*COUNT(W17:W24),1,0)</f>
        <v>1</v>
      </c>
      <c r="X25" s="252" t="n">
        <f aca="false">IF(SUM(X17:X24)=X17*COUNT(X17:X24),1,0)</f>
        <v>0</v>
      </c>
      <c r="Y25" s="252" t="n">
        <f aca="false">IF(SUM(Y17:Y24)=Y17*COUNT(Y17:Y24),1,0)</f>
        <v>0</v>
      </c>
      <c r="Z25" s="252" t="n">
        <f aca="false">IF(SUM(Z17:Z24)=Z17*COUNT(Z17:Z24),1,0)</f>
        <v>0</v>
      </c>
      <c r="AA25" s="252" t="n">
        <f aca="false">IF(SUM(AA17:AA24)=AA17*COUNT(AA17:AA24),1,0)</f>
        <v>1</v>
      </c>
      <c r="AB25" s="252" t="n">
        <f aca="false">IF(SUM(AB17:AB24)=AB17*COUNT(AB17:AB24),1,0)</f>
        <v>1</v>
      </c>
      <c r="AC25" s="252" t="n">
        <f aca="false">IF(SUM(AC17:AC24)=AC17*COUNT(AC17:AC24),1,0)</f>
        <v>1</v>
      </c>
      <c r="AD25" s="252" t="n">
        <f aca="false">IF(SUM(AD17:AD24)=AD17*COUNT(AD17:AD24),1,0)</f>
        <v>1</v>
      </c>
      <c r="AE25" s="252" t="n">
        <f aca="false">IF(SUM(AE17:AE24)=AE17*COUNT(AE17:AE24),1,0)</f>
        <v>0</v>
      </c>
      <c r="AF25" s="252" t="n">
        <f aca="false">IF(SUM(AF17:AF24)=AF17*COUNT(AF17:AF24),1,0)</f>
        <v>0</v>
      </c>
      <c r="AG25" s="252" t="n">
        <f aca="false">IF(SUM(AG17:AG24)=AG17*COUNT(AG17:AG24),1,0)</f>
        <v>0</v>
      </c>
      <c r="AH25" s="252" t="n">
        <f aca="false">IF(SUM(AH17:AH24)=AH17*COUNT(AH17:AH24),1,0)</f>
        <v>0</v>
      </c>
      <c r="AI25" s="252" t="n">
        <f aca="false">IF(SUM(AI17:AI24)=AI17*COUNT(AI17:AI24),1,0)</f>
        <v>0</v>
      </c>
      <c r="AJ25" s="252" t="n">
        <f aca="false">IF(SUM(AJ17:AJ24)=AJ17*COUNT(AJ17:AJ24),1,0)</f>
        <v>0</v>
      </c>
      <c r="AK25" s="252" t="n">
        <f aca="false">IF(SUM(AK17:AK24)=AK17*COUNT(AK17:AK24),1,0)</f>
        <v>0</v>
      </c>
      <c r="AL25" s="252" t="n">
        <f aca="false">IF(SUM(AL17:AL24)=AL17*COUNT(AL17:AL24),1,0)</f>
        <v>1</v>
      </c>
      <c r="AM25" s="252" t="n">
        <f aca="false">IF(SUM(AM17:AM24)=AM17*COUNT(AM17:AM24),1,0)</f>
        <v>0</v>
      </c>
      <c r="AN25" s="252" t="n">
        <f aca="false">IF(SUM(AN17:AN24)=AN17*COUNT(AN17:AN24),1,0)</f>
        <v>0</v>
      </c>
      <c r="AO25" s="252" t="n">
        <f aca="false">IF(SUM(AO17:AO24)=AO17*COUNT(AO17:AO24),1,0)</f>
        <v>0</v>
      </c>
      <c r="AP25" s="252" t="n">
        <f aca="false">IF(SUM(AP17:AP24)=AP17*COUNT(AP17:AP24),1,0)</f>
        <v>0</v>
      </c>
      <c r="AQ25" s="252" t="n">
        <f aca="false">IF(SUM(AQ17:AQ24)=AQ17*COUNT(AQ17:AQ24),1,0)</f>
        <v>1</v>
      </c>
      <c r="AR25" s="252" t="n">
        <f aca="false">IF(SUM(AR17:AR24)=AR17*COUNT(AR17:AR24),1,0)</f>
        <v>1</v>
      </c>
      <c r="AS25" s="252" t="n">
        <f aca="false">IF(SUM(AS17:AS24)=AS17*COUNT(AS17:AS24),1,0)</f>
        <v>1</v>
      </c>
      <c r="AT25" s="252" t="n">
        <f aca="false">IF(SUM(AT17:AT24)=AT17*COUNT(AT17:AT24),1,0)</f>
        <v>0</v>
      </c>
      <c r="AU25" s="252" t="n">
        <f aca="false">IF(SUM(AU17:AU24)=AU17*COUNT(AU17:AU24),1,0)</f>
        <v>1</v>
      </c>
      <c r="AV25" s="252" t="n">
        <f aca="false">IF(SUM(AV17:AV24)=AV17*COUNT(AV17:AV24),1,0)</f>
        <v>1</v>
      </c>
      <c r="AW25" s="252" t="n">
        <f aca="false">IF(SUM(AW17:AW24)=AW17*COUNT(AW17:AW24),1,0)</f>
        <v>1</v>
      </c>
      <c r="AX25" s="252" t="n">
        <f aca="false">IF(SUM(AX17:AX24)=AX17*COUNT(AX17:AX24),1,0)</f>
        <v>0</v>
      </c>
      <c r="AY25" s="252" t="n">
        <f aca="false">IF(SUM(AY17:AY24)=AY17*COUNT(AY17:AY24),1,0)</f>
        <v>0</v>
      </c>
      <c r="AZ25" s="252" t="n">
        <f aca="false">IF(SUM(AZ17:AZ24)=AZ17*COUNT(AZ17:AZ24),1,0)</f>
        <v>0</v>
      </c>
      <c r="BA25" s="252" t="n">
        <f aca="false">IF(SUM(BA17:BA24)=BA17*COUNT(BA17:BA24),1,0)</f>
        <v>0</v>
      </c>
      <c r="BB25" s="252" t="n">
        <f aca="false">IF(SUM(BB17:BB24)=BB17*COUNT(BB17:BB24),1,0)</f>
        <v>0</v>
      </c>
      <c r="BC25" s="252" t="n">
        <f aca="false">IF(SUM(BC17:BC24)=BC17*COUNT(BC17:BC24),1,0)</f>
        <v>0</v>
      </c>
      <c r="BD25" s="252" t="n">
        <f aca="false">IF(SUM(BD17:BD24)=BD17*COUNT(BD17:BD24),1,0)</f>
        <v>0</v>
      </c>
      <c r="BE25" s="252" t="n">
        <f aca="false">IF(SUM(BE17:BE24)=BE17*COUNT(BE17:BE24),1,0)</f>
        <v>1</v>
      </c>
      <c r="BF25" s="252" t="n">
        <f aca="false">IF(SUM(BF17:BF24)=BF17*COUNT(BF17:BF24),1,0)</f>
        <v>1</v>
      </c>
      <c r="BG25" s="252" t="n">
        <f aca="false">IF(SUM(BG17:BG24)=BG17*COUNT(BG17:BG24),1,0)</f>
        <v>0</v>
      </c>
      <c r="BH25" s="252" t="n">
        <f aca="false">IF(SUM(BH17:BH24)=BH17*COUNT(BH17:BH24),1,0)</f>
        <v>0</v>
      </c>
      <c r="BI25" s="252" t="n">
        <f aca="false">IF(SUM(BI17:BI24)=BI17*COUNT(BI17:BI24),1,0)</f>
        <v>0</v>
      </c>
      <c r="BJ25" s="252" t="n">
        <f aca="false">IF(SUM(BJ17:BJ24)=BJ17*COUNT(BJ17:BJ24),1,0)</f>
        <v>1</v>
      </c>
      <c r="BK25" s="252" t="n">
        <f aca="false">IF(SUM(BK17:BK24)=BK17*COUNT(BK17:BK24),1,0)</f>
        <v>1</v>
      </c>
      <c r="BL25" s="252" t="n">
        <f aca="false">IF(SUM(BL17:BL24)=BL17*COUNT(BL17:BL24),1,0)</f>
        <v>1</v>
      </c>
      <c r="BM25" s="252" t="n">
        <f aca="false">IF(SUM(BM17:BM24)=BM17*COUNT(BM17:BM24),1,0)</f>
        <v>0</v>
      </c>
      <c r="BN25" s="252" t="n">
        <f aca="false">IF(SUM(BN17:BN24)=BN17*COUNT(BN17:BN24),1,0)</f>
        <v>1</v>
      </c>
      <c r="BO25" s="252" t="n">
        <f aca="false">IF(SUM(BO17:BO24)=BO17*COUNT(BO17:BO24),1,0)</f>
        <v>1</v>
      </c>
      <c r="BP25" s="252" t="n">
        <f aca="false">IF(SUM(BP17:BP24)=BP17*COUNT(BP17:BP24),1,0)</f>
        <v>1</v>
      </c>
      <c r="BQ25" s="252" t="n">
        <f aca="false">IF(SUM(BQ17:BQ24)=BQ17*COUNT(BQ17:BQ24),1,0)</f>
        <v>0</v>
      </c>
      <c r="BR25" s="252" t="n">
        <f aca="false">IF(SUM(BR17:BR24)=BR17*COUNT(BR17:BR24),1,0)</f>
        <v>0</v>
      </c>
      <c r="BS25" s="252" t="n">
        <f aca="false">IF(SUM(BS17:BS24)=BS17*COUNT(BS17:BS24),1,0)</f>
        <v>1</v>
      </c>
      <c r="BT25" s="252" t="n">
        <f aca="false">IF(SUM(BT17:BT24)=BT17*COUNT(BT17:BT24),1,0)</f>
        <v>0</v>
      </c>
      <c r="BU25" s="252" t="n">
        <f aca="false">IF(SUM(BU17:BU24)=BU17*COUNT(BU17:BU24),1,0)</f>
        <v>1</v>
      </c>
      <c r="BV25" s="252" t="n">
        <f aca="false">IF(SUM(BV17:BV24)=BV17*COUNT(BV17:BV24),1,0)</f>
        <v>1</v>
      </c>
      <c r="BW25" s="252" t="n">
        <f aca="false">IF(SUM(BW17:BW24)=BW17*COUNT(BW17:BW24),1,0)</f>
        <v>1</v>
      </c>
      <c r="BX25" s="252" t="n">
        <f aca="false">IF(SUM(BX17:BX24)=BX17*COUNT(BX17:BX24),1,0)</f>
        <v>1</v>
      </c>
      <c r="BY25" s="252" t="n">
        <f aca="false">IF(SUM(BY17:BY24)=BY17*COUNT(BY17:BY24),1,0)</f>
        <v>0</v>
      </c>
      <c r="BZ25" s="252" t="n">
        <f aca="false">IF(SUM(BZ17:BZ24)=BZ17*COUNT(BZ17:BZ24),1,0)</f>
        <v>1</v>
      </c>
      <c r="CA25" s="252" t="n">
        <f aca="false">IF(SUM(CA17:CA24)=CA17*COUNT(CA17:CA24),1,0)</f>
        <v>0</v>
      </c>
      <c r="CB25" s="252" t="n">
        <f aca="false">IF(SUM(CB17:CB24)=CB17*COUNT(CB17:CB24),1,0)</f>
        <v>0</v>
      </c>
      <c r="CC25" s="252" t="n">
        <f aca="false">IF(SUM(CC17:CC24)=CC17*COUNT(CC17:CC24),1,0)</f>
        <v>0</v>
      </c>
      <c r="CD25" s="252" t="n">
        <f aca="false">IF(SUM(CD17:CD24)=CD17*COUNT(CD17:CD24),1,0)</f>
        <v>1</v>
      </c>
      <c r="CE25" s="252" t="n">
        <f aca="false">IF(SUM(CE17:CE24)=CE17*COUNT(CE17:CE24),1,0)</f>
        <v>0</v>
      </c>
      <c r="CF25" s="252" t="n">
        <f aca="false">IF(SUM(CF17:CF24)=CF17*COUNT(CF17:CF24),1,0)</f>
        <v>1</v>
      </c>
      <c r="CG25" s="252" t="n">
        <f aca="false">IF(SUM(CG17:CG24)=CG17*COUNT(CG17:CG24),1,0)</f>
        <v>0</v>
      </c>
      <c r="CH25" s="252" t="n">
        <f aca="false">IF(SUM(CH17:CH24)=CH17*COUNT(CH17:CH24),1,0)</f>
        <v>0</v>
      </c>
      <c r="CI25" s="252"/>
      <c r="CJ25" s="252" t="n">
        <f aca="false">IF(SUM(CJ17:CJ24)=CJ17*COUNT(CJ17:CJ24),1,0)</f>
        <v>0</v>
      </c>
      <c r="CK25" s="222"/>
      <c r="CL25" s="222" t="n">
        <f aca="false">COUNT(B25:CJ25)</f>
        <v>86</v>
      </c>
      <c r="CM25" s="253" t="n">
        <f aca="false">COUNTIF(B25:CJ25,0)/CL25</f>
        <v>0.523255813953488</v>
      </c>
    </row>
    <row r="26" customFormat="false" ht="12.8" hidden="true" customHeight="false" outlineLevel="1" collapsed="false">
      <c r="A26" s="1" t="s">
        <v>61</v>
      </c>
      <c r="B26" s="18" t="n">
        <v>300</v>
      </c>
      <c r="C26" s="18" t="n">
        <v>700</v>
      </c>
      <c r="D26" s="18" t="n">
        <v>18440.17</v>
      </c>
      <c r="E26" s="18" t="n">
        <v>750</v>
      </c>
      <c r="F26" s="18" t="n">
        <v>2507</v>
      </c>
      <c r="G26" s="18" t="n">
        <v>15550</v>
      </c>
      <c r="H26" s="18" t="n">
        <v>3133</v>
      </c>
      <c r="I26" s="18" t="n">
        <v>5500</v>
      </c>
      <c r="J26" s="18" t="n">
        <v>973</v>
      </c>
      <c r="K26" s="18" t="n">
        <v>12150</v>
      </c>
      <c r="L26" s="18" t="n">
        <v>157</v>
      </c>
      <c r="M26" s="18" t="n">
        <v>500</v>
      </c>
      <c r="N26" s="18" t="n">
        <v>500</v>
      </c>
      <c r="O26" s="18" t="n">
        <v>1790</v>
      </c>
      <c r="P26" s="18" t="n">
        <v>1392.78</v>
      </c>
      <c r="Q26" s="18" t="n">
        <v>2250</v>
      </c>
      <c r="R26" s="18" t="n">
        <v>1550</v>
      </c>
      <c r="S26" s="18" t="n">
        <v>185</v>
      </c>
      <c r="T26" s="18" t="n">
        <v>480</v>
      </c>
      <c r="U26" s="18" t="n">
        <v>2900</v>
      </c>
      <c r="V26" s="18" t="n">
        <v>310</v>
      </c>
      <c r="W26" s="18" t="n">
        <v>970</v>
      </c>
      <c r="X26" s="18" t="n">
        <v>170</v>
      </c>
      <c r="Y26" s="18" t="n">
        <v>2317</v>
      </c>
      <c r="Z26" s="18" t="n">
        <v>3599</v>
      </c>
      <c r="AA26" s="18" t="n">
        <v>4005</v>
      </c>
      <c r="AB26" s="18" t="n">
        <v>4500</v>
      </c>
      <c r="AC26" s="18" t="n">
        <v>333</v>
      </c>
      <c r="AD26" s="18" t="n">
        <v>120</v>
      </c>
      <c r="AE26" s="18" t="n">
        <v>11725.93</v>
      </c>
      <c r="AF26" s="18" t="n">
        <v>150</v>
      </c>
      <c r="AG26" s="18" t="n">
        <v>60</v>
      </c>
      <c r="AH26" s="18" t="n">
        <v>206</v>
      </c>
      <c r="AI26" s="18" t="n">
        <v>1131</v>
      </c>
      <c r="AJ26" s="18" t="n">
        <v>4850</v>
      </c>
      <c r="AK26" s="18" t="n">
        <v>345</v>
      </c>
      <c r="AL26" s="18" t="n">
        <v>20</v>
      </c>
      <c r="AM26" s="18" t="n">
        <v>163</v>
      </c>
      <c r="AN26" s="18" t="n">
        <v>78280</v>
      </c>
      <c r="AO26" s="18" t="n">
        <v>553</v>
      </c>
      <c r="AP26" s="18" t="n">
        <v>99</v>
      </c>
      <c r="AQ26" s="18" t="n">
        <v>2500</v>
      </c>
      <c r="AR26" s="18" t="n">
        <v>607</v>
      </c>
      <c r="AS26" s="18" t="n">
        <v>100</v>
      </c>
      <c r="AT26" s="18" t="n">
        <v>29194.88</v>
      </c>
      <c r="AU26" s="18" t="n">
        <v>61500</v>
      </c>
      <c r="AV26" s="18" t="n">
        <v>1860</v>
      </c>
      <c r="AW26" s="18" t="n">
        <v>6000</v>
      </c>
      <c r="AX26" s="18" t="n">
        <v>3593</v>
      </c>
      <c r="AY26" s="18" t="n">
        <v>100</v>
      </c>
      <c r="AZ26" s="18" t="n">
        <v>13600</v>
      </c>
      <c r="BA26" s="18" t="n">
        <v>2400</v>
      </c>
      <c r="BB26" s="18" t="n">
        <v>36990</v>
      </c>
      <c r="BC26" s="18" t="n">
        <v>2000</v>
      </c>
      <c r="BD26" s="18" t="n">
        <v>101850</v>
      </c>
      <c r="BE26" s="18" t="n">
        <v>50</v>
      </c>
      <c r="BF26" s="18" t="n">
        <v>20</v>
      </c>
      <c r="BG26" s="18" t="n">
        <v>500</v>
      </c>
      <c r="BH26" s="18" t="n">
        <v>28</v>
      </c>
      <c r="BI26" s="18" t="n">
        <v>50</v>
      </c>
      <c r="BJ26" s="18" t="n">
        <v>603</v>
      </c>
      <c r="BK26" s="18" t="n">
        <v>360</v>
      </c>
      <c r="BL26" s="18" t="n">
        <v>70</v>
      </c>
      <c r="BM26" s="18" t="n">
        <v>5300</v>
      </c>
      <c r="BN26" s="18" t="n">
        <v>3100</v>
      </c>
      <c r="BO26" s="18" t="n">
        <v>30</v>
      </c>
      <c r="BP26" s="18" t="n">
        <v>1200</v>
      </c>
      <c r="BQ26" s="18" t="n">
        <v>3100</v>
      </c>
      <c r="BR26" s="18" t="n">
        <v>1373.27</v>
      </c>
      <c r="BS26" s="18" t="n">
        <v>730</v>
      </c>
      <c r="BT26" s="18" t="n">
        <v>2350</v>
      </c>
      <c r="BU26" s="18" t="n">
        <v>1000</v>
      </c>
      <c r="BV26" s="18" t="n">
        <v>1800</v>
      </c>
      <c r="BW26" s="18" t="n">
        <v>97</v>
      </c>
      <c r="BX26" s="18" t="n">
        <v>10000</v>
      </c>
      <c r="BY26" s="18" t="n">
        <v>1430</v>
      </c>
      <c r="BZ26" s="18" t="n">
        <v>250</v>
      </c>
      <c r="CA26" s="18" t="n">
        <v>2701</v>
      </c>
      <c r="CB26" s="18" t="n">
        <v>59850</v>
      </c>
      <c r="CC26" s="18" t="n">
        <v>400</v>
      </c>
      <c r="CD26" s="18" t="n">
        <v>119</v>
      </c>
      <c r="CE26" s="18" t="n">
        <v>1568</v>
      </c>
      <c r="CF26" s="18" t="n">
        <v>308</v>
      </c>
      <c r="CG26" s="18" t="n">
        <v>35107</v>
      </c>
      <c r="CH26" s="18" t="n">
        <v>600</v>
      </c>
      <c r="CJ26" s="18" t="e">
        <f aca="false">#N/A</f>
        <v>#N/A</v>
      </c>
    </row>
    <row r="27" customFormat="false" ht="12.8" hidden="true" customHeight="false" outlineLevel="1" collapsed="false">
      <c r="A27" s="1" t="s">
        <v>62</v>
      </c>
      <c r="B27" s="18" t="n">
        <v>300</v>
      </c>
      <c r="C27" s="18" t="n">
        <v>700</v>
      </c>
      <c r="D27" s="18" t="n">
        <v>17114.19</v>
      </c>
      <c r="E27" s="18" t="n">
        <v>750</v>
      </c>
      <c r="F27" s="18" t="n">
        <v>2500</v>
      </c>
      <c r="G27" s="18" t="n">
        <v>12300</v>
      </c>
      <c r="H27" s="18" t="n">
        <v>3133</v>
      </c>
      <c r="I27" s="18" t="n">
        <v>5431</v>
      </c>
      <c r="J27" s="18" t="n">
        <v>973</v>
      </c>
      <c r="K27" s="18" t="n">
        <v>13502</v>
      </c>
      <c r="L27" s="18" t="n">
        <v>157</v>
      </c>
      <c r="M27" s="18" t="n">
        <v>500</v>
      </c>
      <c r="N27" s="18" t="n">
        <v>500</v>
      </c>
      <c r="O27" s="18" t="n">
        <v>1790</v>
      </c>
      <c r="P27" s="18" t="n">
        <v>1305</v>
      </c>
      <c r="Q27" s="18" t="n">
        <v>2250</v>
      </c>
      <c r="R27" s="18" t="n">
        <v>1550</v>
      </c>
      <c r="S27" s="18" t="n">
        <v>185</v>
      </c>
      <c r="T27" s="18" t="n">
        <v>480</v>
      </c>
      <c r="U27" s="18" t="n">
        <v>2900</v>
      </c>
      <c r="V27" s="18" t="n">
        <v>310</v>
      </c>
      <c r="W27" s="18" t="n">
        <v>970</v>
      </c>
      <c r="X27" s="18" t="n">
        <v>170</v>
      </c>
      <c r="Y27" s="18" t="n">
        <v>2317</v>
      </c>
      <c r="Z27" s="18" t="n">
        <v>3601</v>
      </c>
      <c r="AA27" s="18" t="n">
        <v>4005</v>
      </c>
      <c r="AB27" s="18" t="n">
        <v>4500</v>
      </c>
      <c r="AC27" s="18" t="n">
        <v>342</v>
      </c>
      <c r="AD27" s="18" t="n">
        <v>120</v>
      </c>
      <c r="AE27" s="18" t="n">
        <v>10237.46</v>
      </c>
      <c r="AF27" s="18" t="n">
        <v>150</v>
      </c>
      <c r="AG27" s="18" t="n">
        <v>61</v>
      </c>
      <c r="AH27" s="18" t="n">
        <v>206</v>
      </c>
      <c r="AI27" s="18" t="n">
        <v>1261</v>
      </c>
      <c r="AJ27" s="18" t="n">
        <v>4700</v>
      </c>
      <c r="AK27" s="18" t="n">
        <v>335.52</v>
      </c>
      <c r="AL27" s="18" t="n">
        <v>20</v>
      </c>
      <c r="AM27" s="18" t="n">
        <v>191</v>
      </c>
      <c r="AN27" s="18" t="n">
        <v>75535.17</v>
      </c>
      <c r="AO27" s="18" t="n">
        <v>553</v>
      </c>
      <c r="AP27" s="18" t="n">
        <v>90.31</v>
      </c>
      <c r="AQ27" s="18" t="n">
        <v>2521</v>
      </c>
      <c r="AR27" s="18" t="n">
        <v>607</v>
      </c>
      <c r="AS27" s="18" t="n">
        <v>100</v>
      </c>
      <c r="AT27" s="18" t="n">
        <v>26001</v>
      </c>
      <c r="AU27" s="18" t="n">
        <v>61500</v>
      </c>
      <c r="AV27" s="18" t="n">
        <v>1860</v>
      </c>
      <c r="AW27" s="18" t="n">
        <v>6000</v>
      </c>
      <c r="AX27" s="18" t="n">
        <v>3599.65</v>
      </c>
      <c r="AY27" s="18" t="n">
        <v>100</v>
      </c>
      <c r="AZ27" s="18" t="n">
        <v>14500</v>
      </c>
      <c r="BA27" s="18" t="n">
        <v>2400</v>
      </c>
      <c r="BB27" s="18" t="n">
        <v>37898</v>
      </c>
      <c r="BC27" s="18" t="n">
        <v>2000</v>
      </c>
      <c r="BD27" s="18" t="n">
        <v>106000</v>
      </c>
      <c r="BE27" s="18" t="n">
        <v>50</v>
      </c>
      <c r="BF27" s="18" t="n">
        <v>20</v>
      </c>
      <c r="BG27" s="18" t="n">
        <v>601</v>
      </c>
      <c r="BH27" s="18" t="n">
        <v>28</v>
      </c>
      <c r="BI27" s="18" t="n">
        <v>53</v>
      </c>
      <c r="BJ27" s="18" t="n">
        <v>603</v>
      </c>
      <c r="BK27" s="18" t="n">
        <v>360</v>
      </c>
      <c r="BL27" s="18" t="n">
        <v>70</v>
      </c>
      <c r="BM27" s="18" t="n">
        <v>5300</v>
      </c>
      <c r="BN27" s="18" t="n">
        <v>3100</v>
      </c>
      <c r="BO27" s="18" t="n">
        <v>30</v>
      </c>
      <c r="BP27" s="18" t="n">
        <v>1200</v>
      </c>
      <c r="BQ27" s="18" t="n">
        <v>3000</v>
      </c>
      <c r="BR27" s="18" t="n">
        <v>1310</v>
      </c>
      <c r="BS27" s="18" t="n">
        <v>730</v>
      </c>
      <c r="BT27" s="18" t="n">
        <v>2224</v>
      </c>
      <c r="BU27" s="18" t="n">
        <v>1000</v>
      </c>
      <c r="BV27" s="18" t="n">
        <v>1800</v>
      </c>
      <c r="BW27" s="18" t="n">
        <v>97</v>
      </c>
      <c r="BX27" s="18" t="n">
        <v>10000</v>
      </c>
      <c r="BY27" s="18" t="n">
        <v>1410</v>
      </c>
      <c r="BZ27" s="18" t="n">
        <v>250</v>
      </c>
      <c r="CA27" s="18" t="n">
        <v>2889</v>
      </c>
      <c r="CB27" s="18" t="n">
        <v>62080</v>
      </c>
      <c r="CC27" s="18" t="n">
        <v>400</v>
      </c>
      <c r="CD27" s="18" t="n">
        <v>119</v>
      </c>
      <c r="CE27" s="18" t="n">
        <v>1568</v>
      </c>
      <c r="CF27" s="18" t="n">
        <v>250</v>
      </c>
      <c r="CG27" s="18" t="n">
        <v>35101</v>
      </c>
      <c r="CH27" s="18" t="n">
        <v>600</v>
      </c>
      <c r="CJ27" s="18" t="n">
        <v>3208</v>
      </c>
    </row>
    <row r="28" customFormat="false" ht="12.8" hidden="true" customHeight="false" outlineLevel="1" collapsed="false">
      <c r="A28" s="166" t="s">
        <v>63</v>
      </c>
      <c r="B28" s="18" t="n">
        <v>300</v>
      </c>
      <c r="C28" s="18" t="n">
        <v>652</v>
      </c>
      <c r="D28" s="18" t="n">
        <v>17943.42</v>
      </c>
      <c r="E28" s="18" t="n">
        <v>750</v>
      </c>
      <c r="F28" s="18" t="n">
        <v>2500</v>
      </c>
      <c r="G28" s="18" t="n">
        <v>12300</v>
      </c>
      <c r="H28" s="18" t="n">
        <v>3133</v>
      </c>
      <c r="I28" s="18" t="n">
        <v>5366</v>
      </c>
      <c r="J28" s="18" t="n">
        <v>973</v>
      </c>
      <c r="K28" s="18" t="n">
        <v>13502</v>
      </c>
      <c r="L28" s="18" t="n">
        <v>157</v>
      </c>
      <c r="M28" s="18" t="n">
        <v>500</v>
      </c>
      <c r="N28" s="18" t="n">
        <v>500</v>
      </c>
      <c r="O28" s="18" t="n">
        <v>1790</v>
      </c>
      <c r="P28" s="18" t="n">
        <v>1301</v>
      </c>
      <c r="Q28" s="18" t="n">
        <v>2250</v>
      </c>
      <c r="R28" s="18" t="n">
        <v>1550</v>
      </c>
      <c r="S28" s="18" t="n">
        <v>185</v>
      </c>
      <c r="T28" s="18" t="n">
        <v>480</v>
      </c>
      <c r="U28" s="18" t="n">
        <v>2900</v>
      </c>
      <c r="V28" s="18" t="n">
        <v>310</v>
      </c>
      <c r="W28" s="18" t="n">
        <v>970</v>
      </c>
      <c r="X28" s="18" t="n">
        <v>170</v>
      </c>
      <c r="Y28" s="18" t="n">
        <v>2317</v>
      </c>
      <c r="Z28" s="18" t="n">
        <v>3601</v>
      </c>
      <c r="AA28" s="18" t="n">
        <v>4005</v>
      </c>
      <c r="AB28" s="18" t="n">
        <v>4500</v>
      </c>
      <c r="AC28" s="18" t="n">
        <v>342</v>
      </c>
      <c r="AD28" s="18" t="n">
        <v>120</v>
      </c>
      <c r="AE28" s="18" t="n">
        <v>10649.91</v>
      </c>
      <c r="AF28" s="18" t="n">
        <v>150</v>
      </c>
      <c r="AG28" s="18" t="n">
        <v>61</v>
      </c>
      <c r="AH28" s="18" t="n">
        <v>206</v>
      </c>
      <c r="AI28" s="18" t="n">
        <v>1261</v>
      </c>
      <c r="AJ28" s="18" t="n">
        <v>4999</v>
      </c>
      <c r="AK28" s="18" t="n">
        <v>354.37</v>
      </c>
      <c r="AL28" s="18" t="n">
        <v>20</v>
      </c>
      <c r="AM28" s="18" t="n">
        <v>250</v>
      </c>
      <c r="AN28" s="18" t="n">
        <v>77235.17</v>
      </c>
      <c r="AO28" s="18" t="n">
        <v>570</v>
      </c>
      <c r="AP28" s="18" t="n">
        <v>98</v>
      </c>
      <c r="AQ28" s="18" t="n">
        <v>2425</v>
      </c>
      <c r="AR28" s="18" t="n">
        <v>607</v>
      </c>
      <c r="AS28" s="18" t="n">
        <v>100</v>
      </c>
      <c r="AT28" s="18" t="n">
        <v>26989.09</v>
      </c>
      <c r="AU28" s="18" t="n">
        <v>61500</v>
      </c>
      <c r="AV28" s="18" t="n">
        <v>1860</v>
      </c>
      <c r="AW28" s="18" t="n">
        <v>6000</v>
      </c>
      <c r="AX28" s="18" t="n">
        <v>3745.35</v>
      </c>
      <c r="AY28" s="18" t="n">
        <v>100</v>
      </c>
      <c r="AZ28" s="18" t="n">
        <v>14000</v>
      </c>
      <c r="BA28" s="18" t="n">
        <v>2400</v>
      </c>
      <c r="BB28" s="18" t="n">
        <v>34501</v>
      </c>
      <c r="BC28" s="18" t="n">
        <v>2001</v>
      </c>
      <c r="BD28" s="18" t="n">
        <v>104333.33</v>
      </c>
      <c r="BE28" s="18" t="n">
        <v>50</v>
      </c>
      <c r="BF28" s="18" t="n">
        <v>20</v>
      </c>
      <c r="BG28" s="18" t="n">
        <v>601</v>
      </c>
      <c r="BH28" s="18" t="n">
        <v>28</v>
      </c>
      <c r="BI28" s="18" t="n">
        <v>60</v>
      </c>
      <c r="BJ28" s="18" t="n">
        <v>603</v>
      </c>
      <c r="BK28" s="18" t="n">
        <v>360</v>
      </c>
      <c r="BL28" s="18" t="n">
        <v>70</v>
      </c>
      <c r="BM28" s="18" t="n">
        <v>5300</v>
      </c>
      <c r="BN28" s="18" t="n">
        <v>3100</v>
      </c>
      <c r="BO28" s="18" t="n">
        <v>30</v>
      </c>
      <c r="BP28" s="18" t="n">
        <v>1200</v>
      </c>
      <c r="BQ28" s="18" t="n">
        <v>3000</v>
      </c>
      <c r="BR28" s="18" t="n">
        <v>1345.35</v>
      </c>
      <c r="BS28" s="18" t="n">
        <v>730</v>
      </c>
      <c r="BT28" s="18" t="n">
        <v>2244</v>
      </c>
      <c r="BU28" s="18" t="n">
        <v>1000</v>
      </c>
      <c r="BV28" s="18" t="n">
        <v>1800</v>
      </c>
      <c r="BW28" s="18" t="n">
        <v>97</v>
      </c>
      <c r="BX28" s="18" t="n">
        <v>10000</v>
      </c>
      <c r="BY28" s="18" t="n">
        <v>1448.04</v>
      </c>
      <c r="BZ28" s="18" t="n">
        <v>250</v>
      </c>
      <c r="CA28" s="18" t="n">
        <v>2896</v>
      </c>
      <c r="CB28" s="18" t="n">
        <v>62080</v>
      </c>
      <c r="CC28" s="18" t="n">
        <v>400</v>
      </c>
      <c r="CD28" s="18" t="n">
        <v>119</v>
      </c>
      <c r="CE28" s="18" t="n">
        <v>1568</v>
      </c>
      <c r="CF28" s="18" t="n">
        <v>250</v>
      </c>
      <c r="CG28" s="18" t="n">
        <v>33536</v>
      </c>
      <c r="CH28" s="18" t="n">
        <v>600</v>
      </c>
      <c r="CJ28" s="18" t="n">
        <v>3208</v>
      </c>
    </row>
    <row r="29" customFormat="false" ht="12.8" hidden="true" customHeight="false" outlineLevel="1" collapsed="false">
      <c r="A29" s="1" t="s">
        <v>64</v>
      </c>
      <c r="B29" s="18" t="n">
        <v>300</v>
      </c>
      <c r="C29" s="18" t="n">
        <v>661</v>
      </c>
      <c r="D29" s="18" t="n">
        <v>15500</v>
      </c>
      <c r="E29" s="18" t="n">
        <v>750</v>
      </c>
      <c r="F29" s="18" t="n">
        <v>2500</v>
      </c>
      <c r="G29" s="18" t="n">
        <v>12300</v>
      </c>
      <c r="H29" s="18" t="n">
        <v>3133</v>
      </c>
      <c r="I29" s="18" t="n">
        <v>5200</v>
      </c>
      <c r="J29" s="18" t="n">
        <v>973</v>
      </c>
      <c r="K29" s="18" t="n">
        <v>13500</v>
      </c>
      <c r="L29" s="18" t="n">
        <v>157</v>
      </c>
      <c r="M29" s="18" t="n">
        <v>500</v>
      </c>
      <c r="N29" s="18" t="n">
        <v>500</v>
      </c>
      <c r="O29" s="18" t="n">
        <v>1790</v>
      </c>
      <c r="P29" s="18" t="n">
        <v>1200</v>
      </c>
      <c r="Q29" s="18" t="n">
        <v>2250</v>
      </c>
      <c r="R29" s="18" t="n">
        <v>1550</v>
      </c>
      <c r="S29" s="18" t="n">
        <v>185</v>
      </c>
      <c r="T29" s="18" t="n">
        <v>480</v>
      </c>
      <c r="U29" s="18" t="n">
        <v>3301</v>
      </c>
      <c r="V29" s="18" t="n">
        <v>310</v>
      </c>
      <c r="W29" s="18" t="n">
        <v>970</v>
      </c>
      <c r="X29" s="18" t="n">
        <v>170</v>
      </c>
      <c r="Y29" s="18" t="n">
        <v>2317</v>
      </c>
      <c r="Z29" s="18" t="n">
        <v>3660</v>
      </c>
      <c r="AA29" s="18" t="n">
        <v>4005</v>
      </c>
      <c r="AB29" s="18" t="n">
        <v>4500</v>
      </c>
      <c r="AC29" s="18" t="n">
        <v>342</v>
      </c>
      <c r="AD29" s="18" t="n">
        <v>120</v>
      </c>
      <c r="AE29" s="18" t="n">
        <v>8798.75</v>
      </c>
      <c r="AF29" s="18" t="n">
        <v>146</v>
      </c>
      <c r="AG29" s="18" t="n">
        <v>52</v>
      </c>
      <c r="AH29" s="18" t="n">
        <v>206</v>
      </c>
      <c r="AI29" s="18" t="e">
        <f aca="false">#N/A</f>
        <v>#N/A</v>
      </c>
      <c r="AJ29" s="18" t="n">
        <v>4500</v>
      </c>
      <c r="AK29" s="18" t="n">
        <v>344</v>
      </c>
      <c r="AL29" s="18" t="n">
        <v>20</v>
      </c>
      <c r="AM29" s="18" t="n">
        <v>250</v>
      </c>
      <c r="AN29" s="18" t="n">
        <v>76196.92</v>
      </c>
      <c r="AO29" s="18" t="n">
        <v>570</v>
      </c>
      <c r="AP29" s="18" t="n">
        <v>93</v>
      </c>
      <c r="AQ29" s="18" t="n">
        <v>2500</v>
      </c>
      <c r="AR29" s="18" t="n">
        <v>607</v>
      </c>
      <c r="AS29" s="18" t="n">
        <v>100</v>
      </c>
      <c r="AT29" s="18" t="n">
        <v>22090.91</v>
      </c>
      <c r="AU29" s="18" t="n">
        <v>61500</v>
      </c>
      <c r="AV29" s="18" t="n">
        <v>1860</v>
      </c>
      <c r="AW29" s="18" t="n">
        <v>6000</v>
      </c>
      <c r="AX29" s="18" t="n">
        <v>3400</v>
      </c>
      <c r="AY29" s="18" t="n">
        <v>100</v>
      </c>
      <c r="AZ29" s="18" t="n">
        <v>14000</v>
      </c>
      <c r="BA29" s="18" t="n">
        <v>2400</v>
      </c>
      <c r="BB29" s="18" t="n">
        <v>34500</v>
      </c>
      <c r="BC29" s="18" t="n">
        <v>2001</v>
      </c>
      <c r="BD29" s="18" t="n">
        <v>108000</v>
      </c>
      <c r="BE29" s="18" t="n">
        <v>50</v>
      </c>
      <c r="BF29" s="18" t="n">
        <v>20</v>
      </c>
      <c r="BG29" s="18" t="n">
        <v>650</v>
      </c>
      <c r="BH29" s="18" t="n">
        <v>28</v>
      </c>
      <c r="BI29" s="18" t="n">
        <v>59</v>
      </c>
      <c r="BJ29" s="18" t="n">
        <v>603</v>
      </c>
      <c r="BK29" s="18" t="n">
        <v>360</v>
      </c>
      <c r="BL29" s="18" t="n">
        <v>70</v>
      </c>
      <c r="BM29" s="18" t="n">
        <v>5300</v>
      </c>
      <c r="BN29" s="18" t="n">
        <v>3100</v>
      </c>
      <c r="BO29" s="18" t="n">
        <v>30</v>
      </c>
      <c r="BP29" s="18" t="n">
        <v>1200</v>
      </c>
      <c r="BQ29" s="18" t="n">
        <v>3150</v>
      </c>
      <c r="BR29" s="18" t="n">
        <v>1200</v>
      </c>
      <c r="BS29" s="18" t="n">
        <v>730</v>
      </c>
      <c r="BT29" s="18" t="n">
        <v>2040</v>
      </c>
      <c r="BU29" s="18" t="n">
        <v>1000</v>
      </c>
      <c r="BV29" s="18" t="n">
        <v>1800</v>
      </c>
      <c r="BW29" s="18" t="n">
        <v>97</v>
      </c>
      <c r="BX29" s="18" t="n">
        <v>11000</v>
      </c>
      <c r="BY29" s="18" t="n">
        <v>1460.18</v>
      </c>
      <c r="BZ29" s="18" t="n">
        <v>250</v>
      </c>
      <c r="CA29" s="18" t="n">
        <v>2919</v>
      </c>
      <c r="CB29" s="18" t="n">
        <v>66000</v>
      </c>
      <c r="CC29" s="18" t="n">
        <v>400</v>
      </c>
      <c r="CD29" s="18" t="n">
        <v>119</v>
      </c>
      <c r="CE29" s="18" t="n">
        <v>1568</v>
      </c>
      <c r="CF29" s="18" t="n">
        <v>250</v>
      </c>
      <c r="CG29" s="18" t="n">
        <v>29001</v>
      </c>
      <c r="CH29" s="18" t="n">
        <v>700</v>
      </c>
      <c r="CJ29" s="18" t="e">
        <f aca="false">#N/A</f>
        <v>#N/A</v>
      </c>
    </row>
    <row r="30" customFormat="false" ht="12.8" hidden="true" customHeight="false" outlineLevel="1" collapsed="false">
      <c r="A30" s="1" t="s">
        <v>65</v>
      </c>
      <c r="B30" s="18" t="n">
        <v>300</v>
      </c>
      <c r="C30" s="18" t="n">
        <v>750</v>
      </c>
      <c r="D30" s="18" t="n">
        <v>14294.12</v>
      </c>
      <c r="E30" s="18" t="n">
        <v>750</v>
      </c>
      <c r="F30" s="18" t="n">
        <v>2292</v>
      </c>
      <c r="G30" s="18" t="n">
        <v>12300</v>
      </c>
      <c r="H30" s="18" t="n">
        <v>3133</v>
      </c>
      <c r="I30" s="18" t="n">
        <v>5000</v>
      </c>
      <c r="J30" s="18" t="n">
        <v>973</v>
      </c>
      <c r="K30" s="18" t="n">
        <v>13135</v>
      </c>
      <c r="L30" s="18" t="n">
        <v>157</v>
      </c>
      <c r="M30" s="18" t="n">
        <v>500</v>
      </c>
      <c r="N30" s="18" t="n">
        <v>500</v>
      </c>
      <c r="O30" s="18" t="n">
        <v>1790</v>
      </c>
      <c r="P30" s="18" t="n">
        <v>1053.14</v>
      </c>
      <c r="Q30" s="18" t="n">
        <v>2250</v>
      </c>
      <c r="R30" s="18" t="n">
        <v>1550</v>
      </c>
      <c r="S30" s="18" t="n">
        <v>185</v>
      </c>
      <c r="T30" s="18" t="n">
        <v>480</v>
      </c>
      <c r="U30" s="18" t="n">
        <v>3301</v>
      </c>
      <c r="V30" s="18" t="n">
        <v>310</v>
      </c>
      <c r="W30" s="18" t="n">
        <v>970</v>
      </c>
      <c r="X30" s="18" t="n">
        <v>169</v>
      </c>
      <c r="Y30" s="18" t="n">
        <v>2317</v>
      </c>
      <c r="Z30" s="18" t="n">
        <v>4044</v>
      </c>
      <c r="AA30" s="18" t="n">
        <v>4005</v>
      </c>
      <c r="AB30" s="18" t="n">
        <v>4500</v>
      </c>
      <c r="AC30" s="18" t="n">
        <v>342</v>
      </c>
      <c r="AD30" s="18" t="n">
        <v>120</v>
      </c>
      <c r="AE30" s="18" t="n">
        <v>7974.95</v>
      </c>
      <c r="AF30" s="18" t="n">
        <v>147</v>
      </c>
      <c r="AG30" s="18" t="n">
        <v>50</v>
      </c>
      <c r="AH30" s="18" t="n">
        <v>250</v>
      </c>
      <c r="AI30" s="18" t="e">
        <f aca="false">#N/A</f>
        <v>#N/A</v>
      </c>
      <c r="AJ30" s="18" t="n">
        <v>4161</v>
      </c>
      <c r="AK30" s="18" t="n">
        <v>326.24</v>
      </c>
      <c r="AL30" s="18" t="n">
        <v>20</v>
      </c>
      <c r="AM30" s="18" t="n">
        <v>250</v>
      </c>
      <c r="AN30" s="18" t="n">
        <v>72000.04</v>
      </c>
      <c r="AO30" s="18" t="n">
        <v>570</v>
      </c>
      <c r="AP30" s="18" t="n">
        <v>62</v>
      </c>
      <c r="AQ30" s="18" t="n">
        <v>2500</v>
      </c>
      <c r="AR30" s="18" t="n">
        <v>607</v>
      </c>
      <c r="AS30" s="18" t="n">
        <v>100</v>
      </c>
      <c r="AT30" s="18" t="n">
        <v>18546.14</v>
      </c>
      <c r="AU30" s="18" t="n">
        <v>61500</v>
      </c>
      <c r="AV30" s="18" t="n">
        <v>1860</v>
      </c>
      <c r="AW30" s="18" t="n">
        <v>6000</v>
      </c>
      <c r="AX30" s="18" t="n">
        <v>3400</v>
      </c>
      <c r="AY30" s="18" t="n">
        <v>100</v>
      </c>
      <c r="AZ30" s="18" t="n">
        <v>14000</v>
      </c>
      <c r="BA30" s="18" t="n">
        <v>2400</v>
      </c>
      <c r="BB30" s="18" t="n">
        <v>34500</v>
      </c>
      <c r="BC30" s="18" t="n">
        <v>2001</v>
      </c>
      <c r="BD30" s="18" t="n">
        <v>99900</v>
      </c>
      <c r="BE30" s="18" t="n">
        <v>50</v>
      </c>
      <c r="BF30" s="18" t="n">
        <v>20</v>
      </c>
      <c r="BG30" s="18" t="n">
        <v>650</v>
      </c>
      <c r="BH30" s="18" t="n">
        <v>28</v>
      </c>
      <c r="BI30" s="18" t="n">
        <v>52</v>
      </c>
      <c r="BJ30" s="18" t="n">
        <v>603</v>
      </c>
      <c r="BK30" s="18" t="n">
        <v>360</v>
      </c>
      <c r="BL30" s="18" t="n">
        <v>70</v>
      </c>
      <c r="BM30" s="18" t="n">
        <v>6330</v>
      </c>
      <c r="BN30" s="18" t="n">
        <v>3011</v>
      </c>
      <c r="BO30" s="18" t="n">
        <v>30</v>
      </c>
      <c r="BP30" s="18" t="n">
        <v>1200</v>
      </c>
      <c r="BQ30" s="18" t="n">
        <v>2986</v>
      </c>
      <c r="BR30" s="18" t="n">
        <v>1192</v>
      </c>
      <c r="BS30" s="18" t="n">
        <v>730</v>
      </c>
      <c r="BT30" s="18" t="n">
        <v>1900</v>
      </c>
      <c r="BU30" s="18" t="n">
        <v>1000</v>
      </c>
      <c r="BV30" s="18" t="n">
        <v>1800</v>
      </c>
      <c r="BW30" s="18" t="n">
        <v>99</v>
      </c>
      <c r="BX30" s="18" t="n">
        <v>11000</v>
      </c>
      <c r="BY30" s="18" t="n">
        <v>1400</v>
      </c>
      <c r="BZ30" s="18" t="n">
        <v>155</v>
      </c>
      <c r="CA30" s="18" t="n">
        <v>2577.93</v>
      </c>
      <c r="CB30" s="18" t="n">
        <v>68001</v>
      </c>
      <c r="CC30" s="18" t="n">
        <v>400</v>
      </c>
      <c r="CD30" s="18" t="n">
        <v>119</v>
      </c>
      <c r="CE30" s="18" t="n">
        <v>1500</v>
      </c>
      <c r="CF30" s="18" t="n">
        <v>250</v>
      </c>
      <c r="CG30" s="18" t="n">
        <v>29000</v>
      </c>
      <c r="CH30" s="18" t="n">
        <v>700</v>
      </c>
      <c r="CJ30" s="18" t="e">
        <f aca="false">#N/A</f>
        <v>#N/A</v>
      </c>
    </row>
    <row r="31" customFormat="false" ht="12.8" hidden="false" customHeight="false" outlineLevel="0" collapsed="false">
      <c r="A31" s="222" t="s">
        <v>344</v>
      </c>
      <c r="B31" s="252" t="n">
        <f aca="false">IF(SUM(B26:B30)=B26*COUNT(B26:B30),1,0)</f>
        <v>1</v>
      </c>
      <c r="C31" s="252" t="n">
        <f aca="false">IF(SUM(C26:C30)=C26*COUNT(C26:C30),1,0)</f>
        <v>0</v>
      </c>
      <c r="D31" s="252" t="n">
        <f aca="false">IF(SUM(D26:D30)=D26*COUNT(D26:D30),1,0)</f>
        <v>0</v>
      </c>
      <c r="E31" s="252" t="n">
        <f aca="false">IF(SUM(E26:E30)=E26*COUNT(E26:E30),1,0)</f>
        <v>1</v>
      </c>
      <c r="F31" s="252" t="n">
        <f aca="false">IF(SUM(F26:F30)=F26*COUNT(F26:F30),1,0)</f>
        <v>0</v>
      </c>
      <c r="G31" s="252" t="n">
        <f aca="false">IF(SUM(G26:G30)=G26*COUNT(G26:G30),1,0)</f>
        <v>0</v>
      </c>
      <c r="H31" s="252" t="n">
        <f aca="false">IF(SUM(H26:H30)=H26*COUNT(H26:H30),1,0)</f>
        <v>1</v>
      </c>
      <c r="I31" s="252" t="n">
        <f aca="false">IF(SUM(I26:I30)=I26*COUNT(I26:I30),1,0)</f>
        <v>0</v>
      </c>
      <c r="J31" s="252" t="n">
        <f aca="false">IF(SUM(J26:J30)=J26*COUNT(J26:J30),1,0)</f>
        <v>1</v>
      </c>
      <c r="K31" s="252" t="n">
        <f aca="false">IF(SUM(K26:K30)=K26*COUNT(K26:K30),1,0)</f>
        <v>0</v>
      </c>
      <c r="L31" s="252" t="n">
        <f aca="false">IF(SUM(L26:L30)=L26*COUNT(L26:L30),1,0)</f>
        <v>1</v>
      </c>
      <c r="M31" s="252" t="n">
        <f aca="false">IF(SUM(M26:M30)=M26*COUNT(M26:M30),1,0)</f>
        <v>1</v>
      </c>
      <c r="N31" s="252" t="n">
        <f aca="false">IF(SUM(N26:N30)=N26*COUNT(N26:N30),1,0)</f>
        <v>1</v>
      </c>
      <c r="O31" s="252" t="n">
        <f aca="false">IF(SUM(O26:O30)=O26*COUNT(O26:O30),1,0)</f>
        <v>1</v>
      </c>
      <c r="P31" s="252" t="n">
        <f aca="false">IF(SUM(P26:P30)=P26*COUNT(P26:P30),1,0)</f>
        <v>0</v>
      </c>
      <c r="Q31" s="252" t="n">
        <f aca="false">IF(SUM(Q26:Q30)=Q26*COUNT(Q26:Q30),1,0)</f>
        <v>1</v>
      </c>
      <c r="R31" s="252" t="n">
        <f aca="false">IF(SUM(R26:R30)=R26*COUNT(R26:R30),1,0)</f>
        <v>1</v>
      </c>
      <c r="S31" s="252" t="n">
        <f aca="false">IF(SUM(S26:S30)=S26*COUNT(S26:S30),1,0)</f>
        <v>1</v>
      </c>
      <c r="T31" s="252" t="n">
        <f aca="false">IF(SUM(T26:T30)=T26*COUNT(T26:T30),1,0)</f>
        <v>1</v>
      </c>
      <c r="U31" s="252" t="n">
        <f aca="false">IF(SUM(U26:U30)=U26*COUNT(U26:U30),1,0)</f>
        <v>0</v>
      </c>
      <c r="V31" s="252" t="n">
        <f aca="false">IF(SUM(V26:V30)=V26*COUNT(V26:V30),1,0)</f>
        <v>1</v>
      </c>
      <c r="W31" s="252" t="n">
        <f aca="false">IF(SUM(W26:W30)=W26*COUNT(W26:W30),1,0)</f>
        <v>1</v>
      </c>
      <c r="X31" s="252" t="n">
        <f aca="false">IF(SUM(X26:X30)=X26*COUNT(X26:X30),1,0)</f>
        <v>0</v>
      </c>
      <c r="Y31" s="252" t="n">
        <f aca="false">IF(SUM(Y26:Y30)=Y26*COUNT(Y26:Y30),1,0)</f>
        <v>1</v>
      </c>
      <c r="Z31" s="252" t="n">
        <f aca="false">IF(SUM(Z26:Z30)=Z26*COUNT(Z26:Z30),1,0)</f>
        <v>0</v>
      </c>
      <c r="AA31" s="252" t="n">
        <f aca="false">IF(SUM(AA26:AA30)=AA26*COUNT(AA26:AA30),1,0)</f>
        <v>1</v>
      </c>
      <c r="AB31" s="252" t="n">
        <f aca="false">IF(SUM(AB26:AB30)=AB26*COUNT(AB26:AB30),1,0)</f>
        <v>1</v>
      </c>
      <c r="AC31" s="252" t="n">
        <f aca="false">IF(SUM(AC26:AC30)=AC26*COUNT(AC26:AC30),1,0)</f>
        <v>0</v>
      </c>
      <c r="AD31" s="252" t="n">
        <f aca="false">IF(SUM(AD26:AD30)=AD26*COUNT(AD26:AD30),1,0)</f>
        <v>1</v>
      </c>
      <c r="AE31" s="252" t="n">
        <f aca="false">IF(SUM(AE26:AE30)=AE26*COUNT(AE26:AE30),1,0)</f>
        <v>0</v>
      </c>
      <c r="AF31" s="252" t="n">
        <f aca="false">IF(SUM(AF26:AF30)=AF26*COUNT(AF26:AF30),1,0)</f>
        <v>0</v>
      </c>
      <c r="AG31" s="252" t="n">
        <f aca="false">IF(SUM(AG26:AG30)=AG26*COUNT(AG26:AG30),1,0)</f>
        <v>0</v>
      </c>
      <c r="AH31" s="252" t="n">
        <f aca="false">IF(SUM(AH26:AH30)=AH26*COUNT(AH26:AH30),1,0)</f>
        <v>0</v>
      </c>
      <c r="AI31" s="252" t="n">
        <v>0</v>
      </c>
      <c r="AJ31" s="252" t="n">
        <f aca="false">IF(SUM(AJ26:AJ30)=AJ26*COUNT(AJ26:AJ30),1,0)</f>
        <v>0</v>
      </c>
      <c r="AK31" s="252" t="n">
        <f aca="false">IF(SUM(AK26:AK30)=AK26*COUNT(AK26:AK30),1,0)</f>
        <v>0</v>
      </c>
      <c r="AL31" s="252" t="n">
        <f aca="false">IF(SUM(AL26:AL30)=AL26*COUNT(AL26:AL30),1,0)</f>
        <v>1</v>
      </c>
      <c r="AM31" s="252" t="n">
        <f aca="false">IF(SUM(AM26:AM30)=AM26*COUNT(AM26:AM30),1,0)</f>
        <v>0</v>
      </c>
      <c r="AN31" s="252" t="n">
        <f aca="false">IF(SUM(AN26:AN30)=AN26*COUNT(AN26:AN30),1,0)</f>
        <v>0</v>
      </c>
      <c r="AO31" s="252" t="n">
        <f aca="false">IF(SUM(AO26:AO30)=AO26*COUNT(AO26:AO30),1,0)</f>
        <v>0</v>
      </c>
      <c r="AP31" s="252" t="n">
        <f aca="false">IF(SUM(AP26:AP30)=AP26*COUNT(AP26:AP30),1,0)</f>
        <v>0</v>
      </c>
      <c r="AQ31" s="252" t="n">
        <f aca="false">IF(SUM(AQ26:AQ30)=AQ26*COUNT(AQ26:AQ30),1,0)</f>
        <v>0</v>
      </c>
      <c r="AR31" s="252" t="n">
        <f aca="false">IF(SUM(AR26:AR30)=AR26*COUNT(AR26:AR30),1,0)</f>
        <v>1</v>
      </c>
      <c r="AS31" s="252" t="n">
        <f aca="false">IF(SUM(AS26:AS30)=AS26*COUNT(AS26:AS30),1,0)</f>
        <v>1</v>
      </c>
      <c r="AT31" s="252" t="n">
        <f aca="false">IF(SUM(AT26:AT30)=AT26*COUNT(AT26:AT30),1,0)</f>
        <v>0</v>
      </c>
      <c r="AU31" s="252" t="n">
        <f aca="false">IF(SUM(AU26:AU30)=AU26*COUNT(AU26:AU30),1,0)</f>
        <v>1</v>
      </c>
      <c r="AV31" s="252" t="n">
        <f aca="false">IF(SUM(AV26:AV30)=AV26*COUNT(AV26:AV30),1,0)</f>
        <v>1</v>
      </c>
      <c r="AW31" s="252" t="n">
        <f aca="false">IF(SUM(AW26:AW30)=AW26*COUNT(AW26:AW30),1,0)</f>
        <v>1</v>
      </c>
      <c r="AX31" s="252" t="n">
        <f aca="false">IF(SUM(AX26:AX30)=AX26*COUNT(AX26:AX30),1,0)</f>
        <v>0</v>
      </c>
      <c r="AY31" s="252" t="n">
        <f aca="false">IF(SUM(AY26:AY30)=AY26*COUNT(AY26:AY30),1,0)</f>
        <v>1</v>
      </c>
      <c r="AZ31" s="252" t="n">
        <f aca="false">IF(SUM(AZ26:AZ30)=AZ26*COUNT(AZ26:AZ30),1,0)</f>
        <v>0</v>
      </c>
      <c r="BA31" s="252" t="n">
        <f aca="false">IF(SUM(BA26:BA30)=BA26*COUNT(BA26:BA30),1,0)</f>
        <v>1</v>
      </c>
      <c r="BB31" s="252" t="n">
        <f aca="false">IF(SUM(BB26:BB30)=BB26*COUNT(BB26:BB30),1,0)</f>
        <v>0</v>
      </c>
      <c r="BC31" s="252" t="n">
        <f aca="false">IF(SUM(BC26:BC30)=BC26*COUNT(BC26:BC30),1,0)</f>
        <v>0</v>
      </c>
      <c r="BD31" s="252" t="n">
        <f aca="false">IF(SUM(BD26:BD30)=BD26*COUNT(BD26:BD30),1,0)</f>
        <v>0</v>
      </c>
      <c r="BE31" s="252" t="n">
        <f aca="false">IF(SUM(BE26:BE30)=BE26*COUNT(BE26:BE30),1,0)</f>
        <v>1</v>
      </c>
      <c r="BF31" s="252" t="n">
        <f aca="false">IF(SUM(BF26:BF30)=BF26*COUNT(BF26:BF30),1,0)</f>
        <v>1</v>
      </c>
      <c r="BG31" s="252" t="n">
        <f aca="false">IF(SUM(BG26:BG30)=BG26*COUNT(BG26:BG30),1,0)</f>
        <v>0</v>
      </c>
      <c r="BH31" s="252" t="n">
        <f aca="false">IF(SUM(BH26:BH30)=BH26*COUNT(BH26:BH30),1,0)</f>
        <v>1</v>
      </c>
      <c r="BI31" s="252" t="n">
        <f aca="false">IF(SUM(BI26:BI30)=BI26*COUNT(BI26:BI30),1,0)</f>
        <v>0</v>
      </c>
      <c r="BJ31" s="252" t="n">
        <f aca="false">IF(SUM(BJ26:BJ30)=BJ26*COUNT(BJ26:BJ30),1,0)</f>
        <v>1</v>
      </c>
      <c r="BK31" s="252" t="n">
        <f aca="false">IF(SUM(BK26:BK30)=BK26*COUNT(BK26:BK30),1,0)</f>
        <v>1</v>
      </c>
      <c r="BL31" s="252" t="n">
        <f aca="false">IF(SUM(BL26:BL30)=BL26*COUNT(BL26:BL30),1,0)</f>
        <v>1</v>
      </c>
      <c r="BM31" s="252" t="n">
        <f aca="false">IF(SUM(BM26:BM30)=BM26*COUNT(BM26:BM30),1,0)</f>
        <v>0</v>
      </c>
      <c r="BN31" s="252" t="n">
        <f aca="false">IF(SUM(BN26:BN30)=BN26*COUNT(BN26:BN30),1,0)</f>
        <v>0</v>
      </c>
      <c r="BO31" s="252" t="n">
        <f aca="false">IF(SUM(BO26:BO30)=BO26*COUNT(BO26:BO30),1,0)</f>
        <v>1</v>
      </c>
      <c r="BP31" s="252" t="n">
        <f aca="false">IF(SUM(BP26:BP30)=BP26*COUNT(BP26:BP30),1,0)</f>
        <v>1</v>
      </c>
      <c r="BQ31" s="252" t="n">
        <f aca="false">IF(SUM(BQ26:BQ30)=BQ26*COUNT(BQ26:BQ30),1,0)</f>
        <v>0</v>
      </c>
      <c r="BR31" s="252" t="n">
        <f aca="false">IF(SUM(BR26:BR30)=BR26*COUNT(BR26:BR30),1,0)</f>
        <v>0</v>
      </c>
      <c r="BS31" s="252" t="n">
        <f aca="false">IF(SUM(BS26:BS30)=BS26*COUNT(BS26:BS30),1,0)</f>
        <v>1</v>
      </c>
      <c r="BT31" s="252" t="n">
        <f aca="false">IF(SUM(BT26:BT30)=BT26*COUNT(BT26:BT30),1,0)</f>
        <v>0</v>
      </c>
      <c r="BU31" s="252" t="n">
        <f aca="false">IF(SUM(BU26:BU30)=BU26*COUNT(BU26:BU30),1,0)</f>
        <v>1</v>
      </c>
      <c r="BV31" s="252" t="n">
        <f aca="false">IF(SUM(BV26:BV30)=BV26*COUNT(BV26:BV30),1,0)</f>
        <v>1</v>
      </c>
      <c r="BW31" s="252" t="n">
        <f aca="false">IF(SUM(BW26:BW30)=BW26*COUNT(BW26:BW30),1,0)</f>
        <v>0</v>
      </c>
      <c r="BX31" s="252" t="n">
        <f aca="false">IF(SUM(BX26:BX30)=BX26*COUNT(BX26:BX30),1,0)</f>
        <v>0</v>
      </c>
      <c r="BY31" s="252" t="n">
        <f aca="false">IF(SUM(BY26:BY30)=BY26*COUNT(BY26:BY30),1,0)</f>
        <v>0</v>
      </c>
      <c r="BZ31" s="252" t="n">
        <f aca="false">IF(SUM(BZ26:BZ30)=BZ26*COUNT(BZ26:BZ30),1,0)</f>
        <v>0</v>
      </c>
      <c r="CA31" s="252" t="n">
        <f aca="false">IF(SUM(CA26:CA30)=CA26*COUNT(CA26:CA30),1,0)</f>
        <v>0</v>
      </c>
      <c r="CB31" s="252" t="n">
        <f aca="false">IF(SUM(CB26:CB30)=CB26*COUNT(CB26:CB30),1,0)</f>
        <v>0</v>
      </c>
      <c r="CC31" s="252" t="n">
        <f aca="false">IF(SUM(CC26:CC30)=CC26*COUNT(CC26:CC30),1,0)</f>
        <v>1</v>
      </c>
      <c r="CD31" s="252" t="n">
        <f aca="false">IF(SUM(CD26:CD30)=CD26*COUNT(CD26:CD30),1,0)</f>
        <v>1</v>
      </c>
      <c r="CE31" s="252" t="n">
        <f aca="false">IF(SUM(CE26:CE30)=CE26*COUNT(CE26:CE30),1,0)</f>
        <v>0</v>
      </c>
      <c r="CF31" s="252" t="n">
        <f aca="false">IF(SUM(CF26:CF30)=CF26*COUNT(CF26:CF30),1,0)</f>
        <v>0</v>
      </c>
      <c r="CG31" s="252" t="n">
        <f aca="false">IF(SUM(CG26:CG30)=CG26*COUNT(CG26:CG30),1,0)</f>
        <v>0</v>
      </c>
      <c r="CH31" s="252" t="n">
        <f aca="false">IF(SUM(CH26:CH30)=CH26*COUNT(CH26:CH30),1,0)</f>
        <v>0</v>
      </c>
      <c r="CI31" s="252"/>
      <c r="CJ31" s="252" t="n">
        <v>1</v>
      </c>
      <c r="CK31" s="222"/>
      <c r="CL31" s="222" t="n">
        <f aca="false">COUNT(B31:CJ31)</f>
        <v>86</v>
      </c>
      <c r="CM31" s="253" t="n">
        <f aca="false">COUNTIF(B31:CJ31,0)/CL31</f>
        <v>0.534883720930233</v>
      </c>
    </row>
    <row r="32" customFormat="false" ht="12.8" hidden="true" customHeight="false" outlineLevel="1" collapsed="false">
      <c r="A32" s="1" t="s">
        <v>66</v>
      </c>
      <c r="B32" s="18" t="n">
        <v>300</v>
      </c>
      <c r="C32" s="18" t="n">
        <v>679</v>
      </c>
      <c r="D32" s="18" t="n">
        <v>13206.98</v>
      </c>
      <c r="E32" s="18" t="n">
        <v>750</v>
      </c>
      <c r="F32" s="18" t="n">
        <v>2160</v>
      </c>
      <c r="G32" s="18" t="n">
        <v>12300</v>
      </c>
      <c r="H32" s="18" t="n">
        <v>3133</v>
      </c>
      <c r="I32" s="18" t="n">
        <v>4501</v>
      </c>
      <c r="J32" s="18" t="n">
        <v>973</v>
      </c>
      <c r="K32" s="18" t="n">
        <v>13135</v>
      </c>
      <c r="L32" s="18" t="n">
        <v>157</v>
      </c>
      <c r="M32" s="18" t="n">
        <v>500</v>
      </c>
      <c r="N32" s="18" t="n">
        <v>500</v>
      </c>
      <c r="O32" s="18" t="n">
        <v>1790</v>
      </c>
      <c r="P32" s="18" t="n">
        <v>1118.95</v>
      </c>
      <c r="Q32" s="18" t="n">
        <v>2250</v>
      </c>
      <c r="R32" s="18" t="n">
        <v>1550</v>
      </c>
      <c r="S32" s="18" t="n">
        <v>185</v>
      </c>
      <c r="T32" s="18" t="n">
        <v>480</v>
      </c>
      <c r="U32" s="18" t="n">
        <v>3301</v>
      </c>
      <c r="V32" s="18" t="n">
        <v>310</v>
      </c>
      <c r="W32" s="18" t="n">
        <v>970</v>
      </c>
      <c r="X32" s="18" t="n">
        <v>155</v>
      </c>
      <c r="Y32" s="18" t="n">
        <v>2317</v>
      </c>
      <c r="Z32" s="18" t="n">
        <v>3000.24</v>
      </c>
      <c r="AA32" s="18" t="n">
        <v>4005</v>
      </c>
      <c r="AB32" s="18" t="n">
        <v>1500</v>
      </c>
      <c r="AC32" s="18" t="n">
        <v>445</v>
      </c>
      <c r="AD32" s="18" t="n">
        <v>120</v>
      </c>
      <c r="AE32" s="18" t="n">
        <v>7299.65</v>
      </c>
      <c r="AF32" s="18" t="n">
        <v>149</v>
      </c>
      <c r="AG32" s="18" t="n">
        <v>44</v>
      </c>
      <c r="AH32" s="18" t="n">
        <v>135</v>
      </c>
      <c r="AI32" s="18" t="e">
        <f aca="false">#N/A</f>
        <v>#N/A</v>
      </c>
      <c r="AJ32" s="18" t="n">
        <v>4166.89</v>
      </c>
      <c r="AK32" s="18" t="n">
        <v>314</v>
      </c>
      <c r="AL32" s="18" t="n">
        <v>20</v>
      </c>
      <c r="AM32" s="18" t="n">
        <v>191</v>
      </c>
      <c r="AN32" s="18" t="n">
        <v>73626.32</v>
      </c>
      <c r="AO32" s="18" t="n">
        <v>570</v>
      </c>
      <c r="AP32" s="18" t="n">
        <v>64.42</v>
      </c>
      <c r="AQ32" s="18" t="n">
        <v>2500</v>
      </c>
      <c r="AR32" s="18" t="n">
        <v>607</v>
      </c>
      <c r="AS32" s="18" t="n">
        <v>100</v>
      </c>
      <c r="AT32" s="18" t="n">
        <v>18410</v>
      </c>
      <c r="AU32" s="18" t="n">
        <v>61500</v>
      </c>
      <c r="AV32" s="18" t="n">
        <v>1860</v>
      </c>
      <c r="AW32" s="18" t="n">
        <v>6000</v>
      </c>
      <c r="AX32" s="18" t="n">
        <v>3399.28</v>
      </c>
      <c r="AY32" s="18" t="n">
        <v>100</v>
      </c>
      <c r="AZ32" s="18" t="n">
        <v>14000</v>
      </c>
      <c r="BA32" s="18" t="n">
        <v>2400</v>
      </c>
      <c r="BB32" s="18" t="n">
        <v>33000</v>
      </c>
      <c r="BC32" s="18" t="n">
        <v>1900</v>
      </c>
      <c r="BD32" s="18" t="n">
        <v>104000</v>
      </c>
      <c r="BE32" s="18" t="n">
        <v>70</v>
      </c>
      <c r="BF32" s="18" t="n">
        <v>20</v>
      </c>
      <c r="BG32" s="18" t="n">
        <v>583</v>
      </c>
      <c r="BH32" s="18" t="n">
        <v>28</v>
      </c>
      <c r="BI32" s="18" t="n">
        <v>52</v>
      </c>
      <c r="BJ32" s="18" t="n">
        <v>603</v>
      </c>
      <c r="BK32" s="18" t="n">
        <v>360</v>
      </c>
      <c r="BL32" s="18" t="n">
        <v>70</v>
      </c>
      <c r="BM32" s="18" t="n">
        <v>5000</v>
      </c>
      <c r="BN32" s="18" t="n">
        <v>3200</v>
      </c>
      <c r="BO32" s="18" t="n">
        <v>30</v>
      </c>
      <c r="BP32" s="18" t="n">
        <v>1200</v>
      </c>
      <c r="BQ32" s="18" t="n">
        <v>2890</v>
      </c>
      <c r="BR32" s="18" t="n">
        <v>1144.98</v>
      </c>
      <c r="BS32" s="18" t="n">
        <v>730</v>
      </c>
      <c r="BT32" s="18" t="n">
        <v>1950</v>
      </c>
      <c r="BU32" s="18" t="n">
        <v>1000</v>
      </c>
      <c r="BV32" s="18" t="n">
        <v>1800</v>
      </c>
      <c r="BW32" s="18" t="n">
        <v>99</v>
      </c>
      <c r="BX32" s="18" t="n">
        <v>11000</v>
      </c>
      <c r="BY32" s="18" t="n">
        <v>1353.75</v>
      </c>
      <c r="BZ32" s="18" t="n">
        <v>155</v>
      </c>
      <c r="CA32" s="18" t="n">
        <v>2400</v>
      </c>
      <c r="CB32" s="18" t="n">
        <v>61000</v>
      </c>
      <c r="CC32" s="18" t="n">
        <v>400</v>
      </c>
      <c r="CD32" s="18" t="n">
        <v>119</v>
      </c>
      <c r="CE32" s="18" t="n">
        <v>1200</v>
      </c>
      <c r="CF32" s="18" t="n">
        <v>250</v>
      </c>
      <c r="CG32" s="18" t="n">
        <v>26001</v>
      </c>
      <c r="CH32" s="18" t="n">
        <v>700</v>
      </c>
      <c r="CJ32" s="18" t="n">
        <v>5000</v>
      </c>
    </row>
    <row r="33" customFormat="false" ht="12.8" hidden="true" customHeight="false" outlineLevel="1" collapsed="false">
      <c r="A33" s="1" t="s">
        <v>67</v>
      </c>
      <c r="B33" s="18" t="n">
        <v>300</v>
      </c>
      <c r="C33" s="18" t="n">
        <v>618</v>
      </c>
      <c r="D33" s="18" t="n">
        <v>12500.05</v>
      </c>
      <c r="E33" s="18" t="n">
        <v>750</v>
      </c>
      <c r="F33" s="18" t="n">
        <v>2100</v>
      </c>
      <c r="G33" s="18" t="n">
        <v>10100</v>
      </c>
      <c r="H33" s="18" t="n">
        <v>3133</v>
      </c>
      <c r="I33" s="18" t="n">
        <v>4502</v>
      </c>
      <c r="J33" s="18" t="n">
        <v>973</v>
      </c>
      <c r="K33" s="18" t="n">
        <v>14080</v>
      </c>
      <c r="L33" s="18" t="n">
        <v>157</v>
      </c>
      <c r="M33" s="18" t="n">
        <v>500</v>
      </c>
      <c r="N33" s="18" t="n">
        <v>500</v>
      </c>
      <c r="O33" s="18" t="n">
        <v>1790</v>
      </c>
      <c r="P33" s="18" t="n">
        <v>1030</v>
      </c>
      <c r="Q33" s="18" t="n">
        <v>2250</v>
      </c>
      <c r="R33" s="18" t="n">
        <v>1550</v>
      </c>
      <c r="S33" s="18" t="n">
        <v>185</v>
      </c>
      <c r="T33" s="18" t="n">
        <v>399</v>
      </c>
      <c r="U33" s="18" t="n">
        <v>3010</v>
      </c>
      <c r="V33" s="18" t="n">
        <v>310</v>
      </c>
      <c r="W33" s="18" t="n">
        <v>970</v>
      </c>
      <c r="X33" s="18" t="n">
        <v>167</v>
      </c>
      <c r="Y33" s="18" t="n">
        <v>1800</v>
      </c>
      <c r="Z33" s="18" t="n">
        <v>2649.48</v>
      </c>
      <c r="AA33" s="18" t="n">
        <v>4005</v>
      </c>
      <c r="AB33" s="18" t="n">
        <v>1500</v>
      </c>
      <c r="AC33" s="18" t="n">
        <v>441</v>
      </c>
      <c r="AD33" s="18" t="n">
        <v>120</v>
      </c>
      <c r="AE33" s="18" t="n">
        <v>6911.41</v>
      </c>
      <c r="AF33" s="18" t="n">
        <v>150</v>
      </c>
      <c r="AG33" s="18" t="n">
        <v>38</v>
      </c>
      <c r="AH33" s="18" t="n">
        <v>106</v>
      </c>
      <c r="AI33" s="18" t="e">
        <f aca="false">#N/A</f>
        <v>#N/A</v>
      </c>
      <c r="AJ33" s="18" t="n">
        <v>4000</v>
      </c>
      <c r="AK33" s="18" t="n">
        <v>318</v>
      </c>
      <c r="AL33" s="18" t="n">
        <v>20</v>
      </c>
      <c r="AM33" s="18" t="n">
        <v>191</v>
      </c>
      <c r="AN33" s="18" t="n">
        <v>69959.81</v>
      </c>
      <c r="AO33" s="18" t="n">
        <v>570</v>
      </c>
      <c r="AP33" s="18" t="n">
        <v>72</v>
      </c>
      <c r="AQ33" s="18" t="n">
        <v>2500</v>
      </c>
      <c r="AR33" s="18" t="n">
        <v>607</v>
      </c>
      <c r="AS33" s="18" t="n">
        <v>100</v>
      </c>
      <c r="AT33" s="18" t="n">
        <v>17582.5</v>
      </c>
      <c r="AU33" s="18" t="n">
        <v>61500</v>
      </c>
      <c r="AV33" s="18" t="n">
        <v>1860</v>
      </c>
      <c r="AW33" s="18" t="n">
        <v>6000</v>
      </c>
      <c r="AX33" s="18" t="n">
        <v>3592.46</v>
      </c>
      <c r="AY33" s="18" t="n">
        <v>100</v>
      </c>
      <c r="AZ33" s="18" t="n">
        <v>14000</v>
      </c>
      <c r="BA33" s="18" t="n">
        <v>2400</v>
      </c>
      <c r="BB33" s="18" t="n">
        <v>32445</v>
      </c>
      <c r="BC33" s="18" t="n">
        <v>1801</v>
      </c>
      <c r="BD33" s="18" t="n">
        <v>89000</v>
      </c>
      <c r="BE33" s="18" t="n">
        <v>68</v>
      </c>
      <c r="BF33" s="18" t="n">
        <v>20</v>
      </c>
      <c r="BG33" s="18" t="n">
        <v>701</v>
      </c>
      <c r="BH33" s="18" t="n">
        <v>28</v>
      </c>
      <c r="BI33" s="18" t="n">
        <v>56</v>
      </c>
      <c r="BJ33" s="18" t="n">
        <v>603</v>
      </c>
      <c r="BK33" s="18" t="n">
        <v>360</v>
      </c>
      <c r="BL33" s="18" t="n">
        <v>70</v>
      </c>
      <c r="BM33" s="18" t="n">
        <v>18999</v>
      </c>
      <c r="BN33" s="18" t="n">
        <v>3200</v>
      </c>
      <c r="BO33" s="18" t="n">
        <v>30</v>
      </c>
      <c r="BP33" s="18" t="n">
        <v>1200</v>
      </c>
      <c r="BQ33" s="18" t="n">
        <v>2922</v>
      </c>
      <c r="BR33" s="18" t="n">
        <v>1138.76</v>
      </c>
      <c r="BS33" s="18" t="n">
        <v>730</v>
      </c>
      <c r="BT33" s="18" t="n">
        <v>2004</v>
      </c>
      <c r="BU33" s="18" t="n">
        <v>1000</v>
      </c>
      <c r="BV33" s="18" t="n">
        <v>1800</v>
      </c>
      <c r="BW33" s="18" t="n">
        <v>99</v>
      </c>
      <c r="BX33" s="18" t="n">
        <v>14640</v>
      </c>
      <c r="BY33" s="18" t="n">
        <v>1300</v>
      </c>
      <c r="BZ33" s="18" t="n">
        <v>155</v>
      </c>
      <c r="CA33" s="18" t="n">
        <v>2400</v>
      </c>
      <c r="CB33" s="18" t="n">
        <v>61000</v>
      </c>
      <c r="CC33" s="18" t="n">
        <v>600</v>
      </c>
      <c r="CD33" s="18" t="n">
        <v>119</v>
      </c>
      <c r="CE33" s="18" t="n">
        <v>1200</v>
      </c>
      <c r="CF33" s="18" t="n">
        <v>291</v>
      </c>
      <c r="CG33" s="18" t="n">
        <v>25001</v>
      </c>
      <c r="CH33" s="18" t="n">
        <v>700</v>
      </c>
      <c r="CJ33" s="18" t="e">
        <f aca="false">#N/A</f>
        <v>#N/A</v>
      </c>
    </row>
    <row r="34" customFormat="false" ht="12.8" hidden="true" customHeight="false" outlineLevel="1" collapsed="false">
      <c r="A34" s="166" t="s">
        <v>68</v>
      </c>
      <c r="B34" s="18" t="n">
        <v>300</v>
      </c>
      <c r="C34" s="18" t="n">
        <v>618</v>
      </c>
      <c r="D34" s="18" t="n">
        <v>12834.57</v>
      </c>
      <c r="E34" s="18" t="n">
        <v>750</v>
      </c>
      <c r="F34" s="18" t="n">
        <v>2100</v>
      </c>
      <c r="G34" s="18" t="n">
        <v>10100</v>
      </c>
      <c r="H34" s="18" t="n">
        <v>3133</v>
      </c>
      <c r="I34" s="18" t="n">
        <v>4502</v>
      </c>
      <c r="J34" s="18" t="n">
        <v>973</v>
      </c>
      <c r="K34" s="18" t="n">
        <v>14080</v>
      </c>
      <c r="L34" s="18" t="n">
        <v>157</v>
      </c>
      <c r="M34" s="18" t="n">
        <v>500</v>
      </c>
      <c r="N34" s="18" t="n">
        <v>500</v>
      </c>
      <c r="O34" s="18" t="n">
        <v>1794</v>
      </c>
      <c r="P34" s="18" t="n">
        <v>1029.74</v>
      </c>
      <c r="Q34" s="18" t="n">
        <v>2250</v>
      </c>
      <c r="R34" s="18" t="n">
        <v>1550</v>
      </c>
      <c r="S34" s="18" t="n">
        <v>185</v>
      </c>
      <c r="T34" s="18" t="n">
        <v>399</v>
      </c>
      <c r="U34" s="18" t="n">
        <v>3010</v>
      </c>
      <c r="V34" s="18" t="n">
        <v>310</v>
      </c>
      <c r="W34" s="18" t="n">
        <v>970</v>
      </c>
      <c r="X34" s="18" t="n">
        <v>167</v>
      </c>
      <c r="Y34" s="18" t="n">
        <v>1800</v>
      </c>
      <c r="Z34" s="18" t="n">
        <v>2500</v>
      </c>
      <c r="AA34" s="18" t="n">
        <v>4005</v>
      </c>
      <c r="AB34" s="18" t="n">
        <v>1500</v>
      </c>
      <c r="AC34" s="18" t="n">
        <v>441</v>
      </c>
      <c r="AD34" s="18" t="n">
        <v>120</v>
      </c>
      <c r="AE34" s="18" t="n">
        <v>7073.17</v>
      </c>
      <c r="AF34" s="18" t="n">
        <v>150</v>
      </c>
      <c r="AG34" s="18" t="n">
        <v>38</v>
      </c>
      <c r="AH34" s="18" t="n">
        <v>106</v>
      </c>
      <c r="AI34" s="18" t="e">
        <f aca="false">#N/A</f>
        <v>#N/A</v>
      </c>
      <c r="AJ34" s="18" t="n">
        <v>4000</v>
      </c>
      <c r="AK34" s="18" t="n">
        <v>319.15</v>
      </c>
      <c r="AL34" s="18" t="n">
        <v>20</v>
      </c>
      <c r="AM34" s="18" t="n">
        <v>191</v>
      </c>
      <c r="AN34" s="18" t="n">
        <v>67236.43</v>
      </c>
      <c r="AO34" s="18" t="n">
        <v>570</v>
      </c>
      <c r="AP34" s="18" t="n">
        <v>75.95</v>
      </c>
      <c r="AQ34" s="18" t="n">
        <v>2500</v>
      </c>
      <c r="AR34" s="18" t="n">
        <v>607</v>
      </c>
      <c r="AS34" s="18" t="n">
        <v>100</v>
      </c>
      <c r="AT34" s="18" t="n">
        <v>17377.77</v>
      </c>
      <c r="AU34" s="18" t="n">
        <v>61500</v>
      </c>
      <c r="AV34" s="18" t="n">
        <v>1860</v>
      </c>
      <c r="AW34" s="18" t="n">
        <v>6000</v>
      </c>
      <c r="AX34" s="18" t="n">
        <v>3150.83</v>
      </c>
      <c r="AY34" s="18" t="n">
        <v>100</v>
      </c>
      <c r="AZ34" s="18" t="n">
        <v>14000</v>
      </c>
      <c r="BA34" s="18" t="n">
        <v>2400</v>
      </c>
      <c r="BB34" s="18" t="n">
        <v>32445</v>
      </c>
      <c r="BC34" s="18" t="n">
        <v>1801</v>
      </c>
      <c r="BD34" s="18" t="n">
        <v>84777.78</v>
      </c>
      <c r="BE34" s="18" t="n">
        <v>68</v>
      </c>
      <c r="BF34" s="18" t="n">
        <v>20</v>
      </c>
      <c r="BG34" s="18" t="n">
        <v>701</v>
      </c>
      <c r="BH34" s="18" t="n">
        <v>28</v>
      </c>
      <c r="BI34" s="18" t="n">
        <v>56</v>
      </c>
      <c r="BJ34" s="18" t="n">
        <v>603</v>
      </c>
      <c r="BK34" s="18" t="n">
        <v>360</v>
      </c>
      <c r="BL34" s="18" t="n">
        <v>70</v>
      </c>
      <c r="BM34" s="18" t="n">
        <v>18999</v>
      </c>
      <c r="BN34" s="18" t="n">
        <v>3200</v>
      </c>
      <c r="BO34" s="18" t="n">
        <v>30</v>
      </c>
      <c r="BP34" s="18" t="n">
        <v>1200</v>
      </c>
      <c r="BQ34" s="18" t="n">
        <v>2754.51</v>
      </c>
      <c r="BR34" s="18" t="n">
        <v>1182.32</v>
      </c>
      <c r="BS34" s="18" t="n">
        <v>730</v>
      </c>
      <c r="BT34" s="18" t="n">
        <v>1887</v>
      </c>
      <c r="BU34" s="18" t="n">
        <v>1000</v>
      </c>
      <c r="BV34" s="18" t="n">
        <v>1800</v>
      </c>
      <c r="BW34" s="18" t="n">
        <v>99</v>
      </c>
      <c r="BX34" s="18" t="n">
        <v>14640</v>
      </c>
      <c r="BY34" s="18" t="n">
        <v>1334.97</v>
      </c>
      <c r="BZ34" s="18" t="n">
        <v>155</v>
      </c>
      <c r="CA34" s="18" t="n">
        <v>2400</v>
      </c>
      <c r="CB34" s="18" t="n">
        <v>62000</v>
      </c>
      <c r="CC34" s="18" t="n">
        <v>600</v>
      </c>
      <c r="CD34" s="18" t="n">
        <v>119</v>
      </c>
      <c r="CE34" s="18" t="n">
        <v>1200</v>
      </c>
      <c r="CF34" s="18" t="n">
        <v>300</v>
      </c>
      <c r="CG34" s="18" t="n">
        <v>25000</v>
      </c>
      <c r="CH34" s="18" t="n">
        <v>700</v>
      </c>
      <c r="CJ34" s="18" t="e">
        <f aca="false">#N/A</f>
        <v>#N/A</v>
      </c>
    </row>
    <row r="35" customFormat="false" ht="12.8" hidden="true" customHeight="false" outlineLevel="1" collapsed="false">
      <c r="A35" s="1" t="s">
        <v>69</v>
      </c>
      <c r="B35" s="18" t="n">
        <v>300</v>
      </c>
      <c r="C35" s="18" t="n">
        <v>618</v>
      </c>
      <c r="D35" s="18" t="n">
        <v>11905.05</v>
      </c>
      <c r="E35" s="18" t="n">
        <v>750</v>
      </c>
      <c r="F35" s="18" t="n">
        <v>2200</v>
      </c>
      <c r="G35" s="18" t="n">
        <v>10100</v>
      </c>
      <c r="H35" s="18" t="n">
        <v>3133</v>
      </c>
      <c r="I35" s="18" t="n">
        <v>4734</v>
      </c>
      <c r="J35" s="18" t="n">
        <v>973</v>
      </c>
      <c r="K35" s="18" t="n">
        <v>14080</v>
      </c>
      <c r="L35" s="18" t="n">
        <v>157</v>
      </c>
      <c r="M35" s="18" t="n">
        <v>500</v>
      </c>
      <c r="N35" s="18" t="n">
        <v>500</v>
      </c>
      <c r="O35" s="18" t="n">
        <v>1795</v>
      </c>
      <c r="P35" s="18" t="n">
        <v>931.1</v>
      </c>
      <c r="Q35" s="18" t="n">
        <v>2250</v>
      </c>
      <c r="R35" s="18" t="n">
        <v>1550</v>
      </c>
      <c r="S35" s="18" t="n">
        <v>185</v>
      </c>
      <c r="T35" s="18" t="n">
        <v>399</v>
      </c>
      <c r="U35" s="18" t="n">
        <v>3010</v>
      </c>
      <c r="V35" s="18" t="n">
        <v>310</v>
      </c>
      <c r="W35" s="18" t="n">
        <v>970</v>
      </c>
      <c r="X35" s="18" t="n">
        <v>195</v>
      </c>
      <c r="Y35" s="18" t="n">
        <v>1800</v>
      </c>
      <c r="Z35" s="18" t="n">
        <v>2500</v>
      </c>
      <c r="AA35" s="18" t="n">
        <v>4005</v>
      </c>
      <c r="AB35" s="18" t="n">
        <v>1500</v>
      </c>
      <c r="AC35" s="18" t="n">
        <v>850</v>
      </c>
      <c r="AD35" s="18" t="n">
        <v>120</v>
      </c>
      <c r="AE35" s="18" t="n">
        <v>5801.18</v>
      </c>
      <c r="AF35" s="18" t="e">
        <f aca="false">#N/A</f>
        <v>#N/A</v>
      </c>
      <c r="AG35" s="18" t="n">
        <v>40</v>
      </c>
      <c r="AH35" s="18" t="n">
        <v>106</v>
      </c>
      <c r="AI35" s="18" t="e">
        <f aca="false">#N/A</f>
        <v>#N/A</v>
      </c>
      <c r="AJ35" s="18" t="n">
        <v>4480</v>
      </c>
      <c r="AK35" s="18" t="n">
        <v>312.89</v>
      </c>
      <c r="AL35" s="18" t="n">
        <v>20</v>
      </c>
      <c r="AM35" s="18" t="n">
        <v>200</v>
      </c>
      <c r="AN35" s="18" t="n">
        <v>65000</v>
      </c>
      <c r="AO35" s="18" t="n">
        <v>570</v>
      </c>
      <c r="AP35" s="18" t="n">
        <v>77</v>
      </c>
      <c r="AQ35" s="18" t="n">
        <v>2500</v>
      </c>
      <c r="AR35" s="18" t="n">
        <v>607</v>
      </c>
      <c r="AS35" s="18" t="n">
        <v>151</v>
      </c>
      <c r="AT35" s="18" t="n">
        <v>16000</v>
      </c>
      <c r="AU35" s="18" t="n">
        <v>61500</v>
      </c>
      <c r="AV35" s="18" t="n">
        <v>1250</v>
      </c>
      <c r="AW35" s="18" t="n">
        <v>6000</v>
      </c>
      <c r="AX35" s="18" t="n">
        <v>3300</v>
      </c>
      <c r="AY35" s="18" t="n">
        <v>100</v>
      </c>
      <c r="AZ35" s="18" t="n">
        <v>12730</v>
      </c>
      <c r="BA35" s="18" t="n">
        <v>2400</v>
      </c>
      <c r="BB35" s="18" t="n">
        <v>31500</v>
      </c>
      <c r="BC35" s="18" t="n">
        <v>1801</v>
      </c>
      <c r="BD35" s="18" t="n">
        <v>81999.75</v>
      </c>
      <c r="BE35" s="18" t="n">
        <v>68</v>
      </c>
      <c r="BF35" s="18" t="n">
        <v>20</v>
      </c>
      <c r="BG35" s="18" t="n">
        <v>701</v>
      </c>
      <c r="BH35" s="18" t="n">
        <v>24</v>
      </c>
      <c r="BI35" s="18" t="n">
        <v>50</v>
      </c>
      <c r="BJ35" s="18" t="n">
        <v>603</v>
      </c>
      <c r="BK35" s="18" t="n">
        <v>360</v>
      </c>
      <c r="BL35" s="18" t="n">
        <v>70</v>
      </c>
      <c r="BM35" s="18" t="n">
        <v>18999</v>
      </c>
      <c r="BN35" s="18" t="n">
        <v>3200</v>
      </c>
      <c r="BO35" s="18" t="n">
        <v>30</v>
      </c>
      <c r="BP35" s="18" t="n">
        <v>1200</v>
      </c>
      <c r="BQ35" s="18" t="n">
        <v>2600.62</v>
      </c>
      <c r="BR35" s="18" t="n">
        <v>1050</v>
      </c>
      <c r="BS35" s="18" t="n">
        <v>730</v>
      </c>
      <c r="BT35" s="18" t="n">
        <v>1424.41</v>
      </c>
      <c r="BU35" s="18" t="n">
        <v>1000</v>
      </c>
      <c r="BV35" s="18" t="n">
        <v>1800</v>
      </c>
      <c r="BW35" s="18" t="n">
        <v>99</v>
      </c>
      <c r="BX35" s="18" t="n">
        <v>14640</v>
      </c>
      <c r="BY35" s="18" t="n">
        <v>1170</v>
      </c>
      <c r="BZ35" s="18" t="n">
        <v>250</v>
      </c>
      <c r="CA35" s="18" t="n">
        <v>2060</v>
      </c>
      <c r="CB35" s="18" t="n">
        <v>59500</v>
      </c>
      <c r="CC35" s="18" t="n">
        <v>600</v>
      </c>
      <c r="CD35" s="18" t="n">
        <v>119</v>
      </c>
      <c r="CE35" s="18" t="n">
        <v>1200</v>
      </c>
      <c r="CF35" s="18" t="n">
        <v>320</v>
      </c>
      <c r="CG35" s="18" t="n">
        <v>24500</v>
      </c>
      <c r="CH35" s="18" t="n">
        <v>700</v>
      </c>
      <c r="CJ35" s="18" t="e">
        <f aca="false">#N/A</f>
        <v>#N/A</v>
      </c>
    </row>
    <row r="36" customFormat="false" ht="12.8" hidden="true" customHeight="false" outlineLevel="1" collapsed="false">
      <c r="A36" s="1" t="s">
        <v>70</v>
      </c>
      <c r="B36" s="18" t="n">
        <v>300</v>
      </c>
      <c r="C36" s="18" t="n">
        <v>660</v>
      </c>
      <c r="D36" s="18" t="n">
        <v>9704.5</v>
      </c>
      <c r="E36" s="18" t="n">
        <v>750</v>
      </c>
      <c r="F36" s="18" t="n">
        <v>2200</v>
      </c>
      <c r="G36" s="18" t="n">
        <v>10100</v>
      </c>
      <c r="H36" s="18" t="n">
        <v>3133</v>
      </c>
      <c r="I36" s="18" t="n">
        <v>4960</v>
      </c>
      <c r="J36" s="18" t="n">
        <v>945</v>
      </c>
      <c r="K36" s="18" t="n">
        <v>14080</v>
      </c>
      <c r="L36" s="18" t="n">
        <v>157</v>
      </c>
      <c r="M36" s="18" t="n">
        <v>500</v>
      </c>
      <c r="N36" s="18" t="n">
        <v>500</v>
      </c>
      <c r="O36" s="18" t="n">
        <v>1795</v>
      </c>
      <c r="P36" s="18" t="n">
        <v>790.86</v>
      </c>
      <c r="Q36" s="18" t="n">
        <v>2250</v>
      </c>
      <c r="R36" s="18" t="n">
        <v>1550</v>
      </c>
      <c r="S36" s="18" t="n">
        <v>185</v>
      </c>
      <c r="T36" s="18" t="n">
        <v>400</v>
      </c>
      <c r="U36" s="18" t="n">
        <v>3010</v>
      </c>
      <c r="V36" s="18" t="n">
        <v>310</v>
      </c>
      <c r="W36" s="18" t="n">
        <v>970</v>
      </c>
      <c r="X36" s="18" t="n">
        <v>195</v>
      </c>
      <c r="Y36" s="18" t="n">
        <v>1800</v>
      </c>
      <c r="Z36" s="18" t="n">
        <v>2900</v>
      </c>
      <c r="AA36" s="18" t="n">
        <v>4005</v>
      </c>
      <c r="AB36" s="18" t="n">
        <v>1500</v>
      </c>
      <c r="AC36" s="18" t="n">
        <v>850</v>
      </c>
      <c r="AD36" s="18" t="n">
        <v>120</v>
      </c>
      <c r="AE36" s="18" t="n">
        <v>6027.13</v>
      </c>
      <c r="AF36" s="18" t="e">
        <f aca="false">#N/A</f>
        <v>#N/A</v>
      </c>
      <c r="AG36" s="18" t="e">
        <f aca="false">#N/A</f>
        <v>#N/A</v>
      </c>
      <c r="AH36" s="18" t="n">
        <v>106</v>
      </c>
      <c r="AI36" s="18" t="e">
        <f aca="false">#N/A</f>
        <v>#N/A</v>
      </c>
      <c r="AJ36" s="18" t="n">
        <v>4400</v>
      </c>
      <c r="AK36" s="18" t="n">
        <v>268.83</v>
      </c>
      <c r="AL36" s="18" t="n">
        <v>20</v>
      </c>
      <c r="AM36" s="18" t="n">
        <v>200</v>
      </c>
      <c r="AN36" s="18" t="n">
        <v>50496.41</v>
      </c>
      <c r="AO36" s="18" t="n">
        <v>570</v>
      </c>
      <c r="AP36" s="18" t="n">
        <v>74</v>
      </c>
      <c r="AQ36" s="18" t="n">
        <v>2200</v>
      </c>
      <c r="AR36" s="18" t="n">
        <v>607</v>
      </c>
      <c r="AS36" s="18" t="n">
        <v>151</v>
      </c>
      <c r="AT36" s="18" t="n">
        <v>13878</v>
      </c>
      <c r="AU36" s="18" t="n">
        <v>61500</v>
      </c>
      <c r="AV36" s="18" t="n">
        <v>1250</v>
      </c>
      <c r="AW36" s="18" t="n">
        <v>6000</v>
      </c>
      <c r="AX36" s="18" t="n">
        <v>3000</v>
      </c>
      <c r="AY36" s="18" t="n">
        <v>100</v>
      </c>
      <c r="AZ36" s="18" t="n">
        <v>11879</v>
      </c>
      <c r="BA36" s="18" t="n">
        <v>2400</v>
      </c>
      <c r="BB36" s="18" t="n">
        <v>37830</v>
      </c>
      <c r="BC36" s="18" t="n">
        <v>1801</v>
      </c>
      <c r="BD36" s="18" t="n">
        <v>83500</v>
      </c>
      <c r="BE36" s="18" t="n">
        <v>48</v>
      </c>
      <c r="BF36" s="18" t="n">
        <v>20</v>
      </c>
      <c r="BG36" s="18" t="n">
        <v>701</v>
      </c>
      <c r="BH36" s="18" t="n">
        <v>17</v>
      </c>
      <c r="BI36" s="18" t="n">
        <v>54</v>
      </c>
      <c r="BJ36" s="18" t="n">
        <v>603</v>
      </c>
      <c r="BK36" s="18" t="n">
        <v>360</v>
      </c>
      <c r="BL36" s="18" t="n">
        <v>70</v>
      </c>
      <c r="BM36" s="18" t="n">
        <v>18999</v>
      </c>
      <c r="BN36" s="18" t="n">
        <v>3200</v>
      </c>
      <c r="BO36" s="18" t="n">
        <v>30</v>
      </c>
      <c r="BP36" s="18" t="n">
        <v>1200</v>
      </c>
      <c r="BQ36" s="18" t="n">
        <v>2300</v>
      </c>
      <c r="BR36" s="18" t="n">
        <v>885.95</v>
      </c>
      <c r="BS36" s="18" t="n">
        <v>730</v>
      </c>
      <c r="BT36" s="18" t="n">
        <v>1995</v>
      </c>
      <c r="BU36" s="18" t="n">
        <v>1000</v>
      </c>
      <c r="BV36" s="18" t="n">
        <v>1800</v>
      </c>
      <c r="BW36" s="18" t="n">
        <v>99</v>
      </c>
      <c r="BX36" s="18" t="n">
        <v>14640</v>
      </c>
      <c r="BY36" s="18" t="n">
        <v>1166</v>
      </c>
      <c r="BZ36" s="18" t="n">
        <v>250</v>
      </c>
      <c r="CA36" s="18" t="n">
        <v>1885</v>
      </c>
      <c r="CB36" s="18" t="n">
        <v>53460</v>
      </c>
      <c r="CC36" s="18" t="n">
        <v>600</v>
      </c>
      <c r="CD36" s="18" t="n">
        <v>119</v>
      </c>
      <c r="CE36" s="18" t="n">
        <v>1200</v>
      </c>
      <c r="CF36" s="18" t="n">
        <v>321</v>
      </c>
      <c r="CG36" s="18" t="n">
        <v>23150</v>
      </c>
      <c r="CH36" s="18" t="n">
        <v>700</v>
      </c>
      <c r="CJ36" s="18" t="e">
        <f aca="false">#N/A</f>
        <v>#N/A</v>
      </c>
    </row>
    <row r="37" customFormat="false" ht="12.8" hidden="true" customHeight="false" outlineLevel="1" collapsed="false">
      <c r="A37" s="40" t="s">
        <v>71</v>
      </c>
      <c r="B37" s="18" t="n">
        <v>300</v>
      </c>
      <c r="C37" s="18" t="n">
        <v>660</v>
      </c>
      <c r="D37" s="18" t="n">
        <v>13033.43</v>
      </c>
      <c r="E37" s="18" t="n">
        <v>750</v>
      </c>
      <c r="F37" s="18" t="n">
        <v>2200</v>
      </c>
      <c r="G37" s="18" t="n">
        <v>10100</v>
      </c>
      <c r="H37" s="18" t="n">
        <v>3133</v>
      </c>
      <c r="I37" s="18" t="n">
        <v>5488.64</v>
      </c>
      <c r="J37" s="18" t="n">
        <v>945</v>
      </c>
      <c r="K37" s="18" t="n">
        <v>14082</v>
      </c>
      <c r="L37" s="18" t="n">
        <v>157</v>
      </c>
      <c r="M37" s="18" t="n">
        <v>500</v>
      </c>
      <c r="N37" s="18" t="n">
        <v>500</v>
      </c>
      <c r="O37" s="18" t="n">
        <v>1795</v>
      </c>
      <c r="P37" s="18" t="n">
        <v>1199.4</v>
      </c>
      <c r="Q37" s="18" t="n">
        <v>2250</v>
      </c>
      <c r="R37" s="18" t="n">
        <v>1550</v>
      </c>
      <c r="S37" s="18" t="n">
        <v>185</v>
      </c>
      <c r="T37" s="18" t="n">
        <v>400</v>
      </c>
      <c r="U37" s="18" t="n">
        <v>3010</v>
      </c>
      <c r="V37" s="18" t="n">
        <v>310</v>
      </c>
      <c r="W37" s="18" t="n">
        <v>970</v>
      </c>
      <c r="X37" s="18" t="n">
        <v>195</v>
      </c>
      <c r="Y37" s="18" t="n">
        <v>1800</v>
      </c>
      <c r="Z37" s="18" t="n">
        <v>2900</v>
      </c>
      <c r="AA37" s="18" t="n">
        <v>4005</v>
      </c>
      <c r="AB37" s="18" t="n">
        <v>1500</v>
      </c>
      <c r="AC37" s="18" t="n">
        <v>850</v>
      </c>
      <c r="AD37" s="18" t="n">
        <v>120</v>
      </c>
      <c r="AE37" s="18" t="n">
        <v>7911.25</v>
      </c>
      <c r="AF37" s="18" t="e">
        <f aca="false">#N/A</f>
        <v>#N/A</v>
      </c>
      <c r="AG37" s="18" t="e">
        <f aca="false">#N/A</f>
        <v>#N/A</v>
      </c>
      <c r="AH37" s="18" t="n">
        <v>106</v>
      </c>
      <c r="AI37" s="18" t="e">
        <f aca="false">#N/A</f>
        <v>#N/A</v>
      </c>
      <c r="AJ37" s="18" t="n">
        <v>5700</v>
      </c>
      <c r="AK37" s="18" t="n">
        <v>320</v>
      </c>
      <c r="AL37" s="18" t="n">
        <v>20</v>
      </c>
      <c r="AM37" s="18" t="n">
        <v>200</v>
      </c>
      <c r="AN37" s="18" t="n">
        <v>77086.36</v>
      </c>
      <c r="AO37" s="18" t="n">
        <v>570</v>
      </c>
      <c r="AP37" s="18" t="n">
        <v>92</v>
      </c>
      <c r="AQ37" s="18" t="n">
        <v>2444</v>
      </c>
      <c r="AR37" s="18" t="n">
        <v>607</v>
      </c>
      <c r="AS37" s="18" t="n">
        <v>151</v>
      </c>
      <c r="AT37" s="18" t="n">
        <v>18626.59</v>
      </c>
      <c r="AU37" s="18" t="n">
        <v>61500</v>
      </c>
      <c r="AV37" s="18" t="n">
        <v>1250</v>
      </c>
      <c r="AW37" s="18" t="n">
        <v>6000</v>
      </c>
      <c r="AX37" s="18" t="n">
        <v>4516</v>
      </c>
      <c r="AY37" s="18" t="n">
        <v>100</v>
      </c>
      <c r="AZ37" s="18" t="n">
        <v>12000</v>
      </c>
      <c r="BA37" s="18" t="n">
        <v>2400</v>
      </c>
      <c r="BB37" s="18" t="n">
        <v>37830</v>
      </c>
      <c r="BC37" s="18" t="n">
        <v>1801</v>
      </c>
      <c r="BD37" s="18" t="n">
        <v>83000</v>
      </c>
      <c r="BE37" s="18" t="n">
        <v>48</v>
      </c>
      <c r="BF37" s="18" t="n">
        <v>20</v>
      </c>
      <c r="BG37" s="18" t="n">
        <v>701</v>
      </c>
      <c r="BH37" s="18" t="n">
        <v>20</v>
      </c>
      <c r="BI37" s="18" t="n">
        <v>68</v>
      </c>
      <c r="BJ37" s="18" t="n">
        <v>603</v>
      </c>
      <c r="BK37" s="18" t="n">
        <v>360</v>
      </c>
      <c r="BL37" s="18" t="n">
        <v>70</v>
      </c>
      <c r="BM37" s="18" t="n">
        <v>18999</v>
      </c>
      <c r="BN37" s="18" t="n">
        <v>3200</v>
      </c>
      <c r="BO37" s="18" t="n">
        <v>30</v>
      </c>
      <c r="BP37" s="18" t="n">
        <v>1200</v>
      </c>
      <c r="BQ37" s="18" t="n">
        <v>3216.91</v>
      </c>
      <c r="BR37" s="18" t="n">
        <v>1250</v>
      </c>
      <c r="BS37" s="18" t="n">
        <v>730</v>
      </c>
      <c r="BT37" s="18" t="n">
        <v>2249.77</v>
      </c>
      <c r="BU37" s="18" t="n">
        <v>1000</v>
      </c>
      <c r="BV37" s="18" t="n">
        <v>1800</v>
      </c>
      <c r="BW37" s="18" t="n">
        <v>99</v>
      </c>
      <c r="BX37" s="18" t="n">
        <v>14640</v>
      </c>
      <c r="BY37" s="18" t="n">
        <v>1673</v>
      </c>
      <c r="BZ37" s="18" t="n">
        <v>250</v>
      </c>
      <c r="CA37" s="18" t="n">
        <v>2250.5</v>
      </c>
      <c r="CB37" s="18" t="n">
        <v>74000</v>
      </c>
      <c r="CC37" s="18" t="n">
        <v>600</v>
      </c>
      <c r="CD37" s="18" t="n">
        <v>119</v>
      </c>
      <c r="CE37" s="18" t="n">
        <v>1200</v>
      </c>
      <c r="CF37" s="18" t="n">
        <v>321</v>
      </c>
      <c r="CG37" s="18" t="n">
        <v>24200</v>
      </c>
      <c r="CH37" s="18" t="n">
        <v>700</v>
      </c>
      <c r="CJ37" s="18" t="e">
        <f aca="false">#N/A</f>
        <v>#N/A</v>
      </c>
    </row>
    <row r="38" customFormat="false" ht="12.8" hidden="false" customHeight="false" outlineLevel="0" collapsed="false">
      <c r="A38" s="222" t="s">
        <v>345</v>
      </c>
      <c r="B38" s="252" t="n">
        <f aca="false">IF(SUM(B32:B37)=B32*COUNT(B32:B37),1,0)</f>
        <v>1</v>
      </c>
      <c r="C38" s="252" t="n">
        <f aca="false">IF(SUM(C32:C37)=C32*COUNT(C32:C37),1,0)</f>
        <v>0</v>
      </c>
      <c r="D38" s="252" t="n">
        <f aca="false">IF(SUM(D32:D37)=D32*COUNT(D32:D37),1,0)</f>
        <v>0</v>
      </c>
      <c r="E38" s="252" t="n">
        <f aca="false">IF(SUM(E32:E37)=E32*COUNT(E32:E37),1,0)</f>
        <v>1</v>
      </c>
      <c r="F38" s="252" t="n">
        <f aca="false">IF(SUM(F32:F37)=F32*COUNT(F32:F37),1,0)</f>
        <v>1</v>
      </c>
      <c r="G38" s="252" t="n">
        <f aca="false">IF(SUM(G32:G37)=G32*COUNT(G32:G37),1,0)</f>
        <v>0</v>
      </c>
      <c r="H38" s="252" t="n">
        <f aca="false">IF(SUM(H32:H37)=H32*COUNT(H32:H37),1,0)</f>
        <v>1</v>
      </c>
      <c r="I38" s="252" t="n">
        <f aca="false">IF(SUM(I32:I37)=I32*COUNT(I32:I37),1,0)</f>
        <v>0</v>
      </c>
      <c r="J38" s="252" t="n">
        <f aca="false">IF(SUM(J32:J37)=J32*COUNT(J32:J37),1,0)</f>
        <v>0</v>
      </c>
      <c r="K38" s="252" t="n">
        <f aca="false">IF(SUM(K32:K37)=K32*COUNT(K32:K37),1,0)</f>
        <v>0</v>
      </c>
      <c r="L38" s="252" t="n">
        <f aca="false">IF(SUM(L32:L37)=L32*COUNT(L32:L37),1,0)</f>
        <v>1</v>
      </c>
      <c r="M38" s="252" t="n">
        <f aca="false">IF(SUM(M32:M37)=M32*COUNT(M32:M37),1,0)</f>
        <v>1</v>
      </c>
      <c r="N38" s="252" t="n">
        <f aca="false">IF(SUM(N32:N37)=N32*COUNT(N32:N37),1,0)</f>
        <v>1</v>
      </c>
      <c r="O38" s="252" t="n">
        <f aca="false">IF(SUM(O32:O37)=O32*COUNT(O32:O37),1,0)</f>
        <v>0</v>
      </c>
      <c r="P38" s="252" t="n">
        <f aca="false">IF(SUM(P32:P37)=P32*COUNT(P32:P37),1,0)</f>
        <v>0</v>
      </c>
      <c r="Q38" s="252" t="n">
        <f aca="false">IF(SUM(Q32:Q37)=Q32*COUNT(Q32:Q37),1,0)</f>
        <v>1</v>
      </c>
      <c r="R38" s="252" t="n">
        <f aca="false">IF(SUM(R32:R37)=R32*COUNT(R32:R37),1,0)</f>
        <v>1</v>
      </c>
      <c r="S38" s="252" t="n">
        <f aca="false">IF(SUM(S32:S37)=S32*COUNT(S32:S37),1,0)</f>
        <v>1</v>
      </c>
      <c r="T38" s="252" t="n">
        <f aca="false">IF(SUM(T32:T37)=T32*COUNT(T32:T37),1,0)</f>
        <v>0</v>
      </c>
      <c r="U38" s="252" t="n">
        <f aca="false">IF(SUM(U32:U37)=U32*COUNT(U32:U37),1,0)</f>
        <v>0</v>
      </c>
      <c r="V38" s="252" t="n">
        <f aca="false">IF(SUM(V32:V37)=V32*COUNT(V32:V37),1,0)</f>
        <v>1</v>
      </c>
      <c r="W38" s="252" t="n">
        <f aca="false">IF(SUM(W32:W37)=W32*COUNT(W32:W37),1,0)</f>
        <v>1</v>
      </c>
      <c r="X38" s="252" t="n">
        <f aca="false">IF(SUM(X32:X37)=X32*COUNT(X32:X37),1,0)</f>
        <v>0</v>
      </c>
      <c r="Y38" s="252" t="n">
        <f aca="false">IF(SUM(Y32:Y37)=Y32*COUNT(Y32:Y37),1,0)</f>
        <v>0</v>
      </c>
      <c r="Z38" s="252" t="n">
        <f aca="false">IF(SUM(Z32:Z37)=Z32*COUNT(Z32:Z37),1,0)</f>
        <v>0</v>
      </c>
      <c r="AA38" s="252" t="n">
        <f aca="false">IF(SUM(AA32:AA37)=AA32*COUNT(AA32:AA37),1,0)</f>
        <v>1</v>
      </c>
      <c r="AB38" s="252" t="n">
        <f aca="false">IF(SUM(AB32:AB37)=AB32*COUNT(AB32:AB37),1,0)</f>
        <v>1</v>
      </c>
      <c r="AC38" s="252" t="n">
        <f aca="false">IF(SUM(AC32:AC37)=AC32*COUNT(AC32:AC37),1,0)</f>
        <v>0</v>
      </c>
      <c r="AD38" s="252" t="n">
        <f aca="false">IF(SUM(AD32:AD37)=AD32*COUNT(AD32:AD37),1,0)</f>
        <v>1</v>
      </c>
      <c r="AE38" s="252" t="n">
        <f aca="false">IF(SUM(AE32:AE37)=AE32*COUNT(AE32:AE37),1,0)</f>
        <v>0</v>
      </c>
      <c r="AF38" s="252" t="n">
        <v>0</v>
      </c>
      <c r="AG38" s="252" t="n">
        <v>0</v>
      </c>
      <c r="AH38" s="252" t="n">
        <f aca="false">IF(SUM(AH32:AH37)=AH32*COUNT(AH32:AH37),1,0)</f>
        <v>0</v>
      </c>
      <c r="AI38" s="252" t="n">
        <v>1</v>
      </c>
      <c r="AJ38" s="252" t="n">
        <f aca="false">IF(SUM(AJ32:AJ37)=AJ32*COUNT(AJ32:AJ37),1,0)</f>
        <v>0</v>
      </c>
      <c r="AK38" s="252" t="n">
        <f aca="false">IF(SUM(AK32:AK37)=AK32*COUNT(AK32:AK37),1,0)</f>
        <v>0</v>
      </c>
      <c r="AL38" s="252" t="n">
        <f aca="false">IF(SUM(AL32:AL37)=AL32*COUNT(AL32:AL37),1,0)</f>
        <v>1</v>
      </c>
      <c r="AM38" s="252" t="n">
        <f aca="false">IF(SUM(AM32:AM37)=AM32*COUNT(AM32:AM37),1,0)</f>
        <v>0</v>
      </c>
      <c r="AN38" s="252" t="n">
        <f aca="false">IF(SUM(AN32:AN37)=AN32*COUNT(AN32:AN37),1,0)</f>
        <v>0</v>
      </c>
      <c r="AO38" s="252" t="n">
        <f aca="false">IF(SUM(AO32:AO37)=AO32*COUNT(AO32:AO37),1,0)</f>
        <v>1</v>
      </c>
      <c r="AP38" s="252" t="n">
        <f aca="false">IF(SUM(AP32:AP37)=AP32*COUNT(AP32:AP37),1,0)</f>
        <v>0</v>
      </c>
      <c r="AQ38" s="252" t="n">
        <f aca="false">IF(SUM(AQ32:AQ37)=AQ32*COUNT(AQ32:AQ37),1,0)</f>
        <v>0</v>
      </c>
      <c r="AR38" s="252" t="n">
        <f aca="false">IF(SUM(AR32:AR37)=AR32*COUNT(AR32:AR37),1,0)</f>
        <v>1</v>
      </c>
      <c r="AS38" s="252" t="n">
        <f aca="false">IF(SUM(AS32:AS37)=AS32*COUNT(AS32:AS37),1,0)</f>
        <v>0</v>
      </c>
      <c r="AT38" s="252" t="n">
        <f aca="false">IF(SUM(AT32:AT37)=AT32*COUNT(AT32:AT37),1,0)</f>
        <v>0</v>
      </c>
      <c r="AU38" s="252" t="n">
        <f aca="false">IF(SUM(AU32:AU37)=AU32*COUNT(AU32:AU37),1,0)</f>
        <v>1</v>
      </c>
      <c r="AV38" s="252" t="n">
        <f aca="false">IF(SUM(AV32:AV37)=AV32*COUNT(AV32:AV37),1,0)</f>
        <v>0</v>
      </c>
      <c r="AW38" s="252" t="n">
        <f aca="false">IF(SUM(AW32:AW37)=AW32*COUNT(AW32:AW37),1,0)</f>
        <v>1</v>
      </c>
      <c r="AX38" s="252" t="n">
        <f aca="false">IF(SUM(AX32:AX37)=AX32*COUNT(AX32:AX37),1,0)</f>
        <v>0</v>
      </c>
      <c r="AY38" s="252" t="n">
        <f aca="false">IF(SUM(AY32:AY37)=AY32*COUNT(AY32:AY37),1,0)</f>
        <v>1</v>
      </c>
      <c r="AZ38" s="252" t="n">
        <f aca="false">IF(SUM(AZ32:AZ37)=AZ32*COUNT(AZ32:AZ37),1,0)</f>
        <v>0</v>
      </c>
      <c r="BA38" s="252" t="n">
        <f aca="false">IF(SUM(BA32:BA37)=BA32*COUNT(BA32:BA37),1,0)</f>
        <v>1</v>
      </c>
      <c r="BB38" s="252" t="n">
        <f aca="false">IF(SUM(BB32:BB37)=BB32*COUNT(BB32:BB37),1,0)</f>
        <v>0</v>
      </c>
      <c r="BC38" s="252" t="n">
        <f aca="false">IF(SUM(BC32:BC37)=BC32*COUNT(BC32:BC37),1,0)</f>
        <v>0</v>
      </c>
      <c r="BD38" s="252" t="n">
        <f aca="false">IF(SUM(BD32:BD37)=BD32*COUNT(BD32:BD37),1,0)</f>
        <v>0</v>
      </c>
      <c r="BE38" s="252" t="n">
        <f aca="false">IF(SUM(BE32:BE37)=BE32*COUNT(BE32:BE37),1,0)</f>
        <v>0</v>
      </c>
      <c r="BF38" s="252" t="n">
        <f aca="false">IF(SUM(BF32:BF37)=BF32*COUNT(BF32:BF37),1,0)</f>
        <v>1</v>
      </c>
      <c r="BG38" s="252" t="n">
        <f aca="false">IF(SUM(BG32:BG37)=BG32*COUNT(BG32:BG37),1,0)</f>
        <v>0</v>
      </c>
      <c r="BH38" s="252" t="n">
        <f aca="false">IF(SUM(BH32:BH37)=BH32*COUNT(BH32:BH37),1,0)</f>
        <v>0</v>
      </c>
      <c r="BI38" s="252" t="n">
        <f aca="false">IF(SUM(BI32:BI37)=BI32*COUNT(BI32:BI37),1,0)</f>
        <v>0</v>
      </c>
      <c r="BJ38" s="252" t="n">
        <f aca="false">IF(SUM(BJ32:BJ37)=BJ32*COUNT(BJ32:BJ37),1,0)</f>
        <v>1</v>
      </c>
      <c r="BK38" s="252" t="n">
        <f aca="false">IF(SUM(BK32:BK37)=BK32*COUNT(BK32:BK37),1,0)</f>
        <v>1</v>
      </c>
      <c r="BL38" s="252" t="n">
        <f aca="false">IF(SUM(BL32:BL37)=BL32*COUNT(BL32:BL37),1,0)</f>
        <v>1</v>
      </c>
      <c r="BM38" s="252" t="n">
        <f aca="false">IF(SUM(BM32:BM37)=BM32*COUNT(BM32:BM37),1,0)</f>
        <v>0</v>
      </c>
      <c r="BN38" s="252" t="n">
        <f aca="false">IF(SUM(BN32:BN37)=BN32*COUNT(BN32:BN37),1,0)</f>
        <v>1</v>
      </c>
      <c r="BO38" s="252" t="n">
        <f aca="false">IF(SUM(BO32:BO37)=BO32*COUNT(BO32:BO37),1,0)</f>
        <v>1</v>
      </c>
      <c r="BP38" s="252" t="n">
        <f aca="false">IF(SUM(BP32:BP37)=BP32*COUNT(BP32:BP37),1,0)</f>
        <v>1</v>
      </c>
      <c r="BQ38" s="252" t="n">
        <f aca="false">IF(SUM(BQ32:BQ37)=BQ32*COUNT(BQ32:BQ37),1,0)</f>
        <v>0</v>
      </c>
      <c r="BR38" s="252" t="n">
        <f aca="false">IF(SUM(BR32:BR37)=BR32*COUNT(BR32:BR37),1,0)</f>
        <v>0</v>
      </c>
      <c r="BS38" s="252" t="n">
        <f aca="false">IF(SUM(BS32:BS37)=BS32*COUNT(BS32:BS37),1,0)</f>
        <v>1</v>
      </c>
      <c r="BT38" s="252" t="n">
        <f aca="false">IF(SUM(BT32:BT37)=BT32*COUNT(BT32:BT37),1,0)</f>
        <v>0</v>
      </c>
      <c r="BU38" s="252" t="n">
        <f aca="false">IF(SUM(BU32:BU37)=BU32*COUNT(BU32:BU37),1,0)</f>
        <v>1</v>
      </c>
      <c r="BV38" s="252" t="n">
        <f aca="false">IF(SUM(BV32:BV37)=BV32*COUNT(BV32:BV37),1,0)</f>
        <v>1</v>
      </c>
      <c r="BW38" s="252" t="n">
        <f aca="false">IF(SUM(BW32:BW37)=BW32*COUNT(BW32:BW37),1,0)</f>
        <v>1</v>
      </c>
      <c r="BX38" s="252" t="n">
        <f aca="false">IF(SUM(BX32:BX37)=BX32*COUNT(BX32:BX37),1,0)</f>
        <v>0</v>
      </c>
      <c r="BY38" s="252" t="n">
        <f aca="false">IF(SUM(BY32:BY37)=BY32*COUNT(BY32:BY37),1,0)</f>
        <v>0</v>
      </c>
      <c r="BZ38" s="252" t="n">
        <f aca="false">IF(SUM(BZ32:BZ37)=BZ32*COUNT(BZ32:BZ37),1,0)</f>
        <v>0</v>
      </c>
      <c r="CA38" s="252" t="n">
        <f aca="false">IF(SUM(CA32:CA37)=CA32*COUNT(CA32:CA37),1,0)</f>
        <v>0</v>
      </c>
      <c r="CB38" s="252" t="n">
        <f aca="false">IF(SUM(CB32:CB37)=CB32*COUNT(CB32:CB37),1,0)</f>
        <v>0</v>
      </c>
      <c r="CC38" s="252" t="n">
        <f aca="false">IF(SUM(CC32:CC37)=CC32*COUNT(CC32:CC37),1,0)</f>
        <v>0</v>
      </c>
      <c r="CD38" s="252" t="n">
        <f aca="false">IF(SUM(CD32:CD37)=CD32*COUNT(CD32:CD37),1,0)</f>
        <v>1</v>
      </c>
      <c r="CE38" s="252" t="n">
        <f aca="false">IF(SUM(CE32:CE37)=CE32*COUNT(CE32:CE37),1,0)</f>
        <v>1</v>
      </c>
      <c r="CF38" s="252" t="n">
        <f aca="false">IF(SUM(CF32:CF37)=CF32*COUNT(CF32:CF37),1,0)</f>
        <v>0</v>
      </c>
      <c r="CG38" s="252" t="n">
        <f aca="false">IF(SUM(CG32:CG37)=CG32*COUNT(CG32:CG37),1,0)</f>
        <v>0</v>
      </c>
      <c r="CH38" s="252" t="n">
        <f aca="false">IF(SUM(CH32:CH37)=CH32*COUNT(CH32:CH37),1,0)</f>
        <v>1</v>
      </c>
      <c r="CI38" s="252"/>
      <c r="CJ38" s="252" t="n">
        <v>1</v>
      </c>
      <c r="CK38" s="222"/>
      <c r="CL38" s="222" t="n">
        <f aca="false">COUNT(B38:CJ38)</f>
        <v>86</v>
      </c>
      <c r="CM38" s="253" t="n">
        <f aca="false">COUNTIF(B38:CJ38,0)/CL38</f>
        <v>0.558139534883721</v>
      </c>
    </row>
    <row r="39" customFormat="false" ht="12.8" hidden="true" customHeight="false" outlineLevel="1" collapsed="false">
      <c r="A39" s="158" t="s">
        <v>72</v>
      </c>
      <c r="B39" s="18" t="n">
        <v>300</v>
      </c>
      <c r="C39" s="18" t="n">
        <v>660</v>
      </c>
      <c r="D39" s="18" t="n">
        <v>11900.13</v>
      </c>
      <c r="E39" s="18" t="n">
        <v>750</v>
      </c>
      <c r="F39" s="18" t="n">
        <v>2398</v>
      </c>
      <c r="G39" s="18" t="n">
        <v>10100</v>
      </c>
      <c r="H39" s="18" t="n">
        <v>3133</v>
      </c>
      <c r="I39" s="18" t="n">
        <v>5720</v>
      </c>
      <c r="J39" s="18" t="n">
        <v>945</v>
      </c>
      <c r="K39" s="18" t="n">
        <v>13066</v>
      </c>
      <c r="L39" s="18" t="n">
        <v>157</v>
      </c>
      <c r="M39" s="18" t="n">
        <v>500</v>
      </c>
      <c r="N39" s="18" t="n">
        <v>500</v>
      </c>
      <c r="O39" s="18" t="n">
        <v>1795</v>
      </c>
      <c r="P39" s="18" t="n">
        <v>1126.29</v>
      </c>
      <c r="Q39" s="18" t="n">
        <v>2250</v>
      </c>
      <c r="R39" s="18" t="n">
        <v>1550</v>
      </c>
      <c r="S39" s="18" t="n">
        <v>185</v>
      </c>
      <c r="T39" s="18" t="n">
        <v>400</v>
      </c>
      <c r="U39" s="18" t="n">
        <v>3010</v>
      </c>
      <c r="V39" s="18" t="n">
        <v>310</v>
      </c>
      <c r="W39" s="18" t="n">
        <v>970</v>
      </c>
      <c r="X39" s="18" t="n">
        <v>174</v>
      </c>
      <c r="Y39" s="18" t="n">
        <v>2000</v>
      </c>
      <c r="Z39" s="18" t="n">
        <v>1470</v>
      </c>
      <c r="AA39" s="18" t="n">
        <v>4005</v>
      </c>
      <c r="AB39" s="18" t="n">
        <v>1500</v>
      </c>
      <c r="AC39" s="18" t="n">
        <v>850</v>
      </c>
      <c r="AD39" s="18" t="n">
        <v>120</v>
      </c>
      <c r="AE39" s="18" t="n">
        <v>6648</v>
      </c>
      <c r="AF39" s="18" t="e">
        <f aca="false">#N/A</f>
        <v>#N/A</v>
      </c>
      <c r="AG39" s="18" t="e">
        <f aca="false">#N/A</f>
        <v>#N/A</v>
      </c>
      <c r="AH39" s="18" t="n">
        <v>100</v>
      </c>
      <c r="AI39" s="18" t="e">
        <f aca="false">#N/A</f>
        <v>#N/A</v>
      </c>
      <c r="AJ39" s="18" t="n">
        <v>5630.22</v>
      </c>
      <c r="AK39" s="18" t="n">
        <v>320</v>
      </c>
      <c r="AL39" s="18" t="n">
        <v>20</v>
      </c>
      <c r="AM39" s="18" t="n">
        <v>235</v>
      </c>
      <c r="AN39" s="18" t="n">
        <v>77850.19</v>
      </c>
      <c r="AO39" s="18" t="n">
        <v>570</v>
      </c>
      <c r="AP39" s="18" t="n">
        <v>92.89</v>
      </c>
      <c r="AQ39" s="18" t="n">
        <v>2599</v>
      </c>
      <c r="AR39" s="18" t="n">
        <v>607</v>
      </c>
      <c r="AS39" s="18" t="n">
        <v>151</v>
      </c>
      <c r="AT39" s="18" t="n">
        <v>17204.17</v>
      </c>
      <c r="AU39" s="18" t="n">
        <v>61500</v>
      </c>
      <c r="AV39" s="18" t="n">
        <v>1250</v>
      </c>
      <c r="AW39" s="18" t="n">
        <v>6000</v>
      </c>
      <c r="AX39" s="18" t="n">
        <v>4800</v>
      </c>
      <c r="AY39" s="18" t="n">
        <v>77</v>
      </c>
      <c r="AZ39" s="18" t="n">
        <v>12300</v>
      </c>
      <c r="BA39" s="18" t="n">
        <v>2400</v>
      </c>
      <c r="BB39" s="18" t="n">
        <v>41000</v>
      </c>
      <c r="BC39" s="18" t="n">
        <v>1801</v>
      </c>
      <c r="BD39" s="18" t="n">
        <v>76727.27</v>
      </c>
      <c r="BE39" s="18" t="n">
        <v>48</v>
      </c>
      <c r="BF39" s="18" t="n">
        <v>20</v>
      </c>
      <c r="BG39" s="18" t="n">
        <v>700</v>
      </c>
      <c r="BH39" s="18" t="n">
        <v>20</v>
      </c>
      <c r="BI39" s="18" t="n">
        <v>70</v>
      </c>
      <c r="BJ39" s="18" t="n">
        <v>603</v>
      </c>
      <c r="BK39" s="18" t="n">
        <v>360</v>
      </c>
      <c r="BL39" s="18" t="n">
        <v>70</v>
      </c>
      <c r="BM39" s="18" t="n">
        <v>18999</v>
      </c>
      <c r="BN39" s="18" t="n">
        <v>3200</v>
      </c>
      <c r="BO39" s="18" t="n">
        <v>30</v>
      </c>
      <c r="BP39" s="18" t="n">
        <v>1200</v>
      </c>
      <c r="BQ39" s="18" t="n">
        <v>3100</v>
      </c>
      <c r="BR39" s="18" t="n">
        <v>1201.6</v>
      </c>
      <c r="BS39" s="18" t="n">
        <v>730</v>
      </c>
      <c r="BT39" s="18" t="n">
        <v>2300</v>
      </c>
      <c r="BU39" s="18" t="n">
        <v>1000</v>
      </c>
      <c r="BV39" s="18" t="n">
        <v>1800</v>
      </c>
      <c r="BW39" s="18" t="n">
        <v>99</v>
      </c>
      <c r="BX39" s="18" t="n">
        <v>14640</v>
      </c>
      <c r="BY39" s="18" t="n">
        <v>1558.2</v>
      </c>
      <c r="BZ39" s="18" t="n">
        <v>250</v>
      </c>
      <c r="CA39" s="18" t="n">
        <v>2448.97</v>
      </c>
      <c r="CB39" s="18" t="n">
        <v>74000</v>
      </c>
      <c r="CC39" s="18" t="n">
        <v>584</v>
      </c>
      <c r="CD39" s="18" t="n">
        <v>119</v>
      </c>
      <c r="CE39" s="18" t="n">
        <v>1100</v>
      </c>
      <c r="CF39" s="18" t="n">
        <v>285</v>
      </c>
      <c r="CG39" s="18" t="n">
        <v>25100</v>
      </c>
      <c r="CH39" s="18" t="n">
        <v>700</v>
      </c>
      <c r="CJ39" s="18" t="e">
        <f aca="false">#N/A</f>
        <v>#N/A</v>
      </c>
    </row>
    <row r="40" customFormat="false" ht="12.8" hidden="true" customHeight="false" outlineLevel="1" collapsed="false">
      <c r="A40" s="1" t="s">
        <v>73</v>
      </c>
      <c r="B40" s="18" t="n">
        <v>300</v>
      </c>
      <c r="C40" s="18" t="n">
        <v>660</v>
      </c>
      <c r="D40" s="18" t="n">
        <v>11201.33</v>
      </c>
      <c r="E40" s="18" t="n">
        <v>750</v>
      </c>
      <c r="F40" s="18" t="n">
        <v>2000</v>
      </c>
      <c r="G40" s="18" t="n">
        <v>10100</v>
      </c>
      <c r="H40" s="18" t="n">
        <v>3133</v>
      </c>
      <c r="I40" s="18" t="n">
        <v>5500</v>
      </c>
      <c r="J40" s="18" t="n">
        <v>945</v>
      </c>
      <c r="K40" s="18" t="n">
        <v>11940</v>
      </c>
      <c r="L40" s="18" t="n">
        <v>157</v>
      </c>
      <c r="M40" s="18" t="n">
        <v>500</v>
      </c>
      <c r="N40" s="18" t="n">
        <v>500</v>
      </c>
      <c r="O40" s="18" t="n">
        <v>1795</v>
      </c>
      <c r="P40" s="18" t="n">
        <v>1023.75</v>
      </c>
      <c r="Q40" s="18" t="n">
        <v>2250</v>
      </c>
      <c r="R40" s="18" t="n">
        <v>1550</v>
      </c>
      <c r="S40" s="18" t="n">
        <v>185</v>
      </c>
      <c r="T40" s="18" t="n">
        <v>400</v>
      </c>
      <c r="U40" s="18" t="n">
        <v>3010</v>
      </c>
      <c r="V40" s="18" t="n">
        <v>310</v>
      </c>
      <c r="W40" s="18" t="n">
        <v>970</v>
      </c>
      <c r="X40" s="18" t="n">
        <v>180</v>
      </c>
      <c r="Y40" s="18" t="n">
        <v>2000</v>
      </c>
      <c r="Z40" s="18" t="n">
        <v>1645</v>
      </c>
      <c r="AA40" s="18" t="n">
        <v>4005</v>
      </c>
      <c r="AB40" s="18" t="n">
        <v>620</v>
      </c>
      <c r="AC40" s="18" t="n">
        <v>850</v>
      </c>
      <c r="AD40" s="18" t="n">
        <v>120</v>
      </c>
      <c r="AE40" s="18" t="n">
        <v>5649.87</v>
      </c>
      <c r="AF40" s="18" t="e">
        <f aca="false">#N/A</f>
        <v>#N/A</v>
      </c>
      <c r="AG40" s="18" t="e">
        <f aca="false">#N/A</f>
        <v>#N/A</v>
      </c>
      <c r="AH40" s="18" t="n">
        <v>600</v>
      </c>
      <c r="AI40" s="18" t="e">
        <f aca="false">#N/A</f>
        <v>#N/A</v>
      </c>
      <c r="AJ40" s="18" t="n">
        <v>5311</v>
      </c>
      <c r="AK40" s="18" t="n">
        <v>309</v>
      </c>
      <c r="AL40" s="18" t="n">
        <v>20</v>
      </c>
      <c r="AM40" s="18" t="n">
        <v>200</v>
      </c>
      <c r="AN40" s="18" t="n">
        <v>72999.96</v>
      </c>
      <c r="AO40" s="18" t="n">
        <v>570</v>
      </c>
      <c r="AP40" s="18" t="n">
        <v>108</v>
      </c>
      <c r="AQ40" s="18" t="n">
        <v>2599</v>
      </c>
      <c r="AR40" s="18" t="n">
        <v>607</v>
      </c>
      <c r="AS40" s="18" t="n">
        <v>151</v>
      </c>
      <c r="AT40" s="18" t="n">
        <v>16850</v>
      </c>
      <c r="AU40" s="18" t="n">
        <v>61500</v>
      </c>
      <c r="AV40" s="18" t="n">
        <v>1250</v>
      </c>
      <c r="AW40" s="18" t="n">
        <v>6000</v>
      </c>
      <c r="AX40" s="18" t="n">
        <v>4785.71</v>
      </c>
      <c r="AY40" s="18" t="n">
        <v>77</v>
      </c>
      <c r="AZ40" s="18" t="n">
        <v>12440</v>
      </c>
      <c r="BA40" s="18" t="n">
        <v>2400</v>
      </c>
      <c r="BB40" s="18" t="n">
        <v>39500</v>
      </c>
      <c r="BC40" s="18" t="n">
        <v>1801</v>
      </c>
      <c r="BD40" s="18" t="n">
        <v>77510</v>
      </c>
      <c r="BE40" s="18" t="n">
        <v>84</v>
      </c>
      <c r="BF40" s="18" t="n">
        <v>20</v>
      </c>
      <c r="BG40" s="18" t="n">
        <v>650</v>
      </c>
      <c r="BH40" s="18" t="n">
        <v>12</v>
      </c>
      <c r="BI40" s="18" t="n">
        <v>87</v>
      </c>
      <c r="BJ40" s="18" t="n">
        <v>603</v>
      </c>
      <c r="BK40" s="18" t="n">
        <v>350</v>
      </c>
      <c r="BL40" s="18" t="n">
        <v>70</v>
      </c>
      <c r="BM40" s="18" t="n">
        <v>18525</v>
      </c>
      <c r="BN40" s="18" t="n">
        <v>3201</v>
      </c>
      <c r="BO40" s="18" t="n">
        <v>30</v>
      </c>
      <c r="BP40" s="18" t="n">
        <v>1200</v>
      </c>
      <c r="BQ40" s="18" t="n">
        <v>2652.59</v>
      </c>
      <c r="BR40" s="18" t="n">
        <v>1200</v>
      </c>
      <c r="BS40" s="18" t="n">
        <v>730</v>
      </c>
      <c r="BT40" s="18" t="n">
        <v>2400</v>
      </c>
      <c r="BU40" s="18" t="n">
        <v>1000</v>
      </c>
      <c r="BV40" s="18" t="n">
        <v>1800</v>
      </c>
      <c r="BW40" s="18" t="n">
        <v>99</v>
      </c>
      <c r="BX40" s="18" t="n">
        <v>14640</v>
      </c>
      <c r="BY40" s="18" t="n">
        <v>1430</v>
      </c>
      <c r="BZ40" s="18" t="n">
        <v>250</v>
      </c>
      <c r="CA40" s="18" t="n">
        <v>2195</v>
      </c>
      <c r="CB40" s="18" t="n">
        <v>75500</v>
      </c>
      <c r="CC40" s="18" t="n">
        <v>751</v>
      </c>
      <c r="CD40" s="18" t="n">
        <v>119</v>
      </c>
      <c r="CE40" s="18" t="n">
        <v>1200</v>
      </c>
      <c r="CF40" s="18" t="n">
        <v>295</v>
      </c>
      <c r="CG40" s="18" t="n">
        <v>23051</v>
      </c>
      <c r="CH40" s="18" t="n">
        <v>700</v>
      </c>
      <c r="CJ40" s="18" t="e">
        <f aca="false">#N/A</f>
        <v>#N/A</v>
      </c>
    </row>
    <row r="41" customFormat="false" ht="12.8" hidden="true" customHeight="false" outlineLevel="1" collapsed="false">
      <c r="A41" s="1" t="s">
        <v>75</v>
      </c>
      <c r="B41" s="18" t="n">
        <v>500</v>
      </c>
      <c r="C41" s="18" t="n">
        <v>679</v>
      </c>
      <c r="D41" s="18" t="n">
        <v>9045.98</v>
      </c>
      <c r="E41" s="18" t="n">
        <v>750</v>
      </c>
      <c r="F41" s="18" t="n">
        <v>2000</v>
      </c>
      <c r="G41" s="18" t="n">
        <v>10100</v>
      </c>
      <c r="H41" s="18" t="n">
        <v>3133</v>
      </c>
      <c r="I41" s="18" t="e">
        <f aca="false">#N/A</f>
        <v>#N/A</v>
      </c>
      <c r="J41" s="18" t="n">
        <v>945</v>
      </c>
      <c r="K41" s="18" t="n">
        <v>10750</v>
      </c>
      <c r="L41" s="18" t="n">
        <v>157</v>
      </c>
      <c r="M41" s="18" t="n">
        <v>500</v>
      </c>
      <c r="N41" s="18" t="n">
        <v>500</v>
      </c>
      <c r="O41" s="18" t="n">
        <v>1795</v>
      </c>
      <c r="P41" s="18" t="n">
        <v>871.33</v>
      </c>
      <c r="Q41" s="18" t="n">
        <v>2250</v>
      </c>
      <c r="R41" s="18" t="n">
        <v>1550</v>
      </c>
      <c r="S41" s="18" t="n">
        <v>185</v>
      </c>
      <c r="T41" s="18" t="n">
        <v>400</v>
      </c>
      <c r="U41" s="18" t="n">
        <v>3010</v>
      </c>
      <c r="V41" s="18" t="n">
        <v>310</v>
      </c>
      <c r="W41" s="18" t="n">
        <v>970</v>
      </c>
      <c r="X41" s="18" t="n">
        <v>245</v>
      </c>
      <c r="Y41" s="18" t="n">
        <v>2000</v>
      </c>
      <c r="Z41" s="18" t="n">
        <v>2350</v>
      </c>
      <c r="AA41" s="18" t="n">
        <v>4005</v>
      </c>
      <c r="AB41" s="18" t="n">
        <v>620</v>
      </c>
      <c r="AC41" s="18" t="n">
        <v>850</v>
      </c>
      <c r="AD41" s="18" t="n">
        <v>120</v>
      </c>
      <c r="AE41" s="18" t="n">
        <v>5316.85</v>
      </c>
      <c r="AF41" s="18" t="e">
        <f aca="false">#N/A</f>
        <v>#N/A</v>
      </c>
      <c r="AG41" s="18" t="e">
        <f aca="false">#N/A</f>
        <v>#N/A</v>
      </c>
      <c r="AH41" s="18" t="n">
        <v>600</v>
      </c>
      <c r="AI41" s="18" t="e">
        <f aca="false">#N/A</f>
        <v>#N/A</v>
      </c>
      <c r="AJ41" s="18" t="n">
        <v>5335</v>
      </c>
      <c r="AK41" s="18" t="n">
        <v>294</v>
      </c>
      <c r="AL41" s="18" t="n">
        <v>20</v>
      </c>
      <c r="AM41" s="18" t="n">
        <v>205</v>
      </c>
      <c r="AN41" s="18" t="n">
        <v>61980.98</v>
      </c>
      <c r="AO41" s="18" t="n">
        <v>570</v>
      </c>
      <c r="AP41" s="18" t="n">
        <v>105</v>
      </c>
      <c r="AQ41" s="18" t="n">
        <v>2599</v>
      </c>
      <c r="AR41" s="18" t="n">
        <v>607</v>
      </c>
      <c r="AS41" s="18" t="n">
        <v>151</v>
      </c>
      <c r="AT41" s="18" t="n">
        <v>15683.87</v>
      </c>
      <c r="AU41" s="18" t="n">
        <v>61500</v>
      </c>
      <c r="AV41" s="18" t="n">
        <v>1250</v>
      </c>
      <c r="AW41" s="18" t="n">
        <v>6000</v>
      </c>
      <c r="AX41" s="18" t="n">
        <v>4400</v>
      </c>
      <c r="AY41" s="18" t="n">
        <v>77</v>
      </c>
      <c r="AZ41" s="18" t="n">
        <v>10000</v>
      </c>
      <c r="BA41" s="18" t="n">
        <v>2400</v>
      </c>
      <c r="BB41" s="18" t="n">
        <v>41102</v>
      </c>
      <c r="BC41" s="18" t="n">
        <v>1801</v>
      </c>
      <c r="BD41" s="18" t="n">
        <v>74000</v>
      </c>
      <c r="BE41" s="18" t="n">
        <v>30</v>
      </c>
      <c r="BF41" s="18" t="n">
        <v>20</v>
      </c>
      <c r="BG41" s="18" t="n">
        <v>600</v>
      </c>
      <c r="BH41" s="18" t="n">
        <v>12</v>
      </c>
      <c r="BI41" s="18" t="n">
        <v>90</v>
      </c>
      <c r="BJ41" s="18" t="n">
        <v>603</v>
      </c>
      <c r="BK41" s="18" t="n">
        <v>350</v>
      </c>
      <c r="BL41" s="18" t="n">
        <v>70</v>
      </c>
      <c r="BM41" s="18" t="n">
        <v>17986</v>
      </c>
      <c r="BN41" s="18" t="n">
        <v>3400</v>
      </c>
      <c r="BO41" s="18" t="n">
        <v>30</v>
      </c>
      <c r="BP41" s="18" t="n">
        <v>1200</v>
      </c>
      <c r="BQ41" s="18" t="n">
        <v>2380.62</v>
      </c>
      <c r="BR41" s="18" t="n">
        <v>1034.87</v>
      </c>
      <c r="BS41" s="18" t="n">
        <v>730</v>
      </c>
      <c r="BT41" s="18" t="n">
        <v>2384.62</v>
      </c>
      <c r="BU41" s="18" t="n">
        <v>1000</v>
      </c>
      <c r="BV41" s="18" t="n">
        <v>1800</v>
      </c>
      <c r="BW41" s="18" t="n">
        <v>49</v>
      </c>
      <c r="BX41" s="18" t="n">
        <v>14640</v>
      </c>
      <c r="BY41" s="18" t="n">
        <v>1290</v>
      </c>
      <c r="BZ41" s="18" t="n">
        <v>250</v>
      </c>
      <c r="CA41" s="18" t="n">
        <v>2200</v>
      </c>
      <c r="CB41" s="18" t="n">
        <v>77100</v>
      </c>
      <c r="CC41" s="18" t="n">
        <v>800</v>
      </c>
      <c r="CD41" s="18" t="n">
        <v>119</v>
      </c>
      <c r="CE41" s="18" t="n">
        <v>1200</v>
      </c>
      <c r="CF41" s="18" t="n">
        <v>377</v>
      </c>
      <c r="CG41" s="18" t="n">
        <v>23001</v>
      </c>
      <c r="CH41" s="18" t="n">
        <v>700</v>
      </c>
      <c r="CJ41" s="18" t="e">
        <f aca="false">#N/A</f>
        <v>#N/A</v>
      </c>
    </row>
    <row r="42" customFormat="false" ht="12.8" hidden="true" customHeight="false" outlineLevel="1" collapsed="false">
      <c r="A42" s="1" t="s">
        <v>76</v>
      </c>
      <c r="B42" s="18" t="n">
        <v>2800</v>
      </c>
      <c r="C42" s="18" t="n">
        <v>691</v>
      </c>
      <c r="D42" s="18" t="n">
        <v>8500</v>
      </c>
      <c r="E42" s="18" t="n">
        <v>750</v>
      </c>
      <c r="F42" s="18" t="n">
        <v>1900</v>
      </c>
      <c r="G42" s="18" t="n">
        <v>10100</v>
      </c>
      <c r="H42" s="18" t="n">
        <v>3133</v>
      </c>
      <c r="I42" s="18" t="e">
        <f aca="false">#N/A</f>
        <v>#N/A</v>
      </c>
      <c r="J42" s="18" t="n">
        <v>945</v>
      </c>
      <c r="K42" s="18" t="n">
        <v>10777</v>
      </c>
      <c r="L42" s="18" t="n">
        <v>157</v>
      </c>
      <c r="M42" s="18" t="n">
        <v>500</v>
      </c>
      <c r="N42" s="18" t="n">
        <v>500</v>
      </c>
      <c r="O42" s="18" t="n">
        <v>1795</v>
      </c>
      <c r="P42" s="18" t="n">
        <v>820</v>
      </c>
      <c r="Q42" s="18" t="n">
        <v>2250</v>
      </c>
      <c r="R42" s="18" t="n">
        <v>1550</v>
      </c>
      <c r="S42" s="18" t="n">
        <v>185</v>
      </c>
      <c r="T42" s="18" t="n">
        <v>400</v>
      </c>
      <c r="U42" s="18" t="n">
        <v>3010</v>
      </c>
      <c r="V42" s="18" t="n">
        <v>310</v>
      </c>
      <c r="W42" s="18" t="n">
        <v>970</v>
      </c>
      <c r="X42" s="18" t="n">
        <v>251.3</v>
      </c>
      <c r="Y42" s="18" t="n">
        <v>2000</v>
      </c>
      <c r="Z42" s="18" t="n">
        <v>2350</v>
      </c>
      <c r="AA42" s="18" t="n">
        <v>4005</v>
      </c>
      <c r="AB42" s="18" t="n">
        <v>620</v>
      </c>
      <c r="AC42" s="18" t="n">
        <v>306</v>
      </c>
      <c r="AD42" s="18" t="n">
        <v>120</v>
      </c>
      <c r="AE42" s="18" t="n">
        <v>5649.59</v>
      </c>
      <c r="AF42" s="18" t="e">
        <f aca="false">#N/A</f>
        <v>#N/A</v>
      </c>
      <c r="AG42" s="18" t="e">
        <f aca="false">#N/A</f>
        <v>#N/A</v>
      </c>
      <c r="AH42" s="18" t="n">
        <v>600</v>
      </c>
      <c r="AI42" s="18" t="e">
        <f aca="false">#N/A</f>
        <v>#N/A</v>
      </c>
      <c r="AJ42" s="18" t="n">
        <v>5051.25</v>
      </c>
      <c r="AK42" s="18" t="n">
        <v>292.88</v>
      </c>
      <c r="AL42" s="18" t="n">
        <v>20</v>
      </c>
      <c r="AM42" s="18" t="n">
        <v>211</v>
      </c>
      <c r="AN42" s="18" t="n">
        <v>51500</v>
      </c>
      <c r="AO42" s="18" t="n">
        <v>570</v>
      </c>
      <c r="AP42" s="18" t="n">
        <v>110</v>
      </c>
      <c r="AQ42" s="18" t="n">
        <v>2106</v>
      </c>
      <c r="AR42" s="18" t="n">
        <v>607</v>
      </c>
      <c r="AS42" s="18" t="n">
        <v>151</v>
      </c>
      <c r="AT42" s="18" t="n">
        <v>15300</v>
      </c>
      <c r="AU42" s="18" t="n">
        <v>61500</v>
      </c>
      <c r="AV42" s="18" t="n">
        <v>1250</v>
      </c>
      <c r="AW42" s="18" t="n">
        <v>6000</v>
      </c>
      <c r="AX42" s="18" t="n">
        <v>4221</v>
      </c>
      <c r="AY42" s="18" t="n">
        <v>77</v>
      </c>
      <c r="AZ42" s="18" t="e">
        <f aca="false">#N/A</f>
        <v>#N/A</v>
      </c>
      <c r="BA42" s="18" t="n">
        <v>2400</v>
      </c>
      <c r="BB42" s="18" t="n">
        <v>44500</v>
      </c>
      <c r="BC42" s="18" t="n">
        <v>1801</v>
      </c>
      <c r="BD42" s="18" t="n">
        <v>76000</v>
      </c>
      <c r="BE42" s="18" t="n">
        <v>30</v>
      </c>
      <c r="BF42" s="18" t="n">
        <v>25</v>
      </c>
      <c r="BG42" s="18" t="n">
        <v>570</v>
      </c>
      <c r="BH42" s="18" t="n">
        <v>12</v>
      </c>
      <c r="BI42" s="18" t="n">
        <v>105</v>
      </c>
      <c r="BJ42" s="18" t="n">
        <v>603</v>
      </c>
      <c r="BK42" s="18" t="n">
        <v>350</v>
      </c>
      <c r="BL42" s="18" t="n">
        <v>70</v>
      </c>
      <c r="BM42" s="18" t="n">
        <v>16314</v>
      </c>
      <c r="BN42" s="18" t="n">
        <v>3500</v>
      </c>
      <c r="BO42" s="18" t="n">
        <v>30</v>
      </c>
      <c r="BP42" s="18" t="n">
        <v>1200</v>
      </c>
      <c r="BQ42" s="18" t="n">
        <v>2648.4</v>
      </c>
      <c r="BR42" s="18" t="n">
        <v>1178.4</v>
      </c>
      <c r="BS42" s="18" t="n">
        <v>730</v>
      </c>
      <c r="BT42" s="18" t="n">
        <v>2231</v>
      </c>
      <c r="BU42" s="18" t="n">
        <v>1000</v>
      </c>
      <c r="BV42" s="18" t="n">
        <v>1800</v>
      </c>
      <c r="BW42" s="18" t="n">
        <v>49</v>
      </c>
      <c r="BX42" s="18" t="n">
        <v>14640</v>
      </c>
      <c r="BY42" s="18" t="n">
        <v>1380</v>
      </c>
      <c r="BZ42" s="18" t="n">
        <v>250</v>
      </c>
      <c r="CA42" s="18" t="n">
        <v>2350</v>
      </c>
      <c r="CB42" s="18" t="n">
        <v>76000</v>
      </c>
      <c r="CC42" s="18" t="n">
        <v>900</v>
      </c>
      <c r="CD42" s="18" t="n">
        <v>119</v>
      </c>
      <c r="CE42" s="18" t="n">
        <v>1000</v>
      </c>
      <c r="CF42" s="18" t="n">
        <v>389</v>
      </c>
      <c r="CG42" s="18" t="n">
        <v>23500</v>
      </c>
      <c r="CH42" s="18" t="n">
        <v>700</v>
      </c>
      <c r="CJ42" s="18" t="e">
        <f aca="false">#N/A</f>
        <v>#N/A</v>
      </c>
    </row>
    <row r="43" customFormat="false" ht="12.8" hidden="false" customHeight="false" outlineLevel="0" collapsed="false">
      <c r="A43" s="222" t="s">
        <v>346</v>
      </c>
      <c r="B43" s="252" t="n">
        <f aca="false">IF(SUM(B39:B42)=B39*COUNT(B39:B42),1,0)</f>
        <v>0</v>
      </c>
      <c r="C43" s="252" t="n">
        <f aca="false">IF(SUM(C39:C42)=C39*COUNT(C39:C42),1,0)</f>
        <v>0</v>
      </c>
      <c r="D43" s="252" t="n">
        <f aca="false">IF(SUM(D39:D42)=D39*COUNT(D39:D42),1,0)</f>
        <v>0</v>
      </c>
      <c r="E43" s="252" t="n">
        <f aca="false">IF(SUM(E39:E42)=E39*COUNT(E39:E42),1,0)</f>
        <v>1</v>
      </c>
      <c r="F43" s="252" t="n">
        <f aca="false">IF(SUM(F39:F42)=F39*COUNT(F39:F42),1,0)</f>
        <v>0</v>
      </c>
      <c r="G43" s="252" t="n">
        <f aca="false">IF(SUM(G39:G42)=G39*COUNT(G39:G42),1,0)</f>
        <v>1</v>
      </c>
      <c r="H43" s="252" t="n">
        <f aca="false">IF(SUM(H39:H42)=H39*COUNT(H39:H42),1,0)</f>
        <v>1</v>
      </c>
      <c r="I43" s="252" t="n">
        <v>0</v>
      </c>
      <c r="J43" s="252" t="n">
        <f aca="false">IF(SUM(J39:J42)=J39*COUNT(J39:J42),1,0)</f>
        <v>1</v>
      </c>
      <c r="K43" s="252" t="n">
        <f aca="false">IF(SUM(K39:K42)=K39*COUNT(K39:K42),1,0)</f>
        <v>0</v>
      </c>
      <c r="L43" s="252" t="n">
        <f aca="false">IF(SUM(L39:L42)=L39*COUNT(L39:L42),1,0)</f>
        <v>1</v>
      </c>
      <c r="M43" s="252" t="n">
        <f aca="false">IF(SUM(M39:M42)=M39*COUNT(M39:M42),1,0)</f>
        <v>1</v>
      </c>
      <c r="N43" s="252" t="n">
        <f aca="false">IF(SUM(N39:N42)=N39*COUNT(N39:N42),1,0)</f>
        <v>1</v>
      </c>
      <c r="O43" s="252" t="n">
        <f aca="false">IF(SUM(O39:O42)=O39*COUNT(O39:O42),1,0)</f>
        <v>1</v>
      </c>
      <c r="P43" s="252" t="n">
        <f aca="false">IF(SUM(P39:P42)=P39*COUNT(P39:P42),1,0)</f>
        <v>0</v>
      </c>
      <c r="Q43" s="252" t="n">
        <f aca="false">IF(SUM(Q39:Q42)=Q39*COUNT(Q39:Q42),1,0)</f>
        <v>1</v>
      </c>
      <c r="R43" s="252" t="n">
        <f aca="false">IF(SUM(R39:R42)=R39*COUNT(R39:R42),1,0)</f>
        <v>1</v>
      </c>
      <c r="S43" s="252" t="n">
        <f aca="false">IF(SUM(S39:S42)=S39*COUNT(S39:S42),1,0)</f>
        <v>1</v>
      </c>
      <c r="T43" s="252" t="n">
        <f aca="false">IF(SUM(T39:T42)=T39*COUNT(T39:T42),1,0)</f>
        <v>1</v>
      </c>
      <c r="U43" s="252" t="n">
        <f aca="false">IF(SUM(U39:U42)=U39*COUNT(U39:U42),1,0)</f>
        <v>1</v>
      </c>
      <c r="V43" s="252" t="n">
        <f aca="false">IF(SUM(V39:V42)=V39*COUNT(V39:V42),1,0)</f>
        <v>1</v>
      </c>
      <c r="W43" s="252" t="n">
        <f aca="false">IF(SUM(W39:W42)=W39*COUNT(W39:W42),1,0)</f>
        <v>1</v>
      </c>
      <c r="X43" s="252" t="n">
        <f aca="false">IF(SUM(X39:X42)=X39*COUNT(X39:X42),1,0)</f>
        <v>0</v>
      </c>
      <c r="Y43" s="252" t="n">
        <f aca="false">IF(SUM(Y39:Y42)=Y39*COUNT(Y39:Y42),1,0)</f>
        <v>1</v>
      </c>
      <c r="Z43" s="252" t="n">
        <f aca="false">IF(SUM(Z39:Z42)=Z39*COUNT(Z39:Z42),1,0)</f>
        <v>0</v>
      </c>
      <c r="AA43" s="252" t="n">
        <f aca="false">IF(SUM(AA39:AA42)=AA39*COUNT(AA39:AA42),1,0)</f>
        <v>1</v>
      </c>
      <c r="AB43" s="252" t="n">
        <f aca="false">IF(SUM(AB39:AB42)=AB39*COUNT(AB39:AB42),1,0)</f>
        <v>0</v>
      </c>
      <c r="AC43" s="252" t="n">
        <f aca="false">IF(SUM(AC39:AC42)=AC39*COUNT(AC39:AC42),1,0)</f>
        <v>0</v>
      </c>
      <c r="AD43" s="252" t="n">
        <f aca="false">IF(SUM(AD39:AD42)=AD39*COUNT(AD39:AD42),1,0)</f>
        <v>1</v>
      </c>
      <c r="AE43" s="252" t="n">
        <f aca="false">IF(SUM(AE39:AE42)=AE39*COUNT(AE39:AE42),1,0)</f>
        <v>0</v>
      </c>
      <c r="AF43" s="252" t="n">
        <v>1</v>
      </c>
      <c r="AG43" s="252" t="n">
        <v>1</v>
      </c>
      <c r="AH43" s="252" t="n">
        <f aca="false">IF(SUM(AH39:AH42)=AH39*COUNT(AH39:AH42),1,0)</f>
        <v>0</v>
      </c>
      <c r="AI43" s="252" t="n">
        <v>1</v>
      </c>
      <c r="AJ43" s="252" t="n">
        <f aca="false">IF(SUM(AJ39:AJ42)=AJ39*COUNT(AJ39:AJ42),1,0)</f>
        <v>0</v>
      </c>
      <c r="AK43" s="252" t="n">
        <f aca="false">IF(SUM(AK39:AK42)=AK39*COUNT(AK39:AK42),1,0)</f>
        <v>0</v>
      </c>
      <c r="AL43" s="252" t="n">
        <f aca="false">IF(SUM(AL39:AL42)=AL39*COUNT(AL39:AL42),1,0)</f>
        <v>1</v>
      </c>
      <c r="AM43" s="252" t="n">
        <f aca="false">IF(SUM(AM39:AM42)=AM39*COUNT(AM39:AM42),1,0)</f>
        <v>0</v>
      </c>
      <c r="AN43" s="252" t="n">
        <f aca="false">IF(SUM(AN39:AN42)=AN39*COUNT(AN39:AN42),1,0)</f>
        <v>0</v>
      </c>
      <c r="AO43" s="252" t="n">
        <f aca="false">IF(SUM(AO39:AO42)=AO39*COUNT(AO39:AO42),1,0)</f>
        <v>1</v>
      </c>
      <c r="AP43" s="252" t="n">
        <f aca="false">IF(SUM(AP39:AP42)=AP39*COUNT(AP39:AP42),1,0)</f>
        <v>0</v>
      </c>
      <c r="AQ43" s="252" t="n">
        <f aca="false">IF(SUM(AQ39:AQ42)=AQ39*COUNT(AQ39:AQ42),1,0)</f>
        <v>0</v>
      </c>
      <c r="AR43" s="252" t="n">
        <f aca="false">IF(SUM(AR39:AR42)=AR39*COUNT(AR39:AR42),1,0)</f>
        <v>1</v>
      </c>
      <c r="AS43" s="252" t="n">
        <f aca="false">IF(SUM(AS39:AS42)=AS39*COUNT(AS39:AS42),1,0)</f>
        <v>1</v>
      </c>
      <c r="AT43" s="252" t="n">
        <f aca="false">IF(SUM(AT39:AT42)=AT39*COUNT(AT39:AT42),1,0)</f>
        <v>0</v>
      </c>
      <c r="AU43" s="252" t="n">
        <f aca="false">IF(SUM(AU39:AU42)=AU39*COUNT(AU39:AU42),1,0)</f>
        <v>1</v>
      </c>
      <c r="AV43" s="252" t="n">
        <f aca="false">IF(SUM(AV39:AV42)=AV39*COUNT(AV39:AV42),1,0)</f>
        <v>1</v>
      </c>
      <c r="AW43" s="252" t="n">
        <f aca="false">IF(SUM(AW39:AW42)=AW39*COUNT(AW39:AW42),1,0)</f>
        <v>1</v>
      </c>
      <c r="AX43" s="252" t="n">
        <f aca="false">IF(SUM(AX39:AX42)=AX39*COUNT(AX39:AX42),1,0)</f>
        <v>0</v>
      </c>
      <c r="AY43" s="252" t="n">
        <f aca="false">IF(SUM(AY39:AY42)=AY39*COUNT(AY39:AY42),1,0)</f>
        <v>1</v>
      </c>
      <c r="AZ43" s="252" t="n">
        <v>0</v>
      </c>
      <c r="BA43" s="252" t="n">
        <f aca="false">IF(SUM(BA39:BA42)=BA39*COUNT(BA39:BA42),1,0)</f>
        <v>1</v>
      </c>
      <c r="BB43" s="252" t="n">
        <f aca="false">IF(SUM(BB39:BB42)=BB39*COUNT(BB39:BB42),1,0)</f>
        <v>0</v>
      </c>
      <c r="BC43" s="252" t="n">
        <f aca="false">IF(SUM(BC39:BC42)=BC39*COUNT(BC39:BC42),1,0)</f>
        <v>1</v>
      </c>
      <c r="BD43" s="252" t="n">
        <f aca="false">IF(SUM(BD39:BD42)=BD39*COUNT(BD39:BD42),1,0)</f>
        <v>0</v>
      </c>
      <c r="BE43" s="252" t="n">
        <f aca="false">IF(SUM(BE39:BE42)=BE39*COUNT(BE39:BE42),1,0)</f>
        <v>1</v>
      </c>
      <c r="BF43" s="252" t="n">
        <f aca="false">IF(SUM(BF39:BF42)=BF39*COUNT(BF39:BF42),1,0)</f>
        <v>0</v>
      </c>
      <c r="BG43" s="252" t="n">
        <f aca="false">IF(SUM(BG39:BG42)=BG39*COUNT(BG39:BG42),1,0)</f>
        <v>0</v>
      </c>
      <c r="BH43" s="252" t="n">
        <f aca="false">IF(SUM(BH39:BH42)=BH39*COUNT(BH39:BH42),1,0)</f>
        <v>0</v>
      </c>
      <c r="BI43" s="252" t="n">
        <f aca="false">IF(SUM(BI39:BI42)=BI39*COUNT(BI39:BI42),1,0)</f>
        <v>0</v>
      </c>
      <c r="BJ43" s="252" t="n">
        <f aca="false">IF(SUM(BJ39:BJ42)=BJ39*COUNT(BJ39:BJ42),1,0)</f>
        <v>1</v>
      </c>
      <c r="BK43" s="252" t="n">
        <f aca="false">IF(SUM(BK39:BK42)=BK39*COUNT(BK39:BK42),1,0)</f>
        <v>0</v>
      </c>
      <c r="BL43" s="252" t="n">
        <f aca="false">IF(SUM(BL39:BL42)=BL39*COUNT(BL39:BL42),1,0)</f>
        <v>1</v>
      </c>
      <c r="BM43" s="252" t="n">
        <f aca="false">IF(SUM(BM39:BM42)=BM39*COUNT(BM39:BM42),1,0)</f>
        <v>0</v>
      </c>
      <c r="BN43" s="252" t="n">
        <f aca="false">IF(SUM(BN39:BN42)=BN39*COUNT(BN39:BN42),1,0)</f>
        <v>0</v>
      </c>
      <c r="BO43" s="252" t="n">
        <f aca="false">IF(SUM(BO39:BO42)=BO39*COUNT(BO39:BO42),1,0)</f>
        <v>1</v>
      </c>
      <c r="BP43" s="252" t="n">
        <f aca="false">IF(SUM(BP39:BP42)=BP39*COUNT(BP39:BP42),1,0)</f>
        <v>1</v>
      </c>
      <c r="BQ43" s="252" t="n">
        <f aca="false">IF(SUM(BQ39:BQ42)=BQ39*COUNT(BQ39:BQ42),1,0)</f>
        <v>0</v>
      </c>
      <c r="BR43" s="252" t="n">
        <f aca="false">IF(SUM(BR39:BR42)=BR39*COUNT(BR39:BR42),1,0)</f>
        <v>0</v>
      </c>
      <c r="BS43" s="252" t="n">
        <f aca="false">IF(SUM(BS39:BS42)=BS39*COUNT(BS39:BS42),1,0)</f>
        <v>1</v>
      </c>
      <c r="BT43" s="252" t="n">
        <f aca="false">IF(SUM(BT39:BT42)=BT39*COUNT(BT39:BT42),1,0)</f>
        <v>0</v>
      </c>
      <c r="BU43" s="252" t="n">
        <f aca="false">IF(SUM(BU39:BU42)=BU39*COUNT(BU39:BU42),1,0)</f>
        <v>1</v>
      </c>
      <c r="BV43" s="252" t="n">
        <f aca="false">IF(SUM(BV39:BV42)=BV39*COUNT(BV39:BV42),1,0)</f>
        <v>1</v>
      </c>
      <c r="BW43" s="252" t="n">
        <f aca="false">IF(SUM(BW39:BW42)=BW39*COUNT(BW39:BW42),1,0)</f>
        <v>0</v>
      </c>
      <c r="BX43" s="252" t="n">
        <f aca="false">IF(SUM(BX39:BX42)=BX39*COUNT(BX39:BX42),1,0)</f>
        <v>1</v>
      </c>
      <c r="BY43" s="252" t="n">
        <f aca="false">IF(SUM(BY39:BY42)=BY39*COUNT(BY39:BY42),1,0)</f>
        <v>0</v>
      </c>
      <c r="BZ43" s="252" t="n">
        <f aca="false">IF(SUM(BZ39:BZ42)=BZ39*COUNT(BZ39:BZ42),1,0)</f>
        <v>1</v>
      </c>
      <c r="CA43" s="252" t="n">
        <f aca="false">IF(SUM(CA39:CA42)=CA39*COUNT(CA39:CA42),1,0)</f>
        <v>0</v>
      </c>
      <c r="CB43" s="252" t="n">
        <f aca="false">IF(SUM(CB39:CB42)=CB39*COUNT(CB39:CB42),1,0)</f>
        <v>0</v>
      </c>
      <c r="CC43" s="252" t="n">
        <f aca="false">IF(SUM(CC39:CC42)=CC39*COUNT(CC39:CC42),1,0)</f>
        <v>0</v>
      </c>
      <c r="CD43" s="252" t="n">
        <f aca="false">IF(SUM(CD39:CD42)=CD39*COUNT(CD39:CD42),1,0)</f>
        <v>1</v>
      </c>
      <c r="CE43" s="252" t="n">
        <f aca="false">IF(SUM(CE39:CE42)=CE39*COUNT(CE39:CE42),1,0)</f>
        <v>0</v>
      </c>
      <c r="CF43" s="252" t="n">
        <f aca="false">IF(SUM(CF39:CF42)=CF39*COUNT(CF39:CF42),1,0)</f>
        <v>0</v>
      </c>
      <c r="CG43" s="252" t="n">
        <f aca="false">IF(SUM(CG39:CG42)=CG39*COUNT(CG39:CG42),1,0)</f>
        <v>0</v>
      </c>
      <c r="CH43" s="252" t="n">
        <f aca="false">IF(SUM(CH39:CH42)=CH39*COUNT(CH39:CH42),1,0)</f>
        <v>1</v>
      </c>
      <c r="CI43" s="252"/>
      <c r="CJ43" s="252" t="n">
        <v>1</v>
      </c>
      <c r="CK43" s="222"/>
      <c r="CL43" s="222" t="n">
        <f aca="false">COUNT(B43:CJ43)</f>
        <v>86</v>
      </c>
      <c r="CM43" s="253" t="n">
        <f aca="false">COUNTIF(B43:CJ43,0)/CL43</f>
        <v>0.488372093023256</v>
      </c>
    </row>
    <row r="44" customFormat="false" ht="12.8" hidden="true" customHeight="false" outlineLevel="1" collapsed="false">
      <c r="A44" s="1" t="s">
        <v>77</v>
      </c>
      <c r="B44" s="18" t="n">
        <v>2800</v>
      </c>
      <c r="C44" s="18" t="n">
        <v>660</v>
      </c>
      <c r="D44" s="18" t="n">
        <v>8200.64</v>
      </c>
      <c r="E44" s="18" t="n">
        <v>750</v>
      </c>
      <c r="F44" s="18" t="n">
        <v>1800</v>
      </c>
      <c r="G44" s="18" t="n">
        <v>10100</v>
      </c>
      <c r="H44" s="18" t="n">
        <v>3133</v>
      </c>
      <c r="I44" s="18" t="e">
        <f aca="false">#N/A</f>
        <v>#N/A</v>
      </c>
      <c r="J44" s="18" t="n">
        <v>945</v>
      </c>
      <c r="K44" s="18" t="n">
        <v>9431</v>
      </c>
      <c r="L44" s="18" t="n">
        <v>157</v>
      </c>
      <c r="M44" s="18" t="n">
        <v>500</v>
      </c>
      <c r="N44" s="18" t="n">
        <v>500</v>
      </c>
      <c r="O44" s="18" t="n">
        <v>1795</v>
      </c>
      <c r="P44" s="18" t="n">
        <v>800.48</v>
      </c>
      <c r="Q44" s="18" t="n">
        <v>2250</v>
      </c>
      <c r="R44" s="18" t="n">
        <v>1550</v>
      </c>
      <c r="S44" s="18" t="n">
        <v>185</v>
      </c>
      <c r="T44" s="18" t="n">
        <v>400</v>
      </c>
      <c r="U44" s="18" t="n">
        <v>3276</v>
      </c>
      <c r="V44" s="18" t="n">
        <v>310</v>
      </c>
      <c r="W44" s="18" t="n">
        <v>970</v>
      </c>
      <c r="X44" s="18" t="n">
        <v>230</v>
      </c>
      <c r="Y44" s="18" t="n">
        <v>2000</v>
      </c>
      <c r="Z44" s="18" t="n">
        <v>2350</v>
      </c>
      <c r="AA44" s="18" t="n">
        <v>4005</v>
      </c>
      <c r="AB44" s="18" t="n">
        <v>620</v>
      </c>
      <c r="AC44" s="18" t="n">
        <v>298</v>
      </c>
      <c r="AD44" s="18" t="n">
        <v>120</v>
      </c>
      <c r="AE44" s="18" t="n">
        <v>5050.4</v>
      </c>
      <c r="AF44" s="18" t="e">
        <f aca="false">#N/A</f>
        <v>#N/A</v>
      </c>
      <c r="AG44" s="18" t="e">
        <f aca="false">#N/A</f>
        <v>#N/A</v>
      </c>
      <c r="AH44" s="18" t="n">
        <v>600</v>
      </c>
      <c r="AI44" s="18" t="e">
        <f aca="false">#N/A</f>
        <v>#N/A</v>
      </c>
      <c r="AJ44" s="18" t="n">
        <v>5000</v>
      </c>
      <c r="AK44" s="18" t="n">
        <v>290.71</v>
      </c>
      <c r="AL44" s="18" t="n">
        <v>50</v>
      </c>
      <c r="AM44" s="18" t="n">
        <v>161</v>
      </c>
      <c r="AN44" s="18" t="n">
        <v>47495.3</v>
      </c>
      <c r="AO44" s="18" t="n">
        <v>570</v>
      </c>
      <c r="AP44" s="18" t="n">
        <v>114</v>
      </c>
      <c r="AQ44" s="18" t="n">
        <v>2058</v>
      </c>
      <c r="AR44" s="18" t="n">
        <v>607</v>
      </c>
      <c r="AS44" s="18" t="n">
        <v>151</v>
      </c>
      <c r="AT44" s="18" t="n">
        <v>14100</v>
      </c>
      <c r="AU44" s="18" t="n">
        <v>61500</v>
      </c>
      <c r="AV44" s="18" t="n">
        <v>1250</v>
      </c>
      <c r="AW44" s="18" t="n">
        <v>6000</v>
      </c>
      <c r="AX44" s="18" t="n">
        <v>4009</v>
      </c>
      <c r="AY44" s="18" t="n">
        <v>77</v>
      </c>
      <c r="AZ44" s="18" t="e">
        <f aca="false">#N/A</f>
        <v>#N/A</v>
      </c>
      <c r="BA44" s="18" t="n">
        <v>2400</v>
      </c>
      <c r="BB44" s="18" t="n">
        <v>46020</v>
      </c>
      <c r="BC44" s="18" t="n">
        <v>1801</v>
      </c>
      <c r="BD44" s="18" t="n">
        <v>70040</v>
      </c>
      <c r="BE44" s="18" t="n">
        <v>30</v>
      </c>
      <c r="BF44" s="18" t="n">
        <v>25</v>
      </c>
      <c r="BG44" s="18" t="n">
        <v>555</v>
      </c>
      <c r="BH44" s="18" t="n">
        <v>10</v>
      </c>
      <c r="BI44" s="18" t="n">
        <v>108</v>
      </c>
      <c r="BJ44" s="18" t="n">
        <v>603</v>
      </c>
      <c r="BK44" s="18" t="n">
        <v>350</v>
      </c>
      <c r="BL44" s="18" t="n">
        <v>70</v>
      </c>
      <c r="BM44" s="18" t="n">
        <v>16818</v>
      </c>
      <c r="BN44" s="18" t="n">
        <v>3600</v>
      </c>
      <c r="BO44" s="18" t="n">
        <v>30</v>
      </c>
      <c r="BP44" s="18" t="n">
        <v>1200</v>
      </c>
      <c r="BQ44" s="18" t="n">
        <v>2140</v>
      </c>
      <c r="BR44" s="18" t="n">
        <v>1200</v>
      </c>
      <c r="BS44" s="18" t="n">
        <v>730</v>
      </c>
      <c r="BT44" s="18" t="n">
        <v>2294.97</v>
      </c>
      <c r="BU44" s="18" t="n">
        <v>1000</v>
      </c>
      <c r="BV44" s="18" t="n">
        <v>1500</v>
      </c>
      <c r="BW44" s="18" t="n">
        <v>49</v>
      </c>
      <c r="BX44" s="18" t="n">
        <v>14640</v>
      </c>
      <c r="BY44" s="18" t="n">
        <v>1274.11</v>
      </c>
      <c r="BZ44" s="18" t="n">
        <v>250</v>
      </c>
      <c r="CA44" s="18" t="n">
        <v>2100</v>
      </c>
      <c r="CB44" s="18" t="n">
        <v>67900</v>
      </c>
      <c r="CC44" s="18" t="n">
        <v>893</v>
      </c>
      <c r="CD44" s="18" t="n">
        <v>100</v>
      </c>
      <c r="CE44" s="18" t="n">
        <v>1400</v>
      </c>
      <c r="CF44" s="18" t="n">
        <v>360</v>
      </c>
      <c r="CG44" s="18" t="n">
        <v>23000</v>
      </c>
      <c r="CH44" s="18" t="n">
        <v>700</v>
      </c>
      <c r="CJ44" s="18" t="n">
        <v>5000</v>
      </c>
    </row>
    <row r="45" customFormat="false" ht="12.8" hidden="true" customHeight="false" outlineLevel="1" collapsed="false">
      <c r="A45" s="1" t="s">
        <v>78</v>
      </c>
      <c r="B45" s="18" t="n">
        <v>2800</v>
      </c>
      <c r="C45" s="18" t="n">
        <v>560</v>
      </c>
      <c r="D45" s="18" t="n">
        <v>8352.34</v>
      </c>
      <c r="E45" s="18" t="n">
        <v>750</v>
      </c>
      <c r="F45" s="18" t="n">
        <v>1900</v>
      </c>
      <c r="G45" s="18" t="n">
        <v>10100</v>
      </c>
      <c r="H45" s="18" t="n">
        <v>3133</v>
      </c>
      <c r="I45" s="18" t="e">
        <f aca="false">#N/A</f>
        <v>#N/A</v>
      </c>
      <c r="J45" s="18" t="n">
        <v>945</v>
      </c>
      <c r="K45" s="18" t="n">
        <v>9189</v>
      </c>
      <c r="L45" s="18" t="n">
        <v>157</v>
      </c>
      <c r="M45" s="18" t="n">
        <v>500</v>
      </c>
      <c r="N45" s="18" t="n">
        <v>500</v>
      </c>
      <c r="O45" s="18" t="n">
        <v>1795</v>
      </c>
      <c r="P45" s="18" t="n">
        <v>864.59</v>
      </c>
      <c r="Q45" s="18" t="n">
        <v>2250</v>
      </c>
      <c r="R45" s="18" t="n">
        <v>1550</v>
      </c>
      <c r="S45" s="18" t="n">
        <v>185</v>
      </c>
      <c r="T45" s="18" t="n">
        <v>400</v>
      </c>
      <c r="U45" s="18" t="n">
        <v>3276</v>
      </c>
      <c r="V45" s="18" t="n">
        <v>310</v>
      </c>
      <c r="W45" s="18" t="n">
        <v>970</v>
      </c>
      <c r="X45" s="18" t="n">
        <v>256</v>
      </c>
      <c r="Y45" s="18" t="n">
        <v>2000</v>
      </c>
      <c r="Z45" s="18" t="n">
        <v>2853</v>
      </c>
      <c r="AA45" s="18" t="n">
        <v>4005</v>
      </c>
      <c r="AB45" s="18" t="n">
        <v>620</v>
      </c>
      <c r="AC45" s="18" t="n">
        <v>290</v>
      </c>
      <c r="AD45" s="18" t="n">
        <v>120</v>
      </c>
      <c r="AE45" s="18" t="n">
        <v>5256.56</v>
      </c>
      <c r="AF45" s="18" t="e">
        <f aca="false">#N/A</f>
        <v>#N/A</v>
      </c>
      <c r="AG45" s="18" t="e">
        <f aca="false">#N/A</f>
        <v>#N/A</v>
      </c>
      <c r="AH45" s="18" t="n">
        <v>600</v>
      </c>
      <c r="AI45" s="18" t="e">
        <f aca="false">#N/A</f>
        <v>#N/A</v>
      </c>
      <c r="AJ45" s="18" t="n">
        <v>4875.67</v>
      </c>
      <c r="AK45" s="18" t="n">
        <v>288.58</v>
      </c>
      <c r="AL45" s="18" t="n">
        <v>50</v>
      </c>
      <c r="AM45" s="18" t="n">
        <v>238</v>
      </c>
      <c r="AN45" s="18" t="n">
        <v>48343.11</v>
      </c>
      <c r="AO45" s="18" t="n">
        <v>570</v>
      </c>
      <c r="AP45" s="18" t="n">
        <v>143.76</v>
      </c>
      <c r="AQ45" s="18" t="n">
        <v>2200</v>
      </c>
      <c r="AR45" s="18" t="n">
        <v>607</v>
      </c>
      <c r="AS45" s="18" t="n">
        <v>151</v>
      </c>
      <c r="AT45" s="18" t="n">
        <v>14276.4</v>
      </c>
      <c r="AU45" s="18" t="n">
        <v>61500</v>
      </c>
      <c r="AV45" s="18" t="n">
        <v>1250</v>
      </c>
      <c r="AW45" s="18" t="n">
        <v>6000</v>
      </c>
      <c r="AX45" s="18" t="n">
        <v>4946.67</v>
      </c>
      <c r="AY45" s="18" t="n">
        <v>77</v>
      </c>
      <c r="AZ45" s="18" t="e">
        <f aca="false">#N/A</f>
        <v>#N/A</v>
      </c>
      <c r="BA45" s="18" t="n">
        <v>2400</v>
      </c>
      <c r="BB45" s="18" t="n">
        <v>46500</v>
      </c>
      <c r="BC45" s="18" t="n">
        <v>1700</v>
      </c>
      <c r="BD45" s="18" t="n">
        <v>67000</v>
      </c>
      <c r="BE45" s="18" t="n">
        <v>30</v>
      </c>
      <c r="BF45" s="18" t="n">
        <v>25</v>
      </c>
      <c r="BG45" s="18" t="n">
        <v>526</v>
      </c>
      <c r="BH45" s="18" t="n">
        <v>10</v>
      </c>
      <c r="BI45" s="18" t="n">
        <v>118.25</v>
      </c>
      <c r="BJ45" s="18" t="n">
        <v>603</v>
      </c>
      <c r="BK45" s="18" t="n">
        <v>350</v>
      </c>
      <c r="BL45" s="18" t="n">
        <v>70</v>
      </c>
      <c r="BM45" s="18" t="n">
        <v>16818</v>
      </c>
      <c r="BN45" s="18" t="n">
        <v>3600</v>
      </c>
      <c r="BO45" s="18" t="n">
        <v>30</v>
      </c>
      <c r="BP45" s="18" t="n">
        <v>179</v>
      </c>
      <c r="BQ45" s="18" t="n">
        <v>2441</v>
      </c>
      <c r="BR45" s="18" t="n">
        <v>1155.69</v>
      </c>
      <c r="BS45" s="18" t="n">
        <v>730</v>
      </c>
      <c r="BT45" s="18" t="n">
        <v>2300</v>
      </c>
      <c r="BU45" s="18" t="n">
        <v>1000</v>
      </c>
      <c r="BV45" s="18" t="n">
        <v>1500</v>
      </c>
      <c r="BW45" s="18" t="n">
        <v>49</v>
      </c>
      <c r="BX45" s="18" t="n">
        <v>14640</v>
      </c>
      <c r="BY45" s="18" t="n">
        <v>1199.05</v>
      </c>
      <c r="BZ45" s="18" t="n">
        <v>250</v>
      </c>
      <c r="CA45" s="18" t="n">
        <v>2364.28</v>
      </c>
      <c r="CB45" s="18" t="n">
        <v>62830.25</v>
      </c>
      <c r="CC45" s="18" t="n">
        <v>1000</v>
      </c>
      <c r="CD45" s="18" t="n">
        <v>100</v>
      </c>
      <c r="CE45" s="18" t="n">
        <v>900</v>
      </c>
      <c r="CF45" s="18" t="n">
        <v>350</v>
      </c>
      <c r="CG45" s="18" t="n">
        <v>23800</v>
      </c>
      <c r="CH45" s="18" t="n">
        <v>600</v>
      </c>
      <c r="CJ45" s="18" t="n">
        <v>5000</v>
      </c>
    </row>
    <row r="46" customFormat="false" ht="12.8" hidden="false" customHeight="false" outlineLevel="0" collapsed="false">
      <c r="A46" s="222" t="s">
        <v>347</v>
      </c>
      <c r="B46" s="252" t="n">
        <f aca="false">IF(SUM(B44:B45)=B44*COUNT(B44:B45),1,0)</f>
        <v>1</v>
      </c>
      <c r="C46" s="252" t="n">
        <f aca="false">IF(SUM(C44:C45)=C44*COUNT(C44:C45),1,0)</f>
        <v>0</v>
      </c>
      <c r="D46" s="252" t="n">
        <f aca="false">IF(SUM(D44:D45)=D44*COUNT(D44:D45),1,0)</f>
        <v>0</v>
      </c>
      <c r="E46" s="252" t="n">
        <f aca="false">IF(SUM(E44:E45)=E44*COUNT(E44:E45),1,0)</f>
        <v>1</v>
      </c>
      <c r="F46" s="252" t="n">
        <f aca="false">IF(SUM(F44:F45)=F44*COUNT(F44:F45),1,0)</f>
        <v>0</v>
      </c>
      <c r="G46" s="252" t="n">
        <f aca="false">IF(SUM(G44:G45)=G44*COUNT(G44:G45),1,0)</f>
        <v>1</v>
      </c>
      <c r="H46" s="252" t="n">
        <f aca="false">IF(SUM(H44:H45)=H44*COUNT(H44:H45),1,0)</f>
        <v>1</v>
      </c>
      <c r="I46" s="252" t="n">
        <v>1</v>
      </c>
      <c r="J46" s="252" t="n">
        <f aca="false">IF(SUM(J44:J45)=J44*COUNT(J44:J45),1,0)</f>
        <v>1</v>
      </c>
      <c r="K46" s="252" t="n">
        <f aca="false">IF(SUM(K44:K45)=K44*COUNT(K44:K45),1,0)</f>
        <v>0</v>
      </c>
      <c r="L46" s="252" t="n">
        <f aca="false">IF(SUM(L44:L45)=L44*COUNT(L44:L45),1,0)</f>
        <v>1</v>
      </c>
      <c r="M46" s="252" t="n">
        <f aca="false">IF(SUM(M44:M45)=M44*COUNT(M44:M45),1,0)</f>
        <v>1</v>
      </c>
      <c r="N46" s="252" t="n">
        <f aca="false">IF(SUM(N44:N45)=N44*COUNT(N44:N45),1,0)</f>
        <v>1</v>
      </c>
      <c r="O46" s="252" t="n">
        <f aca="false">IF(SUM(O44:O45)=O44*COUNT(O44:O45),1,0)</f>
        <v>1</v>
      </c>
      <c r="P46" s="252" t="n">
        <f aca="false">IF(SUM(P44:P45)=P44*COUNT(P44:P45),1,0)</f>
        <v>0</v>
      </c>
      <c r="Q46" s="252" t="n">
        <f aca="false">IF(SUM(Q44:Q45)=Q44*COUNT(Q44:Q45),1,0)</f>
        <v>1</v>
      </c>
      <c r="R46" s="252" t="n">
        <f aca="false">IF(SUM(R44:R45)=R44*COUNT(R44:R45),1,0)</f>
        <v>1</v>
      </c>
      <c r="S46" s="252" t="n">
        <f aca="false">IF(SUM(S44:S45)=S44*COUNT(S44:S45),1,0)</f>
        <v>1</v>
      </c>
      <c r="T46" s="252" t="n">
        <f aca="false">IF(SUM(T44:T45)=T44*COUNT(T44:T45),1,0)</f>
        <v>1</v>
      </c>
      <c r="U46" s="252" t="n">
        <f aca="false">IF(SUM(U44:U45)=U44*COUNT(U44:U45),1,0)</f>
        <v>1</v>
      </c>
      <c r="V46" s="252" t="n">
        <f aca="false">IF(SUM(V44:V45)=V44*COUNT(V44:V45),1,0)</f>
        <v>1</v>
      </c>
      <c r="W46" s="252" t="n">
        <f aca="false">IF(SUM(W44:W45)=W44*COUNT(W44:W45),1,0)</f>
        <v>1</v>
      </c>
      <c r="X46" s="252" t="n">
        <f aca="false">IF(SUM(X44:X45)=X44*COUNT(X44:X45),1,0)</f>
        <v>0</v>
      </c>
      <c r="Y46" s="252" t="n">
        <f aca="false">IF(SUM(Y44:Y45)=Y44*COUNT(Y44:Y45),1,0)</f>
        <v>1</v>
      </c>
      <c r="Z46" s="252" t="n">
        <f aca="false">IF(SUM(Z44:Z45)=Z44*COUNT(Z44:Z45),1,0)</f>
        <v>0</v>
      </c>
      <c r="AA46" s="252" t="n">
        <f aca="false">IF(SUM(AA44:AA45)=AA44*COUNT(AA44:AA45),1,0)</f>
        <v>1</v>
      </c>
      <c r="AB46" s="252" t="n">
        <f aca="false">IF(SUM(AB44:AB45)=AB44*COUNT(AB44:AB45),1,0)</f>
        <v>1</v>
      </c>
      <c r="AC46" s="252" t="n">
        <f aca="false">IF(SUM(AC44:AC45)=AC44*COUNT(AC44:AC45),1,0)</f>
        <v>0</v>
      </c>
      <c r="AD46" s="252" t="n">
        <f aca="false">IF(SUM(AD44:AD45)=AD44*COUNT(AD44:AD45),1,0)</f>
        <v>1</v>
      </c>
      <c r="AE46" s="252" t="n">
        <f aca="false">IF(SUM(AE44:AE45)=AE44*COUNT(AE44:AE45),1,0)</f>
        <v>0</v>
      </c>
      <c r="AF46" s="252" t="n">
        <v>1</v>
      </c>
      <c r="AG46" s="252" t="n">
        <v>1</v>
      </c>
      <c r="AH46" s="252" t="n">
        <f aca="false">IF(SUM(AH44:AH45)=AH44*COUNT(AH44:AH45),1,0)</f>
        <v>1</v>
      </c>
      <c r="AI46" s="252" t="n">
        <v>1</v>
      </c>
      <c r="AJ46" s="252" t="n">
        <f aca="false">IF(SUM(AJ44:AJ45)=AJ44*COUNT(AJ44:AJ45),1,0)</f>
        <v>0</v>
      </c>
      <c r="AK46" s="252" t="n">
        <f aca="false">IF(SUM(AK44:AK45)=AK44*COUNT(AK44:AK45),1,0)</f>
        <v>0</v>
      </c>
      <c r="AL46" s="252" t="n">
        <f aca="false">IF(SUM(AL44:AL45)=AL44*COUNT(AL44:AL45),1,0)</f>
        <v>1</v>
      </c>
      <c r="AM46" s="252" t="n">
        <f aca="false">IF(SUM(AM44:AM45)=AM44*COUNT(AM44:AM45),1,0)</f>
        <v>0</v>
      </c>
      <c r="AN46" s="252" t="n">
        <f aca="false">IF(SUM(AN44:AN45)=AN44*COUNT(AN44:AN45),1,0)</f>
        <v>0</v>
      </c>
      <c r="AO46" s="252" t="n">
        <f aca="false">IF(SUM(AO44:AO45)=AO44*COUNT(AO44:AO45),1,0)</f>
        <v>1</v>
      </c>
      <c r="AP46" s="252" t="n">
        <f aca="false">IF(SUM(AP44:AP45)=AP44*COUNT(AP44:AP45),1,0)</f>
        <v>0</v>
      </c>
      <c r="AQ46" s="252" t="n">
        <f aca="false">IF(SUM(AQ44:AQ45)=AQ44*COUNT(AQ44:AQ45),1,0)</f>
        <v>0</v>
      </c>
      <c r="AR46" s="252" t="n">
        <f aca="false">IF(SUM(AR44:AR45)=AR44*COUNT(AR44:AR45),1,0)</f>
        <v>1</v>
      </c>
      <c r="AS46" s="252" t="n">
        <f aca="false">IF(SUM(AS44:AS45)=AS44*COUNT(AS44:AS45),1,0)</f>
        <v>1</v>
      </c>
      <c r="AT46" s="252" t="n">
        <f aca="false">IF(SUM(AT44:AT45)=AT44*COUNT(AT44:AT45),1,0)</f>
        <v>0</v>
      </c>
      <c r="AU46" s="252" t="n">
        <f aca="false">IF(SUM(AU44:AU45)=AU44*COUNT(AU44:AU45),1,0)</f>
        <v>1</v>
      </c>
      <c r="AV46" s="252" t="n">
        <f aca="false">IF(SUM(AV44:AV45)=AV44*COUNT(AV44:AV45),1,0)</f>
        <v>1</v>
      </c>
      <c r="AW46" s="252" t="n">
        <f aca="false">IF(SUM(AW44:AW45)=AW44*COUNT(AW44:AW45),1,0)</f>
        <v>1</v>
      </c>
      <c r="AX46" s="252" t="n">
        <f aca="false">IF(SUM(AX44:AX45)=AX44*COUNT(AX44:AX45),1,0)</f>
        <v>0</v>
      </c>
      <c r="AY46" s="252" t="n">
        <f aca="false">IF(SUM(AY44:AY45)=AY44*COUNT(AY44:AY45),1,0)</f>
        <v>1</v>
      </c>
      <c r="AZ46" s="252" t="n">
        <v>1</v>
      </c>
      <c r="BA46" s="252" t="n">
        <f aca="false">IF(SUM(BA44:BA45)=BA44*COUNT(BA44:BA45),1,0)</f>
        <v>1</v>
      </c>
      <c r="BB46" s="252" t="n">
        <f aca="false">IF(SUM(BB44:BB45)=BB44*COUNT(BB44:BB45),1,0)</f>
        <v>0</v>
      </c>
      <c r="BC46" s="252" t="n">
        <f aca="false">IF(SUM(BC44:BC45)=BC44*COUNT(BC44:BC45),1,0)</f>
        <v>0</v>
      </c>
      <c r="BD46" s="252" t="n">
        <f aca="false">IF(SUM(BD44:BD45)=BD44*COUNT(BD44:BD45),1,0)</f>
        <v>0</v>
      </c>
      <c r="BE46" s="252" t="n">
        <f aca="false">IF(SUM(BE44:BE45)=BE44*COUNT(BE44:BE45),1,0)</f>
        <v>1</v>
      </c>
      <c r="BF46" s="252" t="n">
        <f aca="false">IF(SUM(BF44:BF45)=BF44*COUNT(BF44:BF45),1,0)</f>
        <v>1</v>
      </c>
      <c r="BG46" s="252" t="n">
        <f aca="false">IF(SUM(BG44:BG45)=BG44*COUNT(BG44:BG45),1,0)</f>
        <v>0</v>
      </c>
      <c r="BH46" s="252" t="n">
        <f aca="false">IF(SUM(BH44:BH45)=BH44*COUNT(BH44:BH45),1,0)</f>
        <v>1</v>
      </c>
      <c r="BI46" s="252" t="n">
        <f aca="false">IF(SUM(BI44:BI45)=BI44*COUNT(BI44:BI45),1,0)</f>
        <v>0</v>
      </c>
      <c r="BJ46" s="252" t="n">
        <f aca="false">IF(SUM(BJ44:BJ45)=BJ44*COUNT(BJ44:BJ45),1,0)</f>
        <v>1</v>
      </c>
      <c r="BK46" s="252" t="n">
        <f aca="false">IF(SUM(BK44:BK45)=BK44*COUNT(BK44:BK45),1,0)</f>
        <v>1</v>
      </c>
      <c r="BL46" s="252" t="n">
        <f aca="false">IF(SUM(BL44:BL45)=BL44*COUNT(BL44:BL45),1,0)</f>
        <v>1</v>
      </c>
      <c r="BM46" s="252" t="n">
        <f aca="false">IF(SUM(BM44:BM45)=BM44*COUNT(BM44:BM45),1,0)</f>
        <v>1</v>
      </c>
      <c r="BN46" s="252" t="n">
        <f aca="false">IF(SUM(BN44:BN45)=BN44*COUNT(BN44:BN45),1,0)</f>
        <v>1</v>
      </c>
      <c r="BO46" s="252" t="n">
        <f aca="false">IF(SUM(BO44:BO45)=BO44*COUNT(BO44:BO45),1,0)</f>
        <v>1</v>
      </c>
      <c r="BP46" s="252" t="n">
        <f aca="false">IF(SUM(BP44:BP45)=BP44*COUNT(BP44:BP45),1,0)</f>
        <v>0</v>
      </c>
      <c r="BQ46" s="252" t="n">
        <f aca="false">IF(SUM(BQ44:BQ45)=BQ44*COUNT(BQ44:BQ45),1,0)</f>
        <v>0</v>
      </c>
      <c r="BR46" s="252" t="n">
        <f aca="false">IF(SUM(BR44:BR45)=BR44*COUNT(BR44:BR45),1,0)</f>
        <v>0</v>
      </c>
      <c r="BS46" s="252" t="n">
        <f aca="false">IF(SUM(BS44:BS45)=BS44*COUNT(BS44:BS45),1,0)</f>
        <v>1</v>
      </c>
      <c r="BT46" s="252" t="n">
        <f aca="false">IF(SUM(BT44:BT45)=BT44*COUNT(BT44:BT45),1,0)</f>
        <v>0</v>
      </c>
      <c r="BU46" s="252" t="n">
        <f aca="false">IF(SUM(BU44:BU45)=BU44*COUNT(BU44:BU45),1,0)</f>
        <v>1</v>
      </c>
      <c r="BV46" s="252" t="n">
        <f aca="false">IF(SUM(BV44:BV45)=BV44*COUNT(BV44:BV45),1,0)</f>
        <v>1</v>
      </c>
      <c r="BW46" s="252" t="n">
        <f aca="false">IF(SUM(BW44:BW45)=BW44*COUNT(BW44:BW45),1,0)</f>
        <v>1</v>
      </c>
      <c r="BX46" s="252" t="n">
        <f aca="false">IF(SUM(BX44:BX45)=BX44*COUNT(BX44:BX45),1,0)</f>
        <v>1</v>
      </c>
      <c r="BY46" s="252" t="n">
        <f aca="false">IF(SUM(BY44:BY45)=BY44*COUNT(BY44:BY45),1,0)</f>
        <v>0</v>
      </c>
      <c r="BZ46" s="252" t="n">
        <f aca="false">IF(SUM(BZ44:BZ45)=BZ44*COUNT(BZ44:BZ45),1,0)</f>
        <v>1</v>
      </c>
      <c r="CA46" s="252" t="n">
        <f aca="false">IF(SUM(CA44:CA45)=CA44*COUNT(CA44:CA45),1,0)</f>
        <v>0</v>
      </c>
      <c r="CB46" s="252" t="n">
        <f aca="false">IF(SUM(CB44:CB45)=CB44*COUNT(CB44:CB45),1,0)</f>
        <v>0</v>
      </c>
      <c r="CC46" s="252" t="n">
        <f aca="false">IF(SUM(CC44:CC45)=CC44*COUNT(CC44:CC45),1,0)</f>
        <v>0</v>
      </c>
      <c r="CD46" s="252" t="n">
        <f aca="false">IF(SUM(CD44:CD45)=CD44*COUNT(CD44:CD45),1,0)</f>
        <v>1</v>
      </c>
      <c r="CE46" s="252" t="n">
        <f aca="false">IF(SUM(CE44:CE45)=CE44*COUNT(CE44:CE45),1,0)</f>
        <v>0</v>
      </c>
      <c r="CF46" s="252" t="n">
        <f aca="false">IF(SUM(CF44:CF45)=CF44*COUNT(CF44:CF45),1,0)</f>
        <v>0</v>
      </c>
      <c r="CG46" s="252" t="n">
        <f aca="false">IF(SUM(CG44:CG45)=CG44*COUNT(CG44:CG45),1,0)</f>
        <v>0</v>
      </c>
      <c r="CH46" s="252" t="n">
        <f aca="false">IF(SUM(CH44:CH45)=CH44*COUNT(CH44:CH45),1,0)</f>
        <v>0</v>
      </c>
      <c r="CI46" s="252"/>
      <c r="CJ46" s="252" t="n">
        <f aca="false">IF(SUM(CJ44:CJ45)=CJ44*COUNT(CJ44:CJ45),1,0)</f>
        <v>1</v>
      </c>
      <c r="CK46" s="222"/>
      <c r="CL46" s="222" t="n">
        <f aca="false">COUNT(B46:CJ46)</f>
        <v>86</v>
      </c>
      <c r="CM46" s="253" t="n">
        <f aca="false">COUNTIF(B46:CJ46,0)/CL46</f>
        <v>0.395348837209302</v>
      </c>
    </row>
  </sheetData>
  <conditionalFormatting sqref="B9:CJ9 B16:CJ16 B25:CJ25 B31:CJ31 B38:CJ38 B43:CJ43 B46:CJ46">
    <cfRule type="cellIs" priority="2" operator="equal" aboveAverage="0" equalAverage="0" bottom="0" percent="0" rank="0" text="" dxfId="3">
      <formula>1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2A6099"/>
    <pageSetUpPr fitToPage="false"/>
  </sheetPr>
  <dimension ref="A1:AR119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1" ySplit="1" topLeftCell="B67" activePane="bottomRight" state="frozen"/>
      <selection pane="topLeft" activeCell="A1" activeCellId="0" sqref="A1"/>
      <selection pane="topRight" activeCell="B1" activeCellId="0" sqref="B1"/>
      <selection pane="bottomLeft" activeCell="A67" activeCellId="0" sqref="A67"/>
      <selection pane="bottomRight" activeCell="A92" activeCellId="0" sqref="A9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8" width="12.61"/>
    <col collapsed="false" customWidth="true" hidden="false" outlineLevel="0" max="2" min="2" style="18" width="50.16"/>
    <col collapsed="false" customWidth="true" hidden="false" outlineLevel="0" max="6" min="3" style="18" width="14.92"/>
    <col collapsed="false" customWidth="true" hidden="false" outlineLevel="0" max="7" min="7" style="23" width="14.48"/>
    <col collapsed="false" customWidth="true" hidden="false" outlineLevel="0" max="9" min="8" style="23" width="14.6"/>
    <col collapsed="false" customWidth="true" hidden="false" outlineLevel="0" max="10" min="10" style="23" width="13.65"/>
    <col collapsed="false" customWidth="true" hidden="false" outlineLevel="0" max="11" min="11" style="254" width="13.65"/>
    <col collapsed="false" customWidth="true" hidden="false" outlineLevel="0" max="12" min="12" style="255" width="13.65"/>
    <col collapsed="false" customWidth="true" hidden="false" outlineLevel="0" max="13" min="13" style="23" width="13.65"/>
    <col collapsed="false" customWidth="true" hidden="false" outlineLevel="0" max="14" min="14" style="23" width="15.51"/>
    <col collapsed="false" customWidth="true" hidden="false" outlineLevel="0" max="16" min="15" style="23" width="13.65"/>
    <col collapsed="false" customWidth="true" hidden="false" outlineLevel="0" max="17" min="17" style="47" width="13.65"/>
    <col collapsed="false" customWidth="true" hidden="false" outlineLevel="0" max="18" min="18" style="254" width="13.65"/>
    <col collapsed="false" customWidth="true" hidden="false" outlineLevel="0" max="24" min="19" style="18" width="13.65"/>
    <col collapsed="false" customWidth="true" hidden="false" outlineLevel="0" max="25" min="25" style="256" width="13.65"/>
    <col collapsed="false" customWidth="true" hidden="false" outlineLevel="0" max="26" min="26" style="21" width="14.6"/>
    <col collapsed="false" customWidth="true" hidden="false" outlineLevel="0" max="29" min="27" style="18" width="14.6"/>
    <col collapsed="false" customWidth="true" hidden="false" outlineLevel="0" max="30" min="30" style="256" width="13.65"/>
    <col collapsed="false" customWidth="true" hidden="false" outlineLevel="0" max="31" min="31" style="21" width="14.6"/>
    <col collapsed="false" customWidth="true" hidden="false" outlineLevel="0" max="32" min="32" style="18" width="15.19"/>
    <col collapsed="false" customWidth="true" hidden="false" outlineLevel="0" max="34" min="33" style="18" width="14.33"/>
    <col collapsed="false" customWidth="true" hidden="false" outlineLevel="0" max="35" min="35" style="18" width="14.98"/>
    <col collapsed="false" customWidth="true" hidden="false" outlineLevel="0" max="36" min="36" style="256" width="14.55"/>
    <col collapsed="false" customWidth="true" hidden="false" outlineLevel="0" max="37" min="37" style="21" width="14.92"/>
    <col collapsed="false" customWidth="true" hidden="false" outlineLevel="0" max="38" min="38" style="18" width="14.12"/>
    <col collapsed="false" customWidth="true" hidden="false" outlineLevel="0" max="40" min="39" style="18" width="14.55"/>
    <col collapsed="false" customWidth="true" hidden="false" outlineLevel="0" max="41" min="41" style="256" width="14.92"/>
    <col collapsed="false" customWidth="true" hidden="false" outlineLevel="0" max="42" min="42" style="21" width="14.33"/>
    <col collapsed="false" customWidth="true" hidden="false" outlineLevel="0" max="43" min="43" style="18" width="14.98"/>
    <col collapsed="false" customWidth="true" hidden="false" outlineLevel="0" max="44" min="44" style="1" width="14.09"/>
  </cols>
  <sheetData>
    <row r="1" customFormat="false" ht="12.8" hidden="false" customHeight="false" outlineLevel="0" collapsed="false">
      <c r="A1" s="257" t="s">
        <v>348</v>
      </c>
      <c r="B1" s="23" t="s">
        <v>349</v>
      </c>
      <c r="C1" s="24" t="s">
        <v>44</v>
      </c>
      <c r="D1" s="44" t="s">
        <v>49</v>
      </c>
      <c r="E1" s="23" t="s">
        <v>42</v>
      </c>
      <c r="F1" s="28" t="s">
        <v>41</v>
      </c>
      <c r="G1" s="23" t="s">
        <v>40</v>
      </c>
      <c r="H1" s="28" t="s">
        <v>38</v>
      </c>
      <c r="I1" s="23" t="s">
        <v>37</v>
      </c>
      <c r="J1" s="28" t="s">
        <v>36</v>
      </c>
      <c r="K1" s="254" t="s">
        <v>35</v>
      </c>
      <c r="L1" s="24" t="s">
        <v>34</v>
      </c>
      <c r="M1" s="23" t="s">
        <v>33</v>
      </c>
      <c r="N1" s="24" t="s">
        <v>32</v>
      </c>
      <c r="O1" s="24" t="s">
        <v>50</v>
      </c>
      <c r="P1" s="23" t="s">
        <v>51</v>
      </c>
      <c r="Q1" s="47" t="s">
        <v>52</v>
      </c>
      <c r="R1" s="254" t="s">
        <v>53</v>
      </c>
      <c r="S1" s="23" t="s">
        <v>54</v>
      </c>
      <c r="T1" s="24" t="s">
        <v>55</v>
      </c>
      <c r="U1" s="23" t="s">
        <v>56</v>
      </c>
      <c r="V1" s="23" t="s">
        <v>57</v>
      </c>
      <c r="W1" s="28" t="s">
        <v>58</v>
      </c>
      <c r="X1" s="28" t="s">
        <v>59</v>
      </c>
      <c r="Y1" s="45" t="s">
        <v>60</v>
      </c>
      <c r="Z1" s="254" t="s">
        <v>61</v>
      </c>
      <c r="AA1" s="23" t="s">
        <v>62</v>
      </c>
      <c r="AB1" s="24" t="s">
        <v>63</v>
      </c>
      <c r="AC1" s="23" t="s">
        <v>64</v>
      </c>
      <c r="AD1" s="47" t="s">
        <v>65</v>
      </c>
      <c r="AE1" s="254" t="s">
        <v>66</v>
      </c>
      <c r="AF1" s="23" t="s">
        <v>67</v>
      </c>
      <c r="AG1" s="24" t="s">
        <v>68</v>
      </c>
      <c r="AH1" s="23" t="s">
        <v>69</v>
      </c>
      <c r="AI1" s="23" t="s">
        <v>70</v>
      </c>
      <c r="AJ1" s="45" t="s">
        <v>71</v>
      </c>
      <c r="AK1" s="254" t="s">
        <v>72</v>
      </c>
      <c r="AL1" s="23" t="s">
        <v>73</v>
      </c>
      <c r="AM1" s="24" t="s">
        <v>74</v>
      </c>
      <c r="AN1" s="23" t="s">
        <v>75</v>
      </c>
      <c r="AO1" s="47" t="s">
        <v>76</v>
      </c>
      <c r="AP1" s="254" t="s">
        <v>77</v>
      </c>
      <c r="AQ1" s="23" t="s">
        <v>78</v>
      </c>
      <c r="AR1" s="24" t="s">
        <v>79</v>
      </c>
    </row>
    <row r="2" customFormat="false" ht="12.8" hidden="false" customHeight="false" outlineLevel="0" collapsed="false">
      <c r="A2" s="23" t="s">
        <v>278</v>
      </c>
      <c r="B2" s="258" t="s">
        <v>350</v>
      </c>
      <c r="C2" s="247" t="n">
        <f aca="false">VLOOKUP(B2,[1]Sheet1!A$1:B$1048576,2,0)</f>
        <v>300</v>
      </c>
      <c r="D2" s="247" t="n">
        <f aca="false">VLOOKUP(B2,[2]Sheet1!A$6:B$360,2,0)</f>
        <v>300</v>
      </c>
      <c r="E2" s="247" t="n">
        <f aca="false">VLOOKUP(B2,[3]Sheet1!A$6:B$360,2,0)</f>
        <v>300</v>
      </c>
      <c r="F2" s="247" t="n">
        <f aca="false">VLOOKUP(B2,[4]Sheet1!A$6:B$360,2,0)</f>
        <v>300</v>
      </c>
      <c r="G2" s="247" t="n">
        <f aca="false">VLOOKUP(B2,[5]Sheet1!A$6:B$360,2,0)</f>
        <v>300</v>
      </c>
      <c r="H2" s="247" t="n">
        <f aca="false">VLOOKUP(B2,[6]Sheet1!A$6:B$360,2,0)</f>
        <v>300</v>
      </c>
      <c r="I2" s="247" t="n">
        <f aca="false">VLOOKUP(B2,[7]Sheet1!A$6:B$360,2,0)</f>
        <v>300</v>
      </c>
      <c r="J2" s="247" t="n">
        <f aca="false">VLOOKUP(B2,[8]Sheet1!A$6:B$360,2,0)</f>
        <v>300</v>
      </c>
      <c r="K2" s="259" t="n">
        <f aca="false">VLOOKUP(B2,[9]Sheet1!A$6:B$360,2,0)</f>
        <v>300</v>
      </c>
      <c r="L2" s="260" t="n">
        <f aca="false">VLOOKUP(B2,[10]Sheet1!A$1:B$1048576,2,0)</f>
        <v>300</v>
      </c>
      <c r="M2" s="247" t="n">
        <f aca="false">VLOOKUP(B2,[11]Sheet1!A$6:B$360,2,0)</f>
        <v>300</v>
      </c>
      <c r="N2" s="247" t="n">
        <f aca="false">VLOOKUP(B2,[12]Sheet1!A$6:B$360,2,0)</f>
        <v>300</v>
      </c>
      <c r="O2" s="247" t="n">
        <f aca="false">VLOOKUP(B2,[13]Sheet1!A$6:B$360,2,0)</f>
        <v>300</v>
      </c>
      <c r="P2" s="247" t="n">
        <f aca="false">VLOOKUP(B2,[14]Sheet1!A$6:B$360,2,0)</f>
        <v>300</v>
      </c>
      <c r="Q2" s="261" t="n">
        <f aca="false">VLOOKUP(B2,[15]Sheet1!A$6:B$360,2,0)</f>
        <v>300</v>
      </c>
      <c r="R2" s="262" t="n">
        <f aca="false">VLOOKUP(B2,[16]Sheet1!A$6:B$360,2,0)</f>
        <v>300</v>
      </c>
      <c r="S2" s="247" t="n">
        <f aca="false">VLOOKUP(B2,[17]Sheet1!A$6:B$360,2,0)</f>
        <v>300</v>
      </c>
      <c r="T2" s="247" t="n">
        <f aca="false">VLOOKUP(B2,[18]Sheet1!A$6:B$360,2,0)</f>
        <v>300</v>
      </c>
      <c r="U2" s="247" t="n">
        <f aca="false">VLOOKUP(B2,[19]Sheet1!A$6:B$360,2,0)</f>
        <v>300</v>
      </c>
      <c r="V2" s="247" t="n">
        <f aca="false">VLOOKUP(B2,[20]Sheet1!A$6:B$360,2,0)</f>
        <v>300</v>
      </c>
      <c r="W2" s="247" t="n">
        <f aca="false">VLOOKUP(B2,[21]Sheet1!A$6:B$360,2,0)</f>
        <v>300</v>
      </c>
      <c r="X2" s="247" t="n">
        <f aca="false">VLOOKUP(B2,[22]Sheet1!A$6:B$360,2,0)</f>
        <v>300</v>
      </c>
      <c r="Y2" s="263" t="n">
        <f aca="false">VLOOKUP(B2,[23]Sheet1!A$6:B$360,2,0)</f>
        <v>300</v>
      </c>
      <c r="Z2" s="259" t="n">
        <f aca="false">VLOOKUP(B2,[24]Sheet1!A$6:B$360,2,0)</f>
        <v>300</v>
      </c>
      <c r="AA2" s="247" t="n">
        <f aca="false">VLOOKUP(B2,[25]Sheet1!A$6:B$360,2,0)</f>
        <v>300</v>
      </c>
      <c r="AB2" s="247" t="n">
        <f aca="false">VLOOKUP(B2,[26]Sheet1!A$6:B$360,2,0)</f>
        <v>300</v>
      </c>
      <c r="AC2" s="247" t="n">
        <f aca="false">VLOOKUP(B2,[27]Sheet1!A$6:B$360,2,0)</f>
        <v>300</v>
      </c>
      <c r="AD2" s="263" t="n">
        <f aca="false">VLOOKUP(B2,[28]Sheet1!A$6:B$360,2,0)</f>
        <v>300</v>
      </c>
      <c r="AE2" s="259" t="n">
        <f aca="false">VLOOKUP(B2,[29]Sheet1!A$6:B$360,2,0)</f>
        <v>300</v>
      </c>
      <c r="AF2" s="247" t="n">
        <f aca="false">VLOOKUP(B2,[30]Sheet1!A$6:B$360,2,0)</f>
        <v>300</v>
      </c>
      <c r="AG2" s="247" t="n">
        <f aca="false">VLOOKUP(B2,[31]Sheet1!A$6:B$360,2,0)</f>
        <v>300</v>
      </c>
      <c r="AH2" s="247" t="n">
        <f aca="false">VLOOKUP(B2,[32]Sheet1!A$6:B$360,2,0)</f>
        <v>300</v>
      </c>
      <c r="AI2" s="247" t="n">
        <f aca="false">VLOOKUP(B2,[33]Sheet1!A$6:B$360,2,0)</f>
        <v>300</v>
      </c>
      <c r="AJ2" s="263" t="n">
        <f aca="false">VLOOKUP(B2,[34]Sheet1!A$6:B$360,2,0)</f>
        <v>300</v>
      </c>
      <c r="AK2" s="259" t="n">
        <f aca="false">VLOOKUP(B2,[35]Sheet1!A$6:B$360,2,0)</f>
        <v>300</v>
      </c>
      <c r="AL2" s="247" t="n">
        <f aca="false">VLOOKUP(B2,[36]Sheet1!A$6:B$360,2,0)</f>
        <v>300</v>
      </c>
      <c r="AM2" s="247" t="n">
        <f aca="false">VLOOKUP(B2,[37]Sheet1!A$6:B$360,2,0)</f>
        <v>300</v>
      </c>
      <c r="AN2" s="247" t="n">
        <f aca="false">VLOOKUP(B2,[38]Sheet1!A$6:B$360,2,0)</f>
        <v>500</v>
      </c>
      <c r="AO2" s="263" t="n">
        <f aca="false">VLOOKUP(B2,[39]Sheet1!A$6:B$360,2,0)</f>
        <v>2800</v>
      </c>
      <c r="AP2" s="259" t="n">
        <f aca="false">VLOOKUP(B2,[40]Sheet1!A$6:B$360,2,0)</f>
        <v>2800</v>
      </c>
      <c r="AQ2" s="247" t="n">
        <f aca="false">VLOOKUP(B2,[41]Sheet1!A$6:B$360,2,0)</f>
        <v>2800</v>
      </c>
      <c r="AR2" s="247" t="n">
        <f aca="false">VLOOKUP(B2,[42]Sheet1!A$6:B$360,2,0)</f>
        <v>2800</v>
      </c>
    </row>
    <row r="3" customFormat="false" ht="12.8" hidden="false" customHeight="false" outlineLevel="0" collapsed="false">
      <c r="A3" s="23" t="s">
        <v>197</v>
      </c>
      <c r="B3" s="258" t="s">
        <v>351</v>
      </c>
      <c r="C3" s="247" t="n">
        <f aca="false">VLOOKUP(B3,[1]Sheet1!A$1:B$1048576,2,0)</f>
        <v>1646</v>
      </c>
      <c r="D3" s="247" t="n">
        <f aca="false">VLOOKUP(B3,[2]Sheet1!A$6:B$360,2,0)</f>
        <v>1500</v>
      </c>
      <c r="E3" s="247" t="n">
        <f aca="false">VLOOKUP(B3,[3]Sheet1!A$6:B$360,2,0)</f>
        <v>1500</v>
      </c>
      <c r="F3" s="247" t="n">
        <f aca="false">VLOOKUP(B3,[4]Sheet1!A$6:B$360,2,0)</f>
        <v>1500</v>
      </c>
      <c r="G3" s="247" t="n">
        <f aca="false">VLOOKUP(B3,[5]Sheet1!A$6:B$360,2,0)</f>
        <v>1600</v>
      </c>
      <c r="H3" s="247" t="n">
        <f aca="false">VLOOKUP(B3,[6]Sheet1!A$6:B$360,2,0)</f>
        <v>1200</v>
      </c>
      <c r="I3" s="247" t="n">
        <f aca="false">VLOOKUP(B3,[7]Sheet1!A$6:B$360,2,0)</f>
        <v>1200</v>
      </c>
      <c r="J3" s="247" t="n">
        <f aca="false">VLOOKUP(B3,[8]Sheet1!A$6:B$360,2,0)</f>
        <v>1200</v>
      </c>
      <c r="K3" s="259" t="n">
        <f aca="false">VLOOKUP(B3,[9]Sheet1!A$6:B$360,2,0)</f>
        <v>1000</v>
      </c>
      <c r="L3" s="260" t="n">
        <f aca="false">VLOOKUP(B3,[10]Sheet1!A$1:B$1048576,2,0)</f>
        <v>1000</v>
      </c>
      <c r="M3" s="247" t="n">
        <f aca="false">VLOOKUP(B3,[11]Sheet1!A$6:B$360,2,0)</f>
        <v>865</v>
      </c>
      <c r="N3" s="247" t="n">
        <f aca="false">VLOOKUP(B3,[12]Sheet1!A$6:B$360,2,0)</f>
        <v>865</v>
      </c>
      <c r="O3" s="247" t="n">
        <f aca="false">VLOOKUP(B3,[13]Sheet1!A$6:B$360,2,0)</f>
        <v>865</v>
      </c>
      <c r="P3" s="247" t="n">
        <f aca="false">VLOOKUP(B3,[14]Sheet1!A$6:B$360,2,0)</f>
        <v>722</v>
      </c>
      <c r="Q3" s="261" t="n">
        <f aca="false">VLOOKUP(B3,[15]Sheet1!A$6:B$360,2,0)</f>
        <v>722</v>
      </c>
      <c r="R3" s="259" t="n">
        <f aca="false">VLOOKUP(B3,[16]Sheet1!A$6:B$360,2,0)</f>
        <v>840</v>
      </c>
      <c r="S3" s="247" t="n">
        <f aca="false">VLOOKUP(B3,[17]Sheet1!A$6:B$360,2,0)</f>
        <v>815</v>
      </c>
      <c r="T3" s="247" t="n">
        <f aca="false">VLOOKUP(B3,[18]Sheet1!A$6:B$360,2,0)</f>
        <v>815</v>
      </c>
      <c r="U3" s="247" t="n">
        <f aca="false">VLOOKUP(B3,[19]Sheet1!A$6:B$360,2,0)</f>
        <v>805</v>
      </c>
      <c r="V3" s="247" t="n">
        <f aca="false">VLOOKUP(B3,[20]Sheet1!A$6:B$360,2,0)</f>
        <v>760</v>
      </c>
      <c r="W3" s="247" t="n">
        <f aca="false">VLOOKUP(B3,[21]Sheet1!A$6:B$360,2,0)</f>
        <v>750</v>
      </c>
      <c r="X3" s="247" t="n">
        <f aca="false">VLOOKUP(B3,[22]Sheet1!A$6:B$360,2,0)</f>
        <v>750</v>
      </c>
      <c r="Y3" s="263" t="n">
        <f aca="false">VLOOKUP(B3,[23]Sheet1!A$6:B$360,2,0)</f>
        <v>732</v>
      </c>
      <c r="Z3" s="259" t="n">
        <f aca="false">VLOOKUP(B3,[24]Sheet1!A$6:B$360,2,0)</f>
        <v>700</v>
      </c>
      <c r="AA3" s="247" t="n">
        <f aca="false">VLOOKUP(B3,[25]Sheet1!A$6:B$360,2,0)</f>
        <v>700</v>
      </c>
      <c r="AB3" s="247" t="n">
        <f aca="false">VLOOKUP(B3,[26]Sheet1!A$6:B$360,2,0)</f>
        <v>652</v>
      </c>
      <c r="AC3" s="247" t="n">
        <f aca="false">VLOOKUP(B3,[27]Sheet1!A$6:B$360,2,0)</f>
        <v>661</v>
      </c>
      <c r="AD3" s="263" t="n">
        <f aca="false">VLOOKUP(B3,[28]Sheet1!A$6:B$360,2,0)</f>
        <v>750</v>
      </c>
      <c r="AE3" s="259" t="n">
        <f aca="false">VLOOKUP(B3,[29]Sheet1!A$6:B$360,2,0)</f>
        <v>679</v>
      </c>
      <c r="AF3" s="247" t="n">
        <f aca="false">VLOOKUP(B3,[30]Sheet1!A$6:B$360,2,0)</f>
        <v>618</v>
      </c>
      <c r="AG3" s="247" t="n">
        <f aca="false">VLOOKUP(B3,[31]Sheet1!A$6:B$360,2,0)</f>
        <v>618</v>
      </c>
      <c r="AH3" s="247" t="n">
        <f aca="false">VLOOKUP(B3,[32]Sheet1!A$6:B$360,2,0)</f>
        <v>618</v>
      </c>
      <c r="AI3" s="247" t="n">
        <f aca="false">VLOOKUP(B3,[33]Sheet1!A$6:B$360,2,0)</f>
        <v>660</v>
      </c>
      <c r="AJ3" s="263" t="n">
        <f aca="false">VLOOKUP(B3,[34]Sheet1!A$6:B$360,2,0)</f>
        <v>660</v>
      </c>
      <c r="AK3" s="259" t="n">
        <f aca="false">VLOOKUP(B3,[35]Sheet1!A$6:B$360,2,0)</f>
        <v>660</v>
      </c>
      <c r="AL3" s="247" t="n">
        <f aca="false">VLOOKUP(B3,[36]Sheet1!A$6:B$360,2,0)</f>
        <v>660</v>
      </c>
      <c r="AM3" s="247" t="n">
        <f aca="false">VLOOKUP(B3,[37]Sheet1!A$6:B$360,2,0)</f>
        <v>679</v>
      </c>
      <c r="AN3" s="247" t="n">
        <f aca="false">VLOOKUP(B3,[38]Sheet1!A$6:B$360,2,0)</f>
        <v>679</v>
      </c>
      <c r="AO3" s="263" t="n">
        <f aca="false">VLOOKUP(B3,[39]Sheet1!A$6:B$360,2,0)</f>
        <v>691</v>
      </c>
      <c r="AP3" s="259" t="n">
        <f aca="false">VLOOKUP(B3,[40]Sheet1!A$6:B$360,2,0)</f>
        <v>660</v>
      </c>
      <c r="AQ3" s="247" t="n">
        <f aca="false">VLOOKUP(B3,[41]Sheet1!A$6:B$360,2,0)</f>
        <v>560</v>
      </c>
      <c r="AR3" s="247" t="n">
        <f aca="false">VLOOKUP(B3,[42]Sheet1!A$6:B$360,2,0)</f>
        <v>574</v>
      </c>
    </row>
    <row r="4" customFormat="false" ht="12.8" hidden="false" customHeight="false" outlineLevel="0" collapsed="false">
      <c r="A4" s="264" t="s">
        <v>30</v>
      </c>
      <c r="B4" s="265" t="s">
        <v>352</v>
      </c>
      <c r="C4" s="247" t="n">
        <f aca="false">VLOOKUP(B4,[1]Sheet1!A$1:B$1048576,2,0)</f>
        <v>22269.03</v>
      </c>
      <c r="D4" s="247" t="n">
        <f aca="false">VLOOKUP(B4,[2]Sheet1!A$6:B$360,2,0)</f>
        <v>22010.9</v>
      </c>
      <c r="E4" s="247" t="n">
        <f aca="false">VLOOKUP(B4,[3]Sheet1!A$6:B$360,2,0)</f>
        <v>22298.95</v>
      </c>
      <c r="F4" s="247" t="n">
        <f aca="false">VLOOKUP(B4,[4]Sheet1!A$6:B$360,2,0)</f>
        <v>22128.55</v>
      </c>
      <c r="G4" s="247" t="n">
        <f aca="false">VLOOKUP(B4,[5]Sheet1!A$6:B$360,2,0)</f>
        <v>20589</v>
      </c>
      <c r="H4" s="247" t="n">
        <f aca="false">VLOOKUP(B4,[6]Sheet1!A$6:B$360,2,0)</f>
        <v>20077.78</v>
      </c>
      <c r="I4" s="247" t="n">
        <f aca="false">VLOOKUP(B4,[7]Sheet1!A$6:B$360,2,0)</f>
        <v>20395.21</v>
      </c>
      <c r="J4" s="247" t="n">
        <f aca="false">VLOOKUP(B4,[8]Sheet1!A$6:B$360,2,0)</f>
        <v>20247.21</v>
      </c>
      <c r="K4" s="259" t="n">
        <f aca="false">VLOOKUP(B4,[9]Sheet1!A$6:B$360,2,0)</f>
        <v>18154.55</v>
      </c>
      <c r="L4" s="260" t="n">
        <f aca="false">VLOOKUP(B4,[10]Sheet1!A$1:B$1048576,2,0)</f>
        <v>17701.27</v>
      </c>
      <c r="M4" s="247" t="n">
        <f aca="false">VLOOKUP(B4,[11]Sheet1!A$6:B$360,2,0)</f>
        <v>17587.5</v>
      </c>
      <c r="N4" s="247" t="n">
        <f aca="false">VLOOKUP(B4,[12]Sheet1!A$6:B$360,2,0)</f>
        <v>17514.13</v>
      </c>
      <c r="O4" s="247" t="n">
        <f aca="false">VLOOKUP(B4,[13]Sheet1!A$6:B$360,2,0)</f>
        <v>17494.54</v>
      </c>
      <c r="P4" s="247" t="n">
        <f aca="false">VLOOKUP(B4,[14]Sheet1!A$6:B$360,2,0)</f>
        <v>17848.48</v>
      </c>
      <c r="Q4" s="261" t="n">
        <f aca="false">VLOOKUP(B4,[15]Sheet1!A$6:B$360,2,0)</f>
        <v>17914.64</v>
      </c>
      <c r="R4" s="259" t="n">
        <f aca="false">VLOOKUP(B4,[16]Sheet1!A$6:B$360,2,0)</f>
        <v>17157.28</v>
      </c>
      <c r="S4" s="247" t="n">
        <f aca="false">VLOOKUP(B4,[17]Sheet1!A$6:B$360,2,0)</f>
        <v>16070.28</v>
      </c>
      <c r="T4" s="247" t="n">
        <f aca="false">VLOOKUP(B4,[18]Sheet1!A$6:B$360,2,0)</f>
        <v>16869.57</v>
      </c>
      <c r="U4" s="247" t="n">
        <f aca="false">VLOOKUP(B4,[19]Sheet1!A$6:B$360,2,0)</f>
        <v>16752.41</v>
      </c>
      <c r="V4" s="247" t="n">
        <f aca="false">VLOOKUP(B4,[20]Sheet1!A$6:B$360,2,0)</f>
        <v>18000</v>
      </c>
      <c r="W4" s="247" t="n">
        <f aca="false">VLOOKUP(B4,[21]Sheet1!A$6:B$360,2,0)</f>
        <v>17535.51</v>
      </c>
      <c r="X4" s="247" t="n">
        <f aca="false">VLOOKUP(B4,[22]Sheet1!A$6:B$360,2,0)</f>
        <v>16473.99</v>
      </c>
      <c r="Y4" s="263" t="n">
        <f aca="false">VLOOKUP(B4,[23]Sheet1!A$6:B$360,2,0)</f>
        <v>18204.9</v>
      </c>
      <c r="Z4" s="259" t="n">
        <f aca="false">VLOOKUP(B4,[24]Sheet1!A$6:B$360,2,0)</f>
        <v>18440.17</v>
      </c>
      <c r="AA4" s="247" t="n">
        <f aca="false">VLOOKUP(B4,[25]Sheet1!A$6:B$360,2,0)</f>
        <v>17114.19</v>
      </c>
      <c r="AB4" s="247" t="n">
        <f aca="false">VLOOKUP(B4,[26]Sheet1!A$6:B$360,2,0)</f>
        <v>17943.42</v>
      </c>
      <c r="AC4" s="247" t="n">
        <f aca="false">VLOOKUP(B4,[27]Sheet1!A$6:B$360,2,0)</f>
        <v>15500</v>
      </c>
      <c r="AD4" s="263" t="n">
        <f aca="false">VLOOKUP(B4,[28]Sheet1!A$6:B$360,2,0)</f>
        <v>14294.12</v>
      </c>
      <c r="AE4" s="259" t="n">
        <f aca="false">VLOOKUP(B4,[29]Sheet1!A$6:B$360,2,0)</f>
        <v>13206.98</v>
      </c>
      <c r="AF4" s="247" t="n">
        <f aca="false">VLOOKUP(B4,[30]Sheet1!A$6:B$360,2,0)</f>
        <v>12500.05</v>
      </c>
      <c r="AG4" s="247" t="n">
        <f aca="false">VLOOKUP(B4,[31]Sheet1!A$6:B$360,2,0)</f>
        <v>12834.57</v>
      </c>
      <c r="AH4" s="247" t="n">
        <f aca="false">VLOOKUP(B4,[32]Sheet1!A$6:B$360,2,0)</f>
        <v>11905.05</v>
      </c>
      <c r="AI4" s="247" t="n">
        <f aca="false">VLOOKUP(B4,[33]Sheet1!A$6:B$360,2,0)</f>
        <v>9704.5</v>
      </c>
      <c r="AJ4" s="263" t="n">
        <f aca="false">VLOOKUP(B4,[34]Sheet1!A$6:B$360,2,0)</f>
        <v>13033.43</v>
      </c>
      <c r="AK4" s="259" t="n">
        <f aca="false">VLOOKUP(B4,[35]Sheet1!A$6:B$360,2,0)</f>
        <v>11900.13</v>
      </c>
      <c r="AL4" s="247" t="n">
        <f aca="false">VLOOKUP(B4,[36]Sheet1!A$6:B$360,2,0)</f>
        <v>11201.33</v>
      </c>
      <c r="AM4" s="247" t="n">
        <f aca="false">VLOOKUP(B4,[37]Sheet1!A$6:B$360,2,0)</f>
        <v>9997.06</v>
      </c>
      <c r="AN4" s="247" t="n">
        <f aca="false">VLOOKUP(B4,[38]Sheet1!A$6:B$360,2,0)</f>
        <v>9045.98</v>
      </c>
      <c r="AO4" s="263" t="n">
        <f aca="false">VLOOKUP(B4,[39]Sheet1!A$6:B$360,2,0)</f>
        <v>8500</v>
      </c>
      <c r="AP4" s="259" t="n">
        <f aca="false">VLOOKUP(B4,[40]Sheet1!A$6:B$360,2,0)</f>
        <v>8200.64</v>
      </c>
      <c r="AQ4" s="247" t="n">
        <f aca="false">VLOOKUP(B4,[41]Sheet1!A$6:B$360,2,0)</f>
        <v>8352.34</v>
      </c>
      <c r="AR4" s="247" t="n">
        <f aca="false">VLOOKUP(B4,[42]Sheet1!A$6:B$360,2,0)</f>
        <v>8047.66</v>
      </c>
    </row>
    <row r="5" customFormat="false" ht="12.8" hidden="false" customHeight="false" outlineLevel="0" collapsed="false">
      <c r="A5" s="23" t="s">
        <v>279</v>
      </c>
      <c r="B5" s="258" t="s">
        <v>353</v>
      </c>
      <c r="C5" s="247" t="n">
        <f aca="false">VLOOKUP(B5,[1]Sheet1!A$1:B$1048576,2,0)</f>
        <v>750</v>
      </c>
      <c r="D5" s="247" t="n">
        <f aca="false">VLOOKUP(B5,[2]Sheet1!A$6:B$360,2,0)</f>
        <v>750</v>
      </c>
      <c r="E5" s="247" t="n">
        <f aca="false">VLOOKUP(B5,[3]Sheet1!A$6:B$360,2,0)</f>
        <v>750</v>
      </c>
      <c r="F5" s="247" t="n">
        <f aca="false">VLOOKUP(B5,[4]Sheet1!A$6:B$360,2,0)</f>
        <v>750</v>
      </c>
      <c r="G5" s="247" t="n">
        <f aca="false">VLOOKUP(B5,[5]Sheet1!A$6:B$360,2,0)</f>
        <v>750</v>
      </c>
      <c r="H5" s="247" t="n">
        <f aca="false">VLOOKUP(B5,[6]Sheet1!A$6:B$360,2,0)</f>
        <v>750</v>
      </c>
      <c r="I5" s="247" t="n">
        <f aca="false">VLOOKUP(B5,[7]Sheet1!A$6:B$360,2,0)</f>
        <v>750</v>
      </c>
      <c r="J5" s="247" t="n">
        <f aca="false">VLOOKUP(B5,[8]Sheet1!A$6:B$360,2,0)</f>
        <v>750</v>
      </c>
      <c r="K5" s="259" t="n">
        <f aca="false">VLOOKUP(B5,[9]Sheet1!A$6:B$360,2,0)</f>
        <v>750</v>
      </c>
      <c r="L5" s="260" t="n">
        <f aca="false">VLOOKUP(B5,[10]Sheet1!A$1:B$1048576,2,0)</f>
        <v>750</v>
      </c>
      <c r="M5" s="247" t="n">
        <f aca="false">VLOOKUP(B5,[11]Sheet1!A$6:B$360,2,0)</f>
        <v>750</v>
      </c>
      <c r="N5" s="247" t="n">
        <f aca="false">VLOOKUP(B5,[12]Sheet1!A$6:B$360,2,0)</f>
        <v>750</v>
      </c>
      <c r="O5" s="247" t="n">
        <f aca="false">VLOOKUP(B5,[13]Sheet1!A$6:B$360,2,0)</f>
        <v>750</v>
      </c>
      <c r="P5" s="247" t="n">
        <f aca="false">VLOOKUP(B5,[14]Sheet1!A$6:B$360,2,0)</f>
        <v>750</v>
      </c>
      <c r="Q5" s="261" t="n">
        <f aca="false">VLOOKUP(B5,[15]Sheet1!A$6:B$360,2,0)</f>
        <v>750</v>
      </c>
      <c r="R5" s="259" t="n">
        <f aca="false">VLOOKUP(B5,[16]Sheet1!A$6:B$360,2,0)</f>
        <v>750</v>
      </c>
      <c r="S5" s="247" t="n">
        <f aca="false">VLOOKUP(B5,[17]Sheet1!A$6:B$360,2,0)</f>
        <v>750</v>
      </c>
      <c r="T5" s="247" t="n">
        <f aca="false">VLOOKUP(B5,[18]Sheet1!A$6:B$360,2,0)</f>
        <v>750</v>
      </c>
      <c r="U5" s="247" t="n">
        <f aca="false">VLOOKUP(B5,[19]Sheet1!A$6:B$360,2,0)</f>
        <v>750</v>
      </c>
      <c r="V5" s="247" t="n">
        <f aca="false">VLOOKUP(B5,[20]Sheet1!A$6:B$360,2,0)</f>
        <v>750</v>
      </c>
      <c r="W5" s="247" t="n">
        <f aca="false">VLOOKUP(B5,[21]Sheet1!A$6:B$360,2,0)</f>
        <v>750</v>
      </c>
      <c r="X5" s="247" t="n">
        <f aca="false">VLOOKUP(B5,[22]Sheet1!A$6:B$360,2,0)</f>
        <v>750</v>
      </c>
      <c r="Y5" s="263" t="n">
        <f aca="false">VLOOKUP(B5,[23]Sheet1!A$6:B$360,2,0)</f>
        <v>750</v>
      </c>
      <c r="Z5" s="259" t="n">
        <f aca="false">VLOOKUP(B5,[24]Sheet1!A$6:B$360,2,0)</f>
        <v>750</v>
      </c>
      <c r="AA5" s="247" t="n">
        <f aca="false">VLOOKUP(B5,[25]Sheet1!A$6:B$360,2,0)</f>
        <v>750</v>
      </c>
      <c r="AB5" s="247" t="n">
        <f aca="false">VLOOKUP(B5,[26]Sheet1!A$6:B$360,2,0)</f>
        <v>750</v>
      </c>
      <c r="AC5" s="247" t="n">
        <f aca="false">VLOOKUP(B5,[27]Sheet1!A$6:B$360,2,0)</f>
        <v>750</v>
      </c>
      <c r="AD5" s="263" t="n">
        <f aca="false">VLOOKUP(B5,[28]Sheet1!A$6:B$360,2,0)</f>
        <v>750</v>
      </c>
      <c r="AE5" s="259" t="n">
        <f aca="false">VLOOKUP(B5,[29]Sheet1!A$6:B$360,2,0)</f>
        <v>750</v>
      </c>
      <c r="AF5" s="247" t="n">
        <f aca="false">VLOOKUP(B5,[30]Sheet1!A$6:B$360,2,0)</f>
        <v>750</v>
      </c>
      <c r="AG5" s="247" t="n">
        <f aca="false">VLOOKUP(B5,[31]Sheet1!A$6:B$360,2,0)</f>
        <v>750</v>
      </c>
      <c r="AH5" s="247" t="n">
        <f aca="false">VLOOKUP(B5,[32]Sheet1!A$6:B$360,2,0)</f>
        <v>750</v>
      </c>
      <c r="AI5" s="247" t="n">
        <f aca="false">VLOOKUP(B5,[33]Sheet1!A$6:B$360,2,0)</f>
        <v>750</v>
      </c>
      <c r="AJ5" s="263" t="n">
        <f aca="false">VLOOKUP(B5,[34]Sheet1!A$6:B$360,2,0)</f>
        <v>750</v>
      </c>
      <c r="AK5" s="259" t="n">
        <f aca="false">VLOOKUP(B5,[35]Sheet1!A$6:B$360,2,0)</f>
        <v>750</v>
      </c>
      <c r="AL5" s="247" t="n">
        <f aca="false">VLOOKUP(B5,[36]Sheet1!A$6:B$360,2,0)</f>
        <v>750</v>
      </c>
      <c r="AM5" s="247" t="n">
        <f aca="false">VLOOKUP(B5,[37]Sheet1!A$6:B$360,2,0)</f>
        <v>750</v>
      </c>
      <c r="AN5" s="247" t="n">
        <f aca="false">VLOOKUP(B5,[38]Sheet1!A$6:B$360,2,0)</f>
        <v>750</v>
      </c>
      <c r="AO5" s="263" t="n">
        <f aca="false">VLOOKUP(B5,[39]Sheet1!A$6:B$360,2,0)</f>
        <v>750</v>
      </c>
      <c r="AP5" s="259" t="n">
        <f aca="false">VLOOKUP(B5,[40]Sheet1!A$6:B$360,2,0)</f>
        <v>750</v>
      </c>
      <c r="AQ5" s="247" t="n">
        <f aca="false">VLOOKUP(B5,[41]Sheet1!A$6:B$360,2,0)</f>
        <v>750</v>
      </c>
      <c r="AR5" s="247" t="n">
        <f aca="false">VLOOKUP(B5,[42]Sheet1!A$6:B$360,2,0)</f>
        <v>750</v>
      </c>
    </row>
    <row r="6" customFormat="false" ht="12.8" hidden="false" customHeight="false" outlineLevel="0" collapsed="false">
      <c r="A6" s="23" t="s">
        <v>280</v>
      </c>
      <c r="B6" s="258" t="s">
        <v>354</v>
      </c>
      <c r="C6" s="247" t="n">
        <f aca="false">VLOOKUP(B6,[1]Sheet1!A$1:B$1048576,2,0)</f>
        <v>2950</v>
      </c>
      <c r="D6" s="247" t="n">
        <f aca="false">VLOOKUP(B6,[2]Sheet1!A$6:B$360,2,0)</f>
        <v>2950</v>
      </c>
      <c r="E6" s="247" t="n">
        <f aca="false">VLOOKUP(B6,[3]Sheet1!A$6:B$360,2,0)</f>
        <v>2950</v>
      </c>
      <c r="F6" s="247" t="n">
        <f aca="false">VLOOKUP(B6,[4]Sheet1!A$6:B$360,2,0)</f>
        <v>2950</v>
      </c>
      <c r="G6" s="247" t="n">
        <f aca="false">VLOOKUP(B6,[5]Sheet1!A$6:B$360,2,0)</f>
        <v>2950</v>
      </c>
      <c r="H6" s="247" t="n">
        <f aca="false">VLOOKUP(B6,[6]Sheet1!A$6:B$360,2,0)</f>
        <v>2950</v>
      </c>
      <c r="I6" s="247" t="n">
        <f aca="false">VLOOKUP(B6,[7]Sheet1!A$6:B$360,2,0)</f>
        <v>2950</v>
      </c>
      <c r="J6" s="247" t="n">
        <f aca="false">VLOOKUP(B6,[8]Sheet1!A$6:B$360,2,0)</f>
        <v>2950</v>
      </c>
      <c r="K6" s="259" t="n">
        <f aca="false">VLOOKUP(B6,[9]Sheet1!A$6:B$360,2,0)</f>
        <v>2950</v>
      </c>
      <c r="L6" s="260" t="n">
        <f aca="false">VLOOKUP(B6,[10]Sheet1!A$1:B$1048576,2,0)</f>
        <v>3040</v>
      </c>
      <c r="M6" s="247" t="n">
        <f aca="false">VLOOKUP(B6,[11]Sheet1!A$6:B$360,2,0)</f>
        <v>3040</v>
      </c>
      <c r="N6" s="247" t="n">
        <f aca="false">VLOOKUP(B6,[12]Sheet1!A$6:B$360,2,0)</f>
        <v>2950</v>
      </c>
      <c r="O6" s="247" t="n">
        <f aca="false">VLOOKUP(B6,[13]Sheet1!A$6:B$360,2,0)</f>
        <v>3040</v>
      </c>
      <c r="P6" s="247" t="n">
        <f aca="false">VLOOKUP(B6,[14]Sheet1!A$6:B$360,2,0)</f>
        <v>2987</v>
      </c>
      <c r="Q6" s="261" t="n">
        <f aca="false">VLOOKUP(B6,[15]Sheet1!A$6:B$360,2,0)</f>
        <v>2900</v>
      </c>
      <c r="R6" s="259" t="n">
        <f aca="false">VLOOKUP(B6,[16]Sheet1!A$6:B$360,2,0)</f>
        <v>2700</v>
      </c>
      <c r="S6" s="247" t="n">
        <f aca="false">VLOOKUP(B6,[17]Sheet1!A$6:B$360,2,0)</f>
        <v>2700</v>
      </c>
      <c r="T6" s="247" t="n">
        <f aca="false">VLOOKUP(B6,[18]Sheet1!A$6:B$360,2,0)</f>
        <v>2700</v>
      </c>
      <c r="U6" s="247" t="n">
        <f aca="false">VLOOKUP(B6,[19]Sheet1!A$6:B$360,2,0)</f>
        <v>2500</v>
      </c>
      <c r="V6" s="247" t="n">
        <f aca="false">VLOOKUP(B6,[20]Sheet1!A$6:B$360,2,0)</f>
        <v>2700</v>
      </c>
      <c r="W6" s="247" t="n">
        <f aca="false">VLOOKUP(B6,[21]Sheet1!A$6:B$360,2,0)</f>
        <v>2700</v>
      </c>
      <c r="X6" s="247" t="n">
        <f aca="false">VLOOKUP(B6,[22]Sheet1!A$6:B$360,2,0)</f>
        <v>2700</v>
      </c>
      <c r="Y6" s="263" t="n">
        <f aca="false">VLOOKUP(B6,[23]Sheet1!A$6:B$360,2,0)</f>
        <v>2700</v>
      </c>
      <c r="Z6" s="259" t="n">
        <f aca="false">VLOOKUP(B6,[24]Sheet1!A$6:B$360,2,0)</f>
        <v>2507</v>
      </c>
      <c r="AA6" s="247" t="n">
        <f aca="false">VLOOKUP(B6,[25]Sheet1!A$6:B$360,2,0)</f>
        <v>2500</v>
      </c>
      <c r="AB6" s="247" t="n">
        <f aca="false">VLOOKUP(B6,[26]Sheet1!A$6:B$360,2,0)</f>
        <v>2500</v>
      </c>
      <c r="AC6" s="247" t="n">
        <f aca="false">VLOOKUP(B6,[27]Sheet1!A$6:B$360,2,0)</f>
        <v>2500</v>
      </c>
      <c r="AD6" s="263" t="n">
        <f aca="false">VLOOKUP(B6,[28]Sheet1!A$6:B$360,2,0)</f>
        <v>2292</v>
      </c>
      <c r="AE6" s="259" t="n">
        <f aca="false">VLOOKUP(B6,[29]Sheet1!A$6:B$360,2,0)</f>
        <v>2160</v>
      </c>
      <c r="AF6" s="247" t="n">
        <f aca="false">VLOOKUP(B6,[30]Sheet1!A$6:B$360,2,0)</f>
        <v>2100</v>
      </c>
      <c r="AG6" s="247" t="n">
        <f aca="false">VLOOKUP(B6,[31]Sheet1!A$6:B$360,2,0)</f>
        <v>2100</v>
      </c>
      <c r="AH6" s="247" t="n">
        <f aca="false">VLOOKUP(B6,[32]Sheet1!A$6:B$360,2,0)</f>
        <v>2200</v>
      </c>
      <c r="AI6" s="247" t="n">
        <f aca="false">VLOOKUP(B6,[33]Sheet1!A$6:B$360,2,0)</f>
        <v>2200</v>
      </c>
      <c r="AJ6" s="263" t="n">
        <f aca="false">VLOOKUP(B6,[34]Sheet1!A$6:B$360,2,0)</f>
        <v>2200</v>
      </c>
      <c r="AK6" s="259" t="n">
        <f aca="false">VLOOKUP(B6,[35]Sheet1!A$6:B$360,2,0)</f>
        <v>2398</v>
      </c>
      <c r="AL6" s="247" t="n">
        <f aca="false">VLOOKUP(B6,[36]Sheet1!A$6:B$360,2,0)</f>
        <v>2000</v>
      </c>
      <c r="AM6" s="247" t="n">
        <f aca="false">VLOOKUP(B6,[37]Sheet1!A$6:B$360,2,0)</f>
        <v>2000</v>
      </c>
      <c r="AN6" s="247" t="n">
        <f aca="false">VLOOKUP(B6,[38]Sheet1!A$6:B$360,2,0)</f>
        <v>2000</v>
      </c>
      <c r="AO6" s="263" t="n">
        <f aca="false">VLOOKUP(B6,[39]Sheet1!A$6:B$360,2,0)</f>
        <v>1900</v>
      </c>
      <c r="AP6" s="259" t="n">
        <f aca="false">VLOOKUP(B6,[40]Sheet1!A$6:B$360,2,0)</f>
        <v>1800</v>
      </c>
      <c r="AQ6" s="247" t="n">
        <f aca="false">VLOOKUP(B6,[41]Sheet1!A$6:B$360,2,0)</f>
        <v>1900</v>
      </c>
      <c r="AR6" s="247" t="n">
        <f aca="false">VLOOKUP(B6,[42]Sheet1!A$6:B$360,2,0)</f>
        <v>1900</v>
      </c>
    </row>
    <row r="7" customFormat="false" ht="12.8" hidden="false" customHeight="false" outlineLevel="0" collapsed="false">
      <c r="A7" s="23" t="s">
        <v>199</v>
      </c>
      <c r="B7" s="258" t="s">
        <v>355</v>
      </c>
      <c r="C7" s="247" t="n">
        <f aca="false">VLOOKUP(B7,[1]Sheet1!A$1:B$1048576,2,0)</f>
        <v>18001</v>
      </c>
      <c r="D7" s="247" t="n">
        <f aca="false">VLOOKUP(B7,[2]Sheet1!A$6:B$360,2,0)</f>
        <v>18001</v>
      </c>
      <c r="E7" s="247" t="n">
        <f aca="false">VLOOKUP(B7,[3]Sheet1!A$6:B$360,2,0)</f>
        <v>18001</v>
      </c>
      <c r="F7" s="247" t="n">
        <f aca="false">VLOOKUP(B7,[4]Sheet1!A$6:B$360,2,0)</f>
        <v>15550</v>
      </c>
      <c r="G7" s="247" t="n">
        <f aca="false">VLOOKUP(B7,[5]Sheet1!A$6:B$360,2,0)</f>
        <v>15550</v>
      </c>
      <c r="H7" s="247" t="n">
        <f aca="false">VLOOKUP(B7,[6]Sheet1!A$6:B$360,2,0)</f>
        <v>15550</v>
      </c>
      <c r="I7" s="247" t="n">
        <f aca="false">VLOOKUP(B7,[7]Sheet1!A$6:B$360,2,0)</f>
        <v>15550</v>
      </c>
      <c r="J7" s="247" t="n">
        <f aca="false">VLOOKUP(B7,[8]Sheet1!A$6:B$360,2,0)</f>
        <v>15550</v>
      </c>
      <c r="K7" s="259" t="n">
        <f aca="false">VLOOKUP(B7,[9]Sheet1!A$6:B$360,2,0)</f>
        <v>15550</v>
      </c>
      <c r="L7" s="260" t="n">
        <f aca="false">VLOOKUP(B7,[10]Sheet1!A$1:B$1048576,2,0)</f>
        <v>15550</v>
      </c>
      <c r="M7" s="247" t="n">
        <f aca="false">VLOOKUP(B7,[11]Sheet1!A$6:B$360,2,0)</f>
        <v>15550</v>
      </c>
      <c r="N7" s="247" t="n">
        <f aca="false">VLOOKUP(B7,[12]Sheet1!A$6:B$360,2,0)</f>
        <v>15550</v>
      </c>
      <c r="O7" s="247" t="n">
        <f aca="false">VLOOKUP(B7,[13]Sheet1!A$6:B$360,2,0)</f>
        <v>15550</v>
      </c>
      <c r="P7" s="247" t="n">
        <f aca="false">VLOOKUP(B7,[14]Sheet1!A$6:B$360,2,0)</f>
        <v>15550</v>
      </c>
      <c r="Q7" s="261" t="n">
        <f aca="false">VLOOKUP(B7,[15]Sheet1!A$6:B$360,2,0)</f>
        <v>15550</v>
      </c>
      <c r="R7" s="259" t="n">
        <f aca="false">VLOOKUP(B7,[16]Sheet1!A$6:B$360,2,0)</f>
        <v>15550</v>
      </c>
      <c r="S7" s="247" t="n">
        <f aca="false">VLOOKUP(B7,[17]Sheet1!A$6:B$360,2,0)</f>
        <v>15550</v>
      </c>
      <c r="T7" s="247" t="n">
        <f aca="false">VLOOKUP(B7,[18]Sheet1!A$6:B$360,2,0)</f>
        <v>15550</v>
      </c>
      <c r="U7" s="247" t="n">
        <f aca="false">VLOOKUP(B7,[19]Sheet1!A$6:B$360,2,0)</f>
        <v>15550</v>
      </c>
      <c r="V7" s="247" t="n">
        <f aca="false">VLOOKUP(B7,[20]Sheet1!A$6:B$360,2,0)</f>
        <v>15550</v>
      </c>
      <c r="W7" s="247" t="n">
        <f aca="false">VLOOKUP(B7,[21]Sheet1!A$6:B$360,2,0)</f>
        <v>15550</v>
      </c>
      <c r="X7" s="247" t="n">
        <f aca="false">VLOOKUP(B7,[22]Sheet1!A$6:B$360,2,0)</f>
        <v>15550</v>
      </c>
      <c r="Y7" s="263" t="n">
        <f aca="false">VLOOKUP(B7,[23]Sheet1!A$6:B$360,2,0)</f>
        <v>15550</v>
      </c>
      <c r="Z7" s="259" t="n">
        <f aca="false">VLOOKUP(B7,[24]Sheet1!A$6:B$360,2,0)</f>
        <v>15550</v>
      </c>
      <c r="AA7" s="247" t="n">
        <f aca="false">VLOOKUP(B7,[25]Sheet1!A$6:B$360,2,0)</f>
        <v>12300</v>
      </c>
      <c r="AB7" s="247" t="n">
        <f aca="false">VLOOKUP(B7,[26]Sheet1!A$6:B$360,2,0)</f>
        <v>12300</v>
      </c>
      <c r="AC7" s="247" t="n">
        <f aca="false">VLOOKUP(B7,[27]Sheet1!A$6:B$360,2,0)</f>
        <v>12300</v>
      </c>
      <c r="AD7" s="263" t="n">
        <f aca="false">VLOOKUP(B7,[28]Sheet1!A$6:B$360,2,0)</f>
        <v>12300</v>
      </c>
      <c r="AE7" s="259" t="n">
        <f aca="false">VLOOKUP(B7,[29]Sheet1!A$6:B$360,2,0)</f>
        <v>12300</v>
      </c>
      <c r="AF7" s="247" t="n">
        <f aca="false">VLOOKUP(B7,[30]Sheet1!A$6:B$360,2,0)</f>
        <v>10100</v>
      </c>
      <c r="AG7" s="247" t="n">
        <f aca="false">VLOOKUP(B7,[31]Sheet1!A$6:B$360,2,0)</f>
        <v>10100</v>
      </c>
      <c r="AH7" s="247" t="n">
        <f aca="false">VLOOKUP(B7,[32]Sheet1!A$6:B$360,2,0)</f>
        <v>10100</v>
      </c>
      <c r="AI7" s="247" t="n">
        <f aca="false">VLOOKUP(B7,[33]Sheet1!A$6:B$360,2,0)</f>
        <v>10100</v>
      </c>
      <c r="AJ7" s="263" t="n">
        <f aca="false">VLOOKUP(B7,[34]Sheet1!A$6:B$360,2,0)</f>
        <v>10100</v>
      </c>
      <c r="AK7" s="259" t="n">
        <f aca="false">VLOOKUP(B7,[35]Sheet1!A$6:B$360,2,0)</f>
        <v>10100</v>
      </c>
      <c r="AL7" s="247" t="n">
        <f aca="false">VLOOKUP(B7,[36]Sheet1!A$6:B$360,2,0)</f>
        <v>10100</v>
      </c>
      <c r="AM7" s="247" t="n">
        <f aca="false">VLOOKUP(B7,[37]Sheet1!A$6:B$360,2,0)</f>
        <v>10100</v>
      </c>
      <c r="AN7" s="247" t="n">
        <f aca="false">VLOOKUP(B7,[38]Sheet1!A$6:B$360,2,0)</f>
        <v>10100</v>
      </c>
      <c r="AO7" s="263" t="n">
        <f aca="false">VLOOKUP(B7,[39]Sheet1!A$6:B$360,2,0)</f>
        <v>10100</v>
      </c>
      <c r="AP7" s="259" t="n">
        <f aca="false">VLOOKUP(B7,[40]Sheet1!A$6:B$360,2,0)</f>
        <v>10100</v>
      </c>
      <c r="AQ7" s="247" t="n">
        <f aca="false">VLOOKUP(B7,[41]Sheet1!A$6:B$360,2,0)</f>
        <v>10100</v>
      </c>
      <c r="AR7" s="247" t="n">
        <f aca="false">VLOOKUP(B7,[42]Sheet1!A$6:B$360,2,0)</f>
        <v>10100</v>
      </c>
    </row>
    <row r="8" customFormat="false" ht="12.8" hidden="false" customHeight="false" outlineLevel="0" collapsed="false">
      <c r="A8" s="23" t="s">
        <v>281</v>
      </c>
      <c r="B8" s="258" t="s">
        <v>356</v>
      </c>
      <c r="C8" s="247" t="n">
        <f aca="false">VLOOKUP(B8,[1]Sheet1!A$1:B$1048576,2,0)</f>
        <v>3133</v>
      </c>
      <c r="D8" s="247" t="n">
        <f aca="false">VLOOKUP(B8,[2]Sheet1!A$6:B$360,2,0)</f>
        <v>3133</v>
      </c>
      <c r="E8" s="247" t="n">
        <f aca="false">VLOOKUP(B8,[3]Sheet1!A$6:B$360,2,0)</f>
        <v>3133</v>
      </c>
      <c r="F8" s="247" t="n">
        <f aca="false">VLOOKUP(B8,[4]Sheet1!A$6:B$360,2,0)</f>
        <v>3133</v>
      </c>
      <c r="G8" s="247" t="n">
        <f aca="false">VLOOKUP(B8,[5]Sheet1!A$6:B$360,2,0)</f>
        <v>3133</v>
      </c>
      <c r="H8" s="247" t="n">
        <f aca="false">VLOOKUP(B8,[6]Sheet1!A$6:B$360,2,0)</f>
        <v>3133</v>
      </c>
      <c r="I8" s="247" t="n">
        <f aca="false">VLOOKUP(B8,[7]Sheet1!A$6:B$360,2,0)</f>
        <v>3133</v>
      </c>
      <c r="J8" s="247" t="n">
        <f aca="false">VLOOKUP(B8,[8]Sheet1!A$6:B$360,2,0)</f>
        <v>3133</v>
      </c>
      <c r="K8" s="259" t="n">
        <f aca="false">VLOOKUP(B8,[9]Sheet1!A$6:B$360,2,0)</f>
        <v>3133</v>
      </c>
      <c r="L8" s="260" t="n">
        <f aca="false">VLOOKUP(B8,[10]Sheet1!A$1:B$1048576,2,0)</f>
        <v>3133</v>
      </c>
      <c r="M8" s="247" t="n">
        <f aca="false">VLOOKUP(B8,[11]Sheet1!A$6:B$360,2,0)</f>
        <v>3133</v>
      </c>
      <c r="N8" s="247" t="n">
        <f aca="false">VLOOKUP(B8,[12]Sheet1!A$6:B$360,2,0)</f>
        <v>3133</v>
      </c>
      <c r="O8" s="247" t="n">
        <f aca="false">VLOOKUP(B8,[13]Sheet1!A$6:B$360,2,0)</f>
        <v>3133</v>
      </c>
      <c r="P8" s="247" t="n">
        <f aca="false">VLOOKUP(B8,[14]Sheet1!A$6:B$360,2,0)</f>
        <v>3133</v>
      </c>
      <c r="Q8" s="261" t="n">
        <f aca="false">VLOOKUP(B8,[15]Sheet1!A$6:B$360,2,0)</f>
        <v>3133</v>
      </c>
      <c r="R8" s="259" t="n">
        <f aca="false">VLOOKUP(B8,[16]Sheet1!A$6:B$360,2,0)</f>
        <v>3133</v>
      </c>
      <c r="S8" s="247" t="n">
        <f aca="false">VLOOKUP(B8,[17]Sheet1!A$6:B$360,2,0)</f>
        <v>3133</v>
      </c>
      <c r="T8" s="247" t="n">
        <f aca="false">VLOOKUP(B8,[18]Sheet1!A$6:B$360,2,0)</f>
        <v>3133</v>
      </c>
      <c r="U8" s="247" t="n">
        <f aca="false">VLOOKUP(B8,[19]Sheet1!A$6:B$360,2,0)</f>
        <v>3133</v>
      </c>
      <c r="V8" s="247" t="n">
        <f aca="false">VLOOKUP(B8,[20]Sheet1!A$6:B$360,2,0)</f>
        <v>3133</v>
      </c>
      <c r="W8" s="247" t="n">
        <f aca="false">VLOOKUP(B8,[21]Sheet1!A$6:B$360,2,0)</f>
        <v>3133</v>
      </c>
      <c r="X8" s="247" t="n">
        <f aca="false">VLOOKUP(B8,[22]Sheet1!A$6:B$360,2,0)</f>
        <v>3133</v>
      </c>
      <c r="Y8" s="263" t="n">
        <f aca="false">VLOOKUP(B8,[23]Sheet1!A$6:B$360,2,0)</f>
        <v>3133</v>
      </c>
      <c r="Z8" s="259" t="n">
        <f aca="false">VLOOKUP(B8,[24]Sheet1!A$6:B$360,2,0)</f>
        <v>3133</v>
      </c>
      <c r="AA8" s="247" t="n">
        <f aca="false">VLOOKUP(B8,[25]Sheet1!A$6:B$360,2,0)</f>
        <v>3133</v>
      </c>
      <c r="AB8" s="247" t="n">
        <f aca="false">VLOOKUP(B8,[26]Sheet1!A$6:B$360,2,0)</f>
        <v>3133</v>
      </c>
      <c r="AC8" s="247" t="n">
        <f aca="false">VLOOKUP(B8,[27]Sheet1!A$6:B$360,2,0)</f>
        <v>3133</v>
      </c>
      <c r="AD8" s="263" t="n">
        <f aca="false">VLOOKUP(B8,[28]Sheet1!A$6:B$360,2,0)</f>
        <v>3133</v>
      </c>
      <c r="AE8" s="259" t="n">
        <f aca="false">VLOOKUP(B8,[29]Sheet1!A$6:B$360,2,0)</f>
        <v>3133</v>
      </c>
      <c r="AF8" s="247" t="n">
        <f aca="false">VLOOKUP(B8,[30]Sheet1!A$6:B$360,2,0)</f>
        <v>3133</v>
      </c>
      <c r="AG8" s="247" t="n">
        <f aca="false">VLOOKUP(B8,[31]Sheet1!A$6:B$360,2,0)</f>
        <v>3133</v>
      </c>
      <c r="AH8" s="247" t="n">
        <f aca="false">VLOOKUP(B8,[32]Sheet1!A$6:B$360,2,0)</f>
        <v>3133</v>
      </c>
      <c r="AI8" s="247" t="n">
        <f aca="false">VLOOKUP(B8,[33]Sheet1!A$6:B$360,2,0)</f>
        <v>3133</v>
      </c>
      <c r="AJ8" s="263" t="n">
        <f aca="false">VLOOKUP(B8,[34]Sheet1!A$6:B$360,2,0)</f>
        <v>3133</v>
      </c>
      <c r="AK8" s="259" t="n">
        <f aca="false">VLOOKUP(B8,[35]Sheet1!A$6:B$360,2,0)</f>
        <v>3133</v>
      </c>
      <c r="AL8" s="247" t="n">
        <f aca="false">VLOOKUP(B8,[36]Sheet1!A$6:B$360,2,0)</f>
        <v>3133</v>
      </c>
      <c r="AM8" s="247" t="n">
        <f aca="false">VLOOKUP(B8,[37]Sheet1!A$6:B$360,2,0)</f>
        <v>3133</v>
      </c>
      <c r="AN8" s="247" t="n">
        <f aca="false">VLOOKUP(B8,[38]Sheet1!A$6:B$360,2,0)</f>
        <v>3133</v>
      </c>
      <c r="AO8" s="263" t="n">
        <f aca="false">VLOOKUP(B8,[39]Sheet1!A$6:B$360,2,0)</f>
        <v>3133</v>
      </c>
      <c r="AP8" s="259" t="n">
        <f aca="false">VLOOKUP(B8,[40]Sheet1!A$6:B$360,2,0)</f>
        <v>3133</v>
      </c>
      <c r="AQ8" s="247" t="n">
        <f aca="false">VLOOKUP(B8,[41]Sheet1!A$6:B$360,2,0)</f>
        <v>3133</v>
      </c>
      <c r="AR8" s="247" t="n">
        <f aca="false">VLOOKUP(B8,[42]Sheet1!A$6:B$360,2,0)</f>
        <v>3133</v>
      </c>
    </row>
    <row r="9" customFormat="false" ht="12.8" hidden="false" customHeight="false" outlineLevel="0" collapsed="false">
      <c r="A9" s="23" t="s">
        <v>188</v>
      </c>
      <c r="B9" s="258" t="s">
        <v>357</v>
      </c>
      <c r="C9" s="247" t="n">
        <f aca="false">VLOOKUP(B9,[1]Sheet1!A$1:B$1048576,2,0)</f>
        <v>6700</v>
      </c>
      <c r="D9" s="247" t="n">
        <f aca="false">VLOOKUP(B9,[2]Sheet1!A$6:B$360,2,0)</f>
        <v>6700</v>
      </c>
      <c r="E9" s="247" t="n">
        <f aca="false">VLOOKUP(B9,[3]Sheet1!A$6:B$360,2,0)</f>
        <v>6700</v>
      </c>
      <c r="F9" s="247" t="n">
        <f aca="false">VLOOKUP(B9,[4]Sheet1!A$6:B$360,2,0)</f>
        <v>6700</v>
      </c>
      <c r="G9" s="247" t="n">
        <f aca="false">VLOOKUP(B9,[5]Sheet1!A$6:B$360,2,0)</f>
        <v>6700</v>
      </c>
      <c r="H9" s="247" t="n">
        <f aca="false">VLOOKUP(B9,[6]Sheet1!A$6:B$360,2,0)</f>
        <v>6500</v>
      </c>
      <c r="I9" s="247" t="n">
        <f aca="false">VLOOKUP(B9,[7]Sheet1!A$6:B$360,2,0)</f>
        <v>6500</v>
      </c>
      <c r="J9" s="247" t="n">
        <f aca="false">VLOOKUP(B9,[8]Sheet1!A$6:B$360,2,0)</f>
        <v>6100</v>
      </c>
      <c r="K9" s="259" t="n">
        <f aca="false">VLOOKUP(B9,[9]Sheet1!A$6:B$360,2,0)</f>
        <v>6101</v>
      </c>
      <c r="L9" s="260" t="n">
        <f aca="false">VLOOKUP(B9,[10]Sheet1!A$1:B$1048576,2,0)</f>
        <v>5761</v>
      </c>
      <c r="M9" s="247" t="n">
        <f aca="false">VLOOKUP(B9,[11]Sheet1!A$6:B$360,2,0)</f>
        <v>5761</v>
      </c>
      <c r="N9" s="247" t="n">
        <f aca="false">VLOOKUP(B9,[12]Sheet1!A$6:B$360,2,0)</f>
        <v>5761</v>
      </c>
      <c r="O9" s="247" t="n">
        <f aca="false">VLOOKUP(B9,[13]Sheet1!A$6:B$360,2,0)</f>
        <v>5700</v>
      </c>
      <c r="P9" s="247" t="n">
        <f aca="false">VLOOKUP(B9,[14]Sheet1!A$6:B$360,2,0)</f>
        <v>5702</v>
      </c>
      <c r="Q9" s="261" t="n">
        <f aca="false">VLOOKUP(B9,[15]Sheet1!A$6:B$360,2,0)</f>
        <v>5723</v>
      </c>
      <c r="R9" s="259" t="n">
        <f aca="false">VLOOKUP(B9,[16]Sheet1!A$6:B$360,2,0)</f>
        <v>5502</v>
      </c>
      <c r="S9" s="247" t="n">
        <f aca="false">VLOOKUP(B9,[17]Sheet1!A$6:B$360,2,0)</f>
        <v>5190</v>
      </c>
      <c r="T9" s="247" t="n">
        <f aca="false">VLOOKUP(B9,[18]Sheet1!A$6:B$360,2,0)</f>
        <v>5190</v>
      </c>
      <c r="U9" s="247" t="n">
        <f aca="false">VLOOKUP(B9,[19]Sheet1!A$6:B$360,2,0)</f>
        <v>5010</v>
      </c>
      <c r="V9" s="247" t="n">
        <f aca="false">VLOOKUP(B9,[20]Sheet1!A$6:B$360,2,0)</f>
        <v>5500</v>
      </c>
      <c r="W9" s="247" t="n">
        <f aca="false">VLOOKUP(B9,[21]Sheet1!A$6:B$360,2,0)</f>
        <v>5500</v>
      </c>
      <c r="X9" s="247" t="n">
        <f aca="false">VLOOKUP(B9,[22]Sheet1!A$6:B$360,2,0)</f>
        <v>5500</v>
      </c>
      <c r="Y9" s="263" t="n">
        <f aca="false">VLOOKUP(B9,[23]Sheet1!A$6:B$360,2,0)</f>
        <v>5500</v>
      </c>
      <c r="Z9" s="259" t="n">
        <f aca="false">VLOOKUP(B9,[24]Sheet1!A$6:B$360,2,0)</f>
        <v>5500</v>
      </c>
      <c r="AA9" s="247" t="n">
        <f aca="false">VLOOKUP(B9,[25]Sheet1!A$6:B$360,2,0)</f>
        <v>5431</v>
      </c>
      <c r="AB9" s="247" t="n">
        <f aca="false">VLOOKUP(B9,[26]Sheet1!A$6:B$360,2,0)</f>
        <v>5366</v>
      </c>
      <c r="AC9" s="247" t="n">
        <f aca="false">VLOOKUP(B9,[27]Sheet1!A$6:B$360,2,0)</f>
        <v>5200</v>
      </c>
      <c r="AD9" s="263" t="n">
        <f aca="false">VLOOKUP(B9,[28]Sheet1!A$6:B$360,2,0)</f>
        <v>5000</v>
      </c>
      <c r="AE9" s="259" t="n">
        <f aca="false">VLOOKUP(B9,[29]Sheet1!A$6:B$360,2,0)</f>
        <v>4501</v>
      </c>
      <c r="AF9" s="247" t="n">
        <f aca="false">VLOOKUP(B9,[30]Sheet1!A$6:B$360,2,0)</f>
        <v>4502</v>
      </c>
      <c r="AG9" s="247" t="n">
        <f aca="false">VLOOKUP(B9,[31]Sheet1!A$6:B$360,2,0)</f>
        <v>4502</v>
      </c>
      <c r="AH9" s="247" t="n">
        <f aca="false">VLOOKUP(B9,[32]Sheet1!A$6:B$360,2,0)</f>
        <v>4734</v>
      </c>
      <c r="AI9" s="247" t="n">
        <f aca="false">VLOOKUP(B9,[33]Sheet1!A$6:B$360,2,0)</f>
        <v>4960</v>
      </c>
      <c r="AJ9" s="263" t="n">
        <f aca="false">VLOOKUP(B9,[34]Sheet1!A$6:B$360,2,0)</f>
        <v>5488.64</v>
      </c>
      <c r="AK9" s="259" t="n">
        <f aca="false">VLOOKUP(B9,[35]Sheet1!A$6:B$360,2,0)</f>
        <v>5720</v>
      </c>
      <c r="AL9" s="247" t="n">
        <f aca="false">VLOOKUP(B9,[36]Sheet1!A$6:B$360,2,0)</f>
        <v>5500</v>
      </c>
      <c r="AM9" s="247" t="n">
        <f aca="false">VLOOKUP(B9,[37]Sheet1!A$6:B$360,2,0)</f>
        <v>5150</v>
      </c>
      <c r="AN9" s="247" t="n">
        <v>5500</v>
      </c>
      <c r="AO9" s="263" t="n">
        <f aca="false">VLOOKUP("Винарска визба Тиквеш Скопје",[39]Sheet1!A$6:B$360,2,0)</f>
        <v>5500</v>
      </c>
      <c r="AP9" s="259" t="n">
        <f aca="false">VLOOKUP("Винарска визба Тиквеш Скопје",[40]Sheet1!A$6:B$360,2,0)</f>
        <v>4808</v>
      </c>
      <c r="AQ9" s="247" t="n">
        <v>4808</v>
      </c>
      <c r="AR9" s="247" t="n">
        <f aca="false">VLOOKUP("Винарска визба Тиквеш Скопје",[42]Sheet1!A$6:B$360,2,0)</f>
        <v>4900</v>
      </c>
    </row>
    <row r="10" customFormat="false" ht="12.8" hidden="false" customHeight="false" outlineLevel="0" collapsed="false">
      <c r="A10" s="23" t="s">
        <v>282</v>
      </c>
      <c r="B10" s="258" t="s">
        <v>358</v>
      </c>
      <c r="C10" s="247" t="n">
        <f aca="false">VLOOKUP(B10,[1]Sheet1!A$1:B$1048576,2,0)</f>
        <v>1002</v>
      </c>
      <c r="D10" s="247" t="n">
        <f aca="false">VLOOKUP(B10,[2]Sheet1!A$6:B$360,2,0)</f>
        <v>1002</v>
      </c>
      <c r="E10" s="247" t="n">
        <f aca="false">VLOOKUP(B10,[3]Sheet1!A$6:B$360,2,0)</f>
        <v>1002</v>
      </c>
      <c r="F10" s="247" t="n">
        <f aca="false">VLOOKUP(B10,[4]Sheet1!A$6:B$360,2,0)</f>
        <v>1002</v>
      </c>
      <c r="G10" s="247" t="n">
        <f aca="false">VLOOKUP(B10,[5]Sheet1!A$6:B$360,2,0)</f>
        <v>1002</v>
      </c>
      <c r="H10" s="247" t="n">
        <f aca="false">VLOOKUP(B10,[6]Sheet1!A$6:B$360,2,0)</f>
        <v>1002</v>
      </c>
      <c r="I10" s="247" t="n">
        <f aca="false">VLOOKUP(B10,[7]Sheet1!A$6:B$360,2,0)</f>
        <v>1002</v>
      </c>
      <c r="J10" s="247" t="n">
        <f aca="false">VLOOKUP(B10,[8]Sheet1!A$6:B$360,2,0)</f>
        <v>1002</v>
      </c>
      <c r="K10" s="259" t="n">
        <f aca="false">VLOOKUP(B10,[9]Sheet1!A$6:B$360,2,0)</f>
        <v>1002</v>
      </c>
      <c r="L10" s="260" t="n">
        <f aca="false">VLOOKUP(B10,[10]Sheet1!A$1:B$1048576,2,0)</f>
        <v>1002</v>
      </c>
      <c r="M10" s="247" t="n">
        <f aca="false">VLOOKUP(B10,[11]Sheet1!A$6:B$360,2,0)</f>
        <v>1002</v>
      </c>
      <c r="N10" s="247" t="n">
        <f aca="false">VLOOKUP(B10,[12]Sheet1!A$6:B$360,2,0)</f>
        <v>1002</v>
      </c>
      <c r="O10" s="247" t="n">
        <f aca="false">VLOOKUP(B10,[13]Sheet1!A$6:B$360,2,0)</f>
        <v>1002</v>
      </c>
      <c r="P10" s="247" t="n">
        <f aca="false">VLOOKUP(B10,[14]Sheet1!A$6:B$360,2,0)</f>
        <v>1002</v>
      </c>
      <c r="Q10" s="261" t="n">
        <f aca="false">VLOOKUP(B10,[15]Sheet1!A$6:B$360,2,0)</f>
        <v>1002</v>
      </c>
      <c r="R10" s="259" t="n">
        <f aca="false">VLOOKUP(B10,[16]Sheet1!A$6:B$360,2,0)</f>
        <v>1002</v>
      </c>
      <c r="S10" s="247" t="n">
        <f aca="false">VLOOKUP(B10,[17]Sheet1!A$6:B$360,2,0)</f>
        <v>1002</v>
      </c>
      <c r="T10" s="247" t="n">
        <f aca="false">VLOOKUP(B10,[18]Sheet1!A$6:B$360,2,0)</f>
        <v>1002</v>
      </c>
      <c r="U10" s="247" t="n">
        <f aca="false">VLOOKUP(B10,[19]Sheet1!A$6:B$360,2,0)</f>
        <v>1002</v>
      </c>
      <c r="V10" s="247" t="n">
        <f aca="false">VLOOKUP(B10,[20]Sheet1!A$6:B$360,2,0)</f>
        <v>1002</v>
      </c>
      <c r="W10" s="247" t="n">
        <f aca="false">VLOOKUP(B10,[21]Sheet1!A$6:B$360,2,0)</f>
        <v>973</v>
      </c>
      <c r="X10" s="247" t="n">
        <f aca="false">VLOOKUP(B10,[22]Sheet1!A$6:B$360,2,0)</f>
        <v>973</v>
      </c>
      <c r="Y10" s="263" t="n">
        <f aca="false">VLOOKUP(B10,[23]Sheet1!A$6:B$360,2,0)</f>
        <v>973</v>
      </c>
      <c r="Z10" s="259" t="n">
        <f aca="false">VLOOKUP(B10,[24]Sheet1!A$6:B$360,2,0)</f>
        <v>973</v>
      </c>
      <c r="AA10" s="247" t="n">
        <f aca="false">VLOOKUP(B10,[25]Sheet1!A$6:B$360,2,0)</f>
        <v>973</v>
      </c>
      <c r="AB10" s="247" t="n">
        <f aca="false">VLOOKUP(B10,[26]Sheet1!A$6:B$360,2,0)</f>
        <v>973</v>
      </c>
      <c r="AC10" s="247" t="n">
        <f aca="false">VLOOKUP(B10,[27]Sheet1!A$6:B$360,2,0)</f>
        <v>973</v>
      </c>
      <c r="AD10" s="263" t="n">
        <f aca="false">VLOOKUP(B10,[28]Sheet1!A$6:B$360,2,0)</f>
        <v>973</v>
      </c>
      <c r="AE10" s="259" t="n">
        <f aca="false">VLOOKUP(B10,[29]Sheet1!A$6:B$360,2,0)</f>
        <v>973</v>
      </c>
      <c r="AF10" s="247" t="n">
        <f aca="false">VLOOKUP(B10,[30]Sheet1!A$6:B$360,2,0)</f>
        <v>973</v>
      </c>
      <c r="AG10" s="247" t="n">
        <f aca="false">VLOOKUP(B10,[31]Sheet1!A$6:B$360,2,0)</f>
        <v>973</v>
      </c>
      <c r="AH10" s="247" t="n">
        <f aca="false">VLOOKUP(B10,[32]Sheet1!A$6:B$360,2,0)</f>
        <v>973</v>
      </c>
      <c r="AI10" s="247" t="n">
        <f aca="false">VLOOKUP(B10,[33]Sheet1!A$6:B$360,2,0)</f>
        <v>945</v>
      </c>
      <c r="AJ10" s="263" t="n">
        <f aca="false">VLOOKUP(B10,[34]Sheet1!A$6:B$360,2,0)</f>
        <v>945</v>
      </c>
      <c r="AK10" s="259" t="n">
        <f aca="false">VLOOKUP(B10,[35]Sheet1!A$6:B$360,2,0)</f>
        <v>945</v>
      </c>
      <c r="AL10" s="247" t="n">
        <f aca="false">VLOOKUP(B10,[36]Sheet1!A$6:B$360,2,0)</f>
        <v>945</v>
      </c>
      <c r="AM10" s="247" t="n">
        <f aca="false">VLOOKUP(B10,[37]Sheet1!A$6:B$360,2,0)</f>
        <v>945</v>
      </c>
      <c r="AN10" s="247" t="n">
        <f aca="false">VLOOKUP(B10,[38]Sheet1!A$6:B$360,2,0)</f>
        <v>945</v>
      </c>
      <c r="AO10" s="263" t="n">
        <f aca="false">VLOOKUP(B10,[39]Sheet1!A$6:B$360,2,0)</f>
        <v>945</v>
      </c>
      <c r="AP10" s="259" t="n">
        <f aca="false">VLOOKUP(B10,[40]Sheet1!A$6:B$360,2,0)</f>
        <v>945</v>
      </c>
      <c r="AQ10" s="247" t="n">
        <f aca="false">VLOOKUP(B10,[41]Sheet1!A$6:B$360,2,0)</f>
        <v>945</v>
      </c>
      <c r="AR10" s="247" t="n">
        <f aca="false">VLOOKUP(B10,[42]Sheet1!A$6:B$360,2,0)</f>
        <v>945</v>
      </c>
    </row>
    <row r="11" customFormat="false" ht="12.8" hidden="false" customHeight="false" outlineLevel="0" collapsed="false">
      <c r="A11" s="23" t="s">
        <v>195</v>
      </c>
      <c r="B11" s="258" t="s">
        <v>359</v>
      </c>
      <c r="C11" s="247" t="n">
        <f aca="false">VLOOKUP(B11,[1]Sheet1!A$1:B$1048576,2,0)</f>
        <v>10116</v>
      </c>
      <c r="D11" s="247" t="n">
        <f aca="false">VLOOKUP(B11,[2]Sheet1!A$6:B$360,2,0)</f>
        <v>10011</v>
      </c>
      <c r="E11" s="247" t="n">
        <f aca="false">VLOOKUP(B11,[3]Sheet1!A$6:B$360,2,0)</f>
        <v>10011</v>
      </c>
      <c r="F11" s="247" t="n">
        <f aca="false">VLOOKUP(B11,[4]Sheet1!A$6:B$360,2,0)</f>
        <v>10000</v>
      </c>
      <c r="G11" s="247" t="n">
        <f aca="false">VLOOKUP(B11,[5]Sheet1!A$6:B$360,2,0)</f>
        <v>10999</v>
      </c>
      <c r="H11" s="247" t="n">
        <f aca="false">VLOOKUP(B11,[6]Sheet1!A$6:B$360,2,0)</f>
        <v>10010</v>
      </c>
      <c r="I11" s="247" t="n">
        <f aca="false">VLOOKUP(B11,[7]Sheet1!A$6:B$360,2,0)</f>
        <v>10000</v>
      </c>
      <c r="J11" s="247" t="n">
        <f aca="false">VLOOKUP(B11,[8]Sheet1!A$6:B$360,2,0)</f>
        <v>10002</v>
      </c>
      <c r="K11" s="259" t="n">
        <f aca="false">VLOOKUP(B11,[9]Sheet1!A$6:B$360,2,0)</f>
        <v>10700</v>
      </c>
      <c r="L11" s="260" t="n">
        <f aca="false">VLOOKUP(B11,[10]Sheet1!A$1:B$1048576,2,0)</f>
        <v>10850</v>
      </c>
      <c r="M11" s="247" t="n">
        <f aca="false">VLOOKUP(B11,[11]Sheet1!A$6:B$360,2,0)</f>
        <v>10850</v>
      </c>
      <c r="N11" s="247" t="n">
        <f aca="false">VLOOKUP(B11,[12]Sheet1!A$6:B$360,2,0)</f>
        <v>10850</v>
      </c>
      <c r="O11" s="247" t="n">
        <f aca="false">VLOOKUP(B11,[13]Sheet1!A$6:B$360,2,0)</f>
        <v>10850</v>
      </c>
      <c r="P11" s="247" t="n">
        <f aca="false">VLOOKUP(B11,[14]Sheet1!A$6:B$360,2,0)</f>
        <v>11000</v>
      </c>
      <c r="Q11" s="261" t="n">
        <f aca="false">VLOOKUP(B11,[15]Sheet1!A$6:B$360,2,0)</f>
        <v>11000</v>
      </c>
      <c r="R11" s="259" t="n">
        <f aca="false">VLOOKUP(B11,[16]Sheet1!A$6:B$360,2,0)</f>
        <v>12200</v>
      </c>
      <c r="S11" s="247" t="n">
        <f aca="false">VLOOKUP(B11,[17]Sheet1!A$6:B$360,2,0)</f>
        <v>12200</v>
      </c>
      <c r="T11" s="247" t="n">
        <f aca="false">VLOOKUP(B11,[18]Sheet1!A$6:B$360,2,0)</f>
        <v>12200</v>
      </c>
      <c r="U11" s="247" t="n">
        <f aca="false">VLOOKUP(B11,[19]Sheet1!A$6:B$360,2,0)</f>
        <v>12200</v>
      </c>
      <c r="V11" s="247" t="n">
        <f aca="false">VLOOKUP(B11,[20]Sheet1!A$6:B$360,2,0)</f>
        <v>12150</v>
      </c>
      <c r="W11" s="247" t="n">
        <f aca="false">VLOOKUP(B11,[21]Sheet1!A$6:B$360,2,0)</f>
        <v>12150</v>
      </c>
      <c r="X11" s="247" t="n">
        <f aca="false">VLOOKUP(B11,[22]Sheet1!A$6:B$360,2,0)</f>
        <v>12150</v>
      </c>
      <c r="Y11" s="263" t="n">
        <f aca="false">VLOOKUP(B11,[23]Sheet1!A$6:B$360,2,0)</f>
        <v>12150</v>
      </c>
      <c r="Z11" s="259" t="n">
        <f aca="false">VLOOKUP(B11,[24]Sheet1!A$6:B$360,2,0)</f>
        <v>12150</v>
      </c>
      <c r="AA11" s="247" t="n">
        <f aca="false">VLOOKUP(B11,[25]Sheet1!A$6:B$360,2,0)</f>
        <v>13502</v>
      </c>
      <c r="AB11" s="247" t="n">
        <f aca="false">VLOOKUP(B11,[26]Sheet1!A$6:B$360,2,0)</f>
        <v>13502</v>
      </c>
      <c r="AC11" s="247" t="n">
        <f aca="false">VLOOKUP(B11,[27]Sheet1!A$6:B$360,2,0)</f>
        <v>13500</v>
      </c>
      <c r="AD11" s="263" t="n">
        <f aca="false">VLOOKUP(B11,[28]Sheet1!A$6:B$360,2,0)</f>
        <v>13135</v>
      </c>
      <c r="AE11" s="259" t="n">
        <f aca="false">VLOOKUP(B11,[29]Sheet1!A$6:B$360,2,0)</f>
        <v>13135</v>
      </c>
      <c r="AF11" s="247" t="n">
        <f aca="false">VLOOKUP(B11,[30]Sheet1!A$6:B$360,2,0)</f>
        <v>14080</v>
      </c>
      <c r="AG11" s="247" t="n">
        <f aca="false">VLOOKUP(B11,[31]Sheet1!A$6:B$360,2,0)</f>
        <v>14080</v>
      </c>
      <c r="AH11" s="247" t="n">
        <f aca="false">VLOOKUP(B11,[32]Sheet1!A$6:B$360,2,0)</f>
        <v>14080</v>
      </c>
      <c r="AI11" s="247" t="n">
        <f aca="false">VLOOKUP(B11,[33]Sheet1!A$6:B$360,2,0)</f>
        <v>14080</v>
      </c>
      <c r="AJ11" s="263" t="n">
        <f aca="false">VLOOKUP(B11,[34]Sheet1!A$6:B$360,2,0)</f>
        <v>14082</v>
      </c>
      <c r="AK11" s="259" t="n">
        <f aca="false">VLOOKUP(B11,[35]Sheet1!A$6:B$360,2,0)</f>
        <v>13066</v>
      </c>
      <c r="AL11" s="247" t="n">
        <f aca="false">VLOOKUP(B11,[36]Sheet1!A$6:B$360,2,0)</f>
        <v>11940</v>
      </c>
      <c r="AM11" s="247" t="n">
        <f aca="false">VLOOKUP(B11,[37]Sheet1!A$6:B$360,2,0)</f>
        <v>11078</v>
      </c>
      <c r="AN11" s="247" t="n">
        <f aca="false">VLOOKUP(B11,[38]Sheet1!A$6:B$360,2,0)</f>
        <v>10750</v>
      </c>
      <c r="AO11" s="263" t="n">
        <f aca="false">VLOOKUP(B11,[39]Sheet1!A$6:B$360,2,0)</f>
        <v>10777</v>
      </c>
      <c r="AP11" s="259" t="n">
        <f aca="false">VLOOKUP(B11,[40]Sheet1!A$6:B$360,2,0)</f>
        <v>9431</v>
      </c>
      <c r="AQ11" s="247" t="n">
        <f aca="false">VLOOKUP(B11,[41]Sheet1!A$6:B$360,2,0)</f>
        <v>9189</v>
      </c>
      <c r="AR11" s="247" t="n">
        <f aca="false">VLOOKUP(B11,[42]Sheet1!A$6:B$360,2,0)</f>
        <v>8767</v>
      </c>
    </row>
    <row r="12" customFormat="false" ht="12.8" hidden="false" customHeight="false" outlineLevel="0" collapsed="false">
      <c r="A12" s="23" t="s">
        <v>283</v>
      </c>
      <c r="B12" s="258" t="s">
        <v>360</v>
      </c>
      <c r="C12" s="247" t="n">
        <f aca="false">VLOOKUP(B12,[1]Sheet1!A$1:B$1048576,2,0)</f>
        <v>1000</v>
      </c>
      <c r="D12" s="247" t="n">
        <f aca="false">VLOOKUP(B12,[2]Sheet1!A$6:B$360,2,0)</f>
        <v>1000</v>
      </c>
      <c r="E12" s="247" t="n">
        <f aca="false">VLOOKUP(B12,[3]Sheet1!A$6:B$360,2,0)</f>
        <v>1000</v>
      </c>
      <c r="F12" s="247" t="n">
        <f aca="false">VLOOKUP(B12,[4]Sheet1!A$6:B$360,2,0)</f>
        <v>1000</v>
      </c>
      <c r="G12" s="247" t="n">
        <f aca="false">VLOOKUP(B12,[5]Sheet1!A$6:B$360,2,0)</f>
        <v>1000</v>
      </c>
      <c r="H12" s="247" t="n">
        <f aca="false">VLOOKUP(B12,[6]Sheet1!A$6:B$360,2,0)</f>
        <v>1000</v>
      </c>
      <c r="I12" s="247" t="n">
        <f aca="false">VLOOKUP(B12,[7]Sheet1!A$6:B$360,2,0)</f>
        <v>1000</v>
      </c>
      <c r="J12" s="247" t="n">
        <f aca="false">VLOOKUP(B12,[8]Sheet1!A$6:B$360,2,0)</f>
        <v>1000</v>
      </c>
      <c r="K12" s="259" t="n">
        <f aca="false">VLOOKUP(B12,[9]Sheet1!A$6:B$360,2,0)</f>
        <v>1000</v>
      </c>
      <c r="L12" s="260" t="n">
        <f aca="false">VLOOKUP(B12,[10]Sheet1!A$1:B$1048576,2,0)</f>
        <v>1000</v>
      </c>
      <c r="M12" s="247" t="n">
        <f aca="false">VLOOKUP(B12,[11]Sheet1!A$6:B$360,2,0)</f>
        <v>1000</v>
      </c>
      <c r="N12" s="247" t="n">
        <f aca="false">VLOOKUP(B12,[12]Sheet1!A$6:B$360,2,0)</f>
        <v>1000</v>
      </c>
      <c r="O12" s="247" t="n">
        <f aca="false">VLOOKUP(B12,[13]Sheet1!A$6:B$360,2,0)</f>
        <v>1000</v>
      </c>
      <c r="P12" s="247" t="n">
        <f aca="false">VLOOKUP(B12,[14]Sheet1!A$6:B$360,2,0)</f>
        <v>1000</v>
      </c>
      <c r="Q12" s="261" t="n">
        <f aca="false">VLOOKUP(B12,[15]Sheet1!A$6:B$360,2,0)</f>
        <v>1000</v>
      </c>
      <c r="R12" s="259" t="n">
        <f aca="false">VLOOKUP(B12,[16]Sheet1!A$6:B$360,2,0)</f>
        <v>1000</v>
      </c>
      <c r="S12" s="247" t="n">
        <f aca="false">VLOOKUP(B12,[17]Sheet1!A$6:B$360,2,0)</f>
        <v>1000</v>
      </c>
      <c r="T12" s="247" t="n">
        <f aca="false">VLOOKUP(B12,[18]Sheet1!A$6:B$360,2,0)</f>
        <v>1000</v>
      </c>
      <c r="U12" s="247" t="n">
        <f aca="false">VLOOKUP(B12,[19]Sheet1!A$6:B$360,2,0)</f>
        <v>1000</v>
      </c>
      <c r="V12" s="247" t="n">
        <f aca="false">VLOOKUP(B12,[20]Sheet1!A$6:B$360,2,0)</f>
        <v>1030</v>
      </c>
      <c r="W12" s="247" t="n">
        <f aca="false">VLOOKUP(B12,[21]Sheet1!A$6:B$360,2,0)</f>
        <v>157</v>
      </c>
      <c r="X12" s="247" t="n">
        <f aca="false">VLOOKUP(B12,[22]Sheet1!A$6:B$360,2,0)</f>
        <v>157</v>
      </c>
      <c r="Y12" s="263" t="n">
        <f aca="false">VLOOKUP(B12,[23]Sheet1!A$6:B$360,2,0)</f>
        <v>157</v>
      </c>
      <c r="Z12" s="259" t="n">
        <f aca="false">VLOOKUP(B12,[24]Sheet1!A$6:B$360,2,0)</f>
        <v>157</v>
      </c>
      <c r="AA12" s="247" t="n">
        <f aca="false">VLOOKUP(B12,[25]Sheet1!A$6:B$360,2,0)</f>
        <v>157</v>
      </c>
      <c r="AB12" s="247" t="n">
        <f aca="false">VLOOKUP(B12,[26]Sheet1!A$6:B$360,2,0)</f>
        <v>157</v>
      </c>
      <c r="AC12" s="247" t="n">
        <f aca="false">VLOOKUP(B12,[27]Sheet1!A$6:B$360,2,0)</f>
        <v>157</v>
      </c>
      <c r="AD12" s="263" t="n">
        <f aca="false">VLOOKUP(B12,[28]Sheet1!A$6:B$360,2,0)</f>
        <v>157</v>
      </c>
      <c r="AE12" s="259" t="n">
        <f aca="false">VLOOKUP(B12,[29]Sheet1!A$6:B$360,2,0)</f>
        <v>157</v>
      </c>
      <c r="AF12" s="247" t="n">
        <f aca="false">VLOOKUP(B12,[30]Sheet1!A$6:B$360,2,0)</f>
        <v>157</v>
      </c>
      <c r="AG12" s="247" t="n">
        <f aca="false">VLOOKUP(B12,[31]Sheet1!A$6:B$360,2,0)</f>
        <v>157</v>
      </c>
      <c r="AH12" s="247" t="n">
        <f aca="false">VLOOKUP(B12,[32]Sheet1!A$6:B$360,2,0)</f>
        <v>157</v>
      </c>
      <c r="AI12" s="247" t="n">
        <f aca="false">VLOOKUP(B12,[33]Sheet1!A$6:B$360,2,0)</f>
        <v>157</v>
      </c>
      <c r="AJ12" s="263" t="n">
        <f aca="false">VLOOKUP(B12,[34]Sheet1!A$6:B$360,2,0)</f>
        <v>157</v>
      </c>
      <c r="AK12" s="259" t="n">
        <f aca="false">VLOOKUP(B12,[35]Sheet1!A$6:B$360,2,0)</f>
        <v>157</v>
      </c>
      <c r="AL12" s="247" t="n">
        <f aca="false">VLOOKUP(B12,[36]Sheet1!A$6:B$360,2,0)</f>
        <v>157</v>
      </c>
      <c r="AM12" s="247" t="n">
        <f aca="false">VLOOKUP(B12,[37]Sheet1!A$6:B$360,2,0)</f>
        <v>157</v>
      </c>
      <c r="AN12" s="247" t="n">
        <f aca="false">VLOOKUP(B12,[38]Sheet1!A$6:B$360,2,0)</f>
        <v>157</v>
      </c>
      <c r="AO12" s="263" t="n">
        <f aca="false">VLOOKUP(B12,[39]Sheet1!A$6:B$360,2,0)</f>
        <v>157</v>
      </c>
      <c r="AP12" s="259" t="n">
        <f aca="false">VLOOKUP(B12,[40]Sheet1!A$6:B$360,2,0)</f>
        <v>157</v>
      </c>
      <c r="AQ12" s="247" t="n">
        <f aca="false">VLOOKUP(B12,[41]Sheet1!A$6:B$360,2,0)</f>
        <v>157</v>
      </c>
      <c r="AR12" s="247" t="n">
        <f aca="false">VLOOKUP(B12,[42]Sheet1!A$6:B$360,2,0)</f>
        <v>157</v>
      </c>
    </row>
    <row r="13" customFormat="false" ht="12.8" hidden="false" customHeight="false" outlineLevel="0" collapsed="false">
      <c r="A13" s="23" t="s">
        <v>284</v>
      </c>
      <c r="B13" s="258" t="s">
        <v>361</v>
      </c>
      <c r="C13" s="247" t="n">
        <f aca="false">VLOOKUP(B13,[1]Sheet1!A$1:B$1048576,2,0)</f>
        <v>500</v>
      </c>
      <c r="D13" s="247" t="n">
        <f aca="false">VLOOKUP(B13,[2]Sheet1!A$6:B$360,2,0)</f>
        <v>500</v>
      </c>
      <c r="E13" s="247" t="n">
        <f aca="false">VLOOKUP(B13,[3]Sheet1!A$6:B$360,2,0)</f>
        <v>500</v>
      </c>
      <c r="F13" s="247" t="n">
        <f aca="false">VLOOKUP(B13,[4]Sheet1!A$6:B$360,2,0)</f>
        <v>500</v>
      </c>
      <c r="G13" s="247" t="n">
        <f aca="false">VLOOKUP(B13,[5]Sheet1!A$6:B$360,2,0)</f>
        <v>500</v>
      </c>
      <c r="H13" s="247" t="n">
        <f aca="false">VLOOKUP(B13,[6]Sheet1!A$6:B$360,2,0)</f>
        <v>500</v>
      </c>
      <c r="I13" s="247" t="n">
        <f aca="false">VLOOKUP(B13,[7]Sheet1!A$6:B$360,2,0)</f>
        <v>500</v>
      </c>
      <c r="J13" s="247" t="n">
        <f aca="false">VLOOKUP(B13,[8]Sheet1!A$6:B$360,2,0)</f>
        <v>500</v>
      </c>
      <c r="K13" s="259" t="n">
        <f aca="false">VLOOKUP(B13,[9]Sheet1!A$6:B$360,2,0)</f>
        <v>500</v>
      </c>
      <c r="L13" s="260" t="n">
        <f aca="false">VLOOKUP(B13,[10]Sheet1!A$1:B$1048576,2,0)</f>
        <v>500</v>
      </c>
      <c r="M13" s="247" t="n">
        <f aca="false">VLOOKUP(B13,[11]Sheet1!A$6:B$360,2,0)</f>
        <v>500</v>
      </c>
      <c r="N13" s="247" t="n">
        <f aca="false">VLOOKUP(B13,[12]Sheet1!A$6:B$360,2,0)</f>
        <v>500</v>
      </c>
      <c r="O13" s="247" t="n">
        <f aca="false">VLOOKUP(B13,[13]Sheet1!A$6:B$360,2,0)</f>
        <v>500</v>
      </c>
      <c r="P13" s="247" t="n">
        <f aca="false">VLOOKUP(B13,[14]Sheet1!A$6:B$360,2,0)</f>
        <v>500</v>
      </c>
      <c r="Q13" s="261" t="n">
        <f aca="false">VLOOKUP(B13,[15]Sheet1!A$6:B$360,2,0)</f>
        <v>500</v>
      </c>
      <c r="R13" s="259" t="n">
        <f aca="false">VLOOKUP(B13,[16]Sheet1!A$6:B$360,2,0)</f>
        <v>500</v>
      </c>
      <c r="S13" s="247" t="n">
        <f aca="false">VLOOKUP(B13,[17]Sheet1!A$6:B$360,2,0)</f>
        <v>500</v>
      </c>
      <c r="T13" s="247" t="n">
        <f aca="false">VLOOKUP(B13,[18]Sheet1!A$6:B$360,2,0)</f>
        <v>500</v>
      </c>
      <c r="U13" s="247" t="n">
        <f aca="false">VLOOKUP(B13,[19]Sheet1!A$6:B$360,2,0)</f>
        <v>500</v>
      </c>
      <c r="V13" s="247" t="n">
        <f aca="false">VLOOKUP(B13,[20]Sheet1!A$6:B$360,2,0)</f>
        <v>500</v>
      </c>
      <c r="W13" s="247" t="n">
        <f aca="false">VLOOKUP(B13,[21]Sheet1!A$6:B$360,2,0)</f>
        <v>500</v>
      </c>
      <c r="X13" s="247" t="n">
        <f aca="false">VLOOKUP(B13,[22]Sheet1!A$6:B$360,2,0)</f>
        <v>500</v>
      </c>
      <c r="Y13" s="263" t="n">
        <f aca="false">VLOOKUP(B13,[23]Sheet1!A$6:B$360,2,0)</f>
        <v>500</v>
      </c>
      <c r="Z13" s="259" t="n">
        <f aca="false">VLOOKUP(B13,[24]Sheet1!A$6:B$360,2,0)</f>
        <v>500</v>
      </c>
      <c r="AA13" s="247" t="n">
        <f aca="false">VLOOKUP(B13,[25]Sheet1!A$6:B$360,2,0)</f>
        <v>500</v>
      </c>
      <c r="AB13" s="247" t="n">
        <f aca="false">VLOOKUP(B13,[26]Sheet1!A$6:B$360,2,0)</f>
        <v>500</v>
      </c>
      <c r="AC13" s="247" t="n">
        <f aca="false">VLOOKUP(B13,[27]Sheet1!A$6:B$360,2,0)</f>
        <v>500</v>
      </c>
      <c r="AD13" s="263" t="n">
        <f aca="false">VLOOKUP(B13,[28]Sheet1!A$6:B$360,2,0)</f>
        <v>500</v>
      </c>
      <c r="AE13" s="259" t="n">
        <f aca="false">VLOOKUP(B13,[29]Sheet1!A$6:B$360,2,0)</f>
        <v>500</v>
      </c>
      <c r="AF13" s="247" t="n">
        <f aca="false">VLOOKUP(B13,[30]Sheet1!A$6:B$360,2,0)</f>
        <v>500</v>
      </c>
      <c r="AG13" s="247" t="n">
        <f aca="false">VLOOKUP(B13,[31]Sheet1!A$6:B$360,2,0)</f>
        <v>500</v>
      </c>
      <c r="AH13" s="247" t="n">
        <f aca="false">VLOOKUP(B13,[32]Sheet1!A$6:B$360,2,0)</f>
        <v>500</v>
      </c>
      <c r="AI13" s="247" t="n">
        <f aca="false">VLOOKUP(B13,[33]Sheet1!A$6:B$360,2,0)</f>
        <v>500</v>
      </c>
      <c r="AJ13" s="263" t="n">
        <f aca="false">VLOOKUP(B13,[34]Sheet1!A$6:B$360,2,0)</f>
        <v>500</v>
      </c>
      <c r="AK13" s="259" t="n">
        <f aca="false">VLOOKUP(B13,[35]Sheet1!A$6:B$360,2,0)</f>
        <v>500</v>
      </c>
      <c r="AL13" s="247" t="n">
        <f aca="false">VLOOKUP(B13,[36]Sheet1!A$6:B$360,2,0)</f>
        <v>500</v>
      </c>
      <c r="AM13" s="247" t="n">
        <f aca="false">VLOOKUP(B13,[37]Sheet1!A$6:B$360,2,0)</f>
        <v>500</v>
      </c>
      <c r="AN13" s="247" t="n">
        <f aca="false">VLOOKUP(B13,[38]Sheet1!A$6:B$360,2,0)</f>
        <v>500</v>
      </c>
      <c r="AO13" s="263" t="n">
        <f aca="false">VLOOKUP(B13,[39]Sheet1!A$6:B$360,2,0)</f>
        <v>500</v>
      </c>
      <c r="AP13" s="259" t="n">
        <f aca="false">VLOOKUP(B13,[40]Sheet1!A$6:B$360,2,0)</f>
        <v>500</v>
      </c>
      <c r="AQ13" s="247" t="n">
        <f aca="false">VLOOKUP(B13,[41]Sheet1!A$6:B$360,2,0)</f>
        <v>500</v>
      </c>
      <c r="AR13" s="247" t="n">
        <f aca="false">VLOOKUP(B13,[42]Sheet1!A$6:B$360,2,0)</f>
        <v>300</v>
      </c>
    </row>
    <row r="14" customFormat="false" ht="12.8" hidden="false" customHeight="false" outlineLevel="0" collapsed="false">
      <c r="A14" s="23" t="s">
        <v>285</v>
      </c>
      <c r="B14" s="258" t="s">
        <v>362</v>
      </c>
      <c r="C14" s="247" t="n">
        <f aca="false">VLOOKUP(B14,[1]Sheet1!A$1:B$1048576,2,0)</f>
        <v>500</v>
      </c>
      <c r="D14" s="247" t="n">
        <f aca="false">VLOOKUP(B14,[2]Sheet1!A$6:B$360,2,0)</f>
        <v>500</v>
      </c>
      <c r="E14" s="247" t="n">
        <f aca="false">VLOOKUP(B14,[3]Sheet1!A$6:B$360,2,0)</f>
        <v>500</v>
      </c>
      <c r="F14" s="247" t="n">
        <f aca="false">VLOOKUP(B14,[4]Sheet1!A$6:B$360,2,0)</f>
        <v>500</v>
      </c>
      <c r="G14" s="247" t="n">
        <f aca="false">VLOOKUP(B14,[5]Sheet1!A$6:B$360,2,0)</f>
        <v>500</v>
      </c>
      <c r="H14" s="247" t="n">
        <f aca="false">VLOOKUP(B14,[6]Sheet1!A$6:B$360,2,0)</f>
        <v>500</v>
      </c>
      <c r="I14" s="247" t="n">
        <f aca="false">VLOOKUP(B14,[7]Sheet1!A$6:B$360,2,0)</f>
        <v>500</v>
      </c>
      <c r="J14" s="247" t="n">
        <f aca="false">VLOOKUP(B14,[8]Sheet1!A$6:B$360,2,0)</f>
        <v>500</v>
      </c>
      <c r="K14" s="259" t="n">
        <f aca="false">VLOOKUP(B14,[9]Sheet1!A$6:B$360,2,0)</f>
        <v>500</v>
      </c>
      <c r="L14" s="260" t="n">
        <f aca="false">VLOOKUP(B14,[10]Sheet1!A$1:B$1048576,2,0)</f>
        <v>500</v>
      </c>
      <c r="M14" s="247" t="n">
        <f aca="false">VLOOKUP(B14,[11]Sheet1!A$6:B$360,2,0)</f>
        <v>500</v>
      </c>
      <c r="N14" s="247" t="n">
        <f aca="false">VLOOKUP(B14,[12]Sheet1!A$6:B$360,2,0)</f>
        <v>500</v>
      </c>
      <c r="O14" s="247" t="n">
        <f aca="false">VLOOKUP(B14,[13]Sheet1!A$6:B$360,2,0)</f>
        <v>500</v>
      </c>
      <c r="P14" s="247" t="n">
        <f aca="false">VLOOKUP(B14,[14]Sheet1!A$6:B$360,2,0)</f>
        <v>500</v>
      </c>
      <c r="Q14" s="261" t="n">
        <f aca="false">VLOOKUP(B14,[15]Sheet1!A$6:B$360,2,0)</f>
        <v>500</v>
      </c>
      <c r="R14" s="259" t="n">
        <f aca="false">VLOOKUP(B14,[16]Sheet1!A$6:B$360,2,0)</f>
        <v>500</v>
      </c>
      <c r="S14" s="247" t="n">
        <f aca="false">VLOOKUP(B14,[17]Sheet1!A$6:B$360,2,0)</f>
        <v>500</v>
      </c>
      <c r="T14" s="247" t="n">
        <f aca="false">VLOOKUP(B14,[18]Sheet1!A$6:B$360,2,0)</f>
        <v>500</v>
      </c>
      <c r="U14" s="247" t="n">
        <f aca="false">VLOOKUP(B14,[19]Sheet1!A$6:B$360,2,0)</f>
        <v>500</v>
      </c>
      <c r="V14" s="247" t="n">
        <f aca="false">VLOOKUP(B14,[20]Sheet1!A$6:B$360,2,0)</f>
        <v>500</v>
      </c>
      <c r="W14" s="247" t="n">
        <f aca="false">VLOOKUP(B14,[21]Sheet1!A$6:B$360,2,0)</f>
        <v>500</v>
      </c>
      <c r="X14" s="247" t="n">
        <f aca="false">VLOOKUP(B14,[22]Sheet1!A$6:B$360,2,0)</f>
        <v>500</v>
      </c>
      <c r="Y14" s="263" t="n">
        <f aca="false">VLOOKUP(B14,[23]Sheet1!A$6:B$360,2,0)</f>
        <v>500</v>
      </c>
      <c r="Z14" s="259" t="n">
        <f aca="false">VLOOKUP(B14,[24]Sheet1!A$6:B$360,2,0)</f>
        <v>500</v>
      </c>
      <c r="AA14" s="247" t="n">
        <f aca="false">VLOOKUP(B14,[25]Sheet1!A$6:B$360,2,0)</f>
        <v>500</v>
      </c>
      <c r="AB14" s="247" t="n">
        <f aca="false">VLOOKUP(B14,[26]Sheet1!A$6:B$360,2,0)</f>
        <v>500</v>
      </c>
      <c r="AC14" s="247" t="n">
        <f aca="false">VLOOKUP(B14,[27]Sheet1!A$6:B$360,2,0)</f>
        <v>500</v>
      </c>
      <c r="AD14" s="263" t="n">
        <f aca="false">VLOOKUP(B14,[28]Sheet1!A$6:B$360,2,0)</f>
        <v>500</v>
      </c>
      <c r="AE14" s="259" t="n">
        <f aca="false">VLOOKUP(B14,[29]Sheet1!A$6:B$360,2,0)</f>
        <v>500</v>
      </c>
      <c r="AF14" s="247" t="n">
        <f aca="false">VLOOKUP(B14,[30]Sheet1!A$6:B$360,2,0)</f>
        <v>500</v>
      </c>
      <c r="AG14" s="247" t="n">
        <f aca="false">VLOOKUP(B14,[31]Sheet1!A$6:B$360,2,0)</f>
        <v>500</v>
      </c>
      <c r="AH14" s="247" t="n">
        <f aca="false">VLOOKUP(B14,[32]Sheet1!A$6:B$360,2,0)</f>
        <v>500</v>
      </c>
      <c r="AI14" s="247" t="n">
        <f aca="false">VLOOKUP(B14,[33]Sheet1!A$6:B$360,2,0)</f>
        <v>500</v>
      </c>
      <c r="AJ14" s="263" t="n">
        <f aca="false">VLOOKUP(B14,[34]Sheet1!A$6:B$360,2,0)</f>
        <v>500</v>
      </c>
      <c r="AK14" s="259" t="n">
        <f aca="false">VLOOKUP(B14,[35]Sheet1!A$6:B$360,2,0)</f>
        <v>500</v>
      </c>
      <c r="AL14" s="247" t="n">
        <f aca="false">VLOOKUP(B14,[36]Sheet1!A$6:B$360,2,0)</f>
        <v>500</v>
      </c>
      <c r="AM14" s="247" t="n">
        <f aca="false">VLOOKUP(B14,[37]Sheet1!A$6:B$360,2,0)</f>
        <v>500</v>
      </c>
      <c r="AN14" s="247" t="n">
        <f aca="false">VLOOKUP(B14,[38]Sheet1!A$6:B$360,2,0)</f>
        <v>500</v>
      </c>
      <c r="AO14" s="263" t="n">
        <f aca="false">VLOOKUP(B14,[39]Sheet1!A$6:B$360,2,0)</f>
        <v>500</v>
      </c>
      <c r="AP14" s="259" t="n">
        <f aca="false">VLOOKUP(B14,[40]Sheet1!A$6:B$360,2,0)</f>
        <v>500</v>
      </c>
      <c r="AQ14" s="247" t="n">
        <f aca="false">VLOOKUP(B14,[41]Sheet1!A$6:B$360,2,0)</f>
        <v>500</v>
      </c>
      <c r="AR14" s="247" t="n">
        <f aca="false">VLOOKUP(B14,[42]Sheet1!A$6:B$360,2,0)</f>
        <v>545</v>
      </c>
    </row>
    <row r="15" customFormat="false" ht="12.8" hidden="false" customHeight="false" outlineLevel="0" collapsed="false">
      <c r="A15" s="23" t="s">
        <v>286</v>
      </c>
      <c r="B15" s="258" t="s">
        <v>363</v>
      </c>
      <c r="C15" s="247" t="n">
        <f aca="false">VLOOKUP(B15,[1]Sheet1!A$1:B$1048576,2,0)</f>
        <v>1790</v>
      </c>
      <c r="D15" s="247" t="n">
        <f aca="false">VLOOKUP(B15,[2]Sheet1!A$6:B$360,2,0)</f>
        <v>1790</v>
      </c>
      <c r="E15" s="247" t="n">
        <f aca="false">VLOOKUP(B15,[3]Sheet1!A$6:B$360,2,0)</f>
        <v>1790</v>
      </c>
      <c r="F15" s="247" t="n">
        <f aca="false">VLOOKUP(B15,[4]Sheet1!A$6:B$360,2,0)</f>
        <v>1790</v>
      </c>
      <c r="G15" s="247" t="n">
        <f aca="false">VLOOKUP(B15,[5]Sheet1!A$6:B$360,2,0)</f>
        <v>1790</v>
      </c>
      <c r="H15" s="247" t="n">
        <f aca="false">VLOOKUP(B15,[6]Sheet1!A$6:B$360,2,0)</f>
        <v>1790</v>
      </c>
      <c r="I15" s="247" t="n">
        <f aca="false">VLOOKUP(B15,[7]Sheet1!A$6:B$360,2,0)</f>
        <v>1790</v>
      </c>
      <c r="J15" s="247" t="n">
        <f aca="false">VLOOKUP(B15,[8]Sheet1!A$6:B$360,2,0)</f>
        <v>1790</v>
      </c>
      <c r="K15" s="259" t="n">
        <f aca="false">VLOOKUP(B15,[9]Sheet1!A$6:B$360,2,0)</f>
        <v>1790</v>
      </c>
      <c r="L15" s="260" t="n">
        <f aca="false">VLOOKUP(B15,[10]Sheet1!A$1:B$1048576,2,0)</f>
        <v>1790</v>
      </c>
      <c r="M15" s="247" t="n">
        <f aca="false">VLOOKUP(B15,[11]Sheet1!A$6:B$360,2,0)</f>
        <v>1790</v>
      </c>
      <c r="N15" s="247" t="n">
        <f aca="false">VLOOKUP(B15,[12]Sheet1!A$6:B$360,2,0)</f>
        <v>1790</v>
      </c>
      <c r="O15" s="247" t="n">
        <f aca="false">VLOOKUP(B15,[13]Sheet1!A$6:B$360,2,0)</f>
        <v>1790</v>
      </c>
      <c r="P15" s="247" t="n">
        <f aca="false">VLOOKUP(B15,[14]Sheet1!A$6:B$360,2,0)</f>
        <v>1790</v>
      </c>
      <c r="Q15" s="261" t="n">
        <f aca="false">VLOOKUP(B15,[15]Sheet1!A$6:B$360,2,0)</f>
        <v>1790</v>
      </c>
      <c r="R15" s="259" t="n">
        <f aca="false">VLOOKUP(B15,[16]Sheet1!A$6:B$360,2,0)</f>
        <v>1790</v>
      </c>
      <c r="S15" s="247" t="n">
        <f aca="false">VLOOKUP(B15,[17]Sheet1!A$6:B$360,2,0)</f>
        <v>1790</v>
      </c>
      <c r="T15" s="247" t="n">
        <f aca="false">VLOOKUP(B15,[18]Sheet1!A$6:B$360,2,0)</f>
        <v>1790</v>
      </c>
      <c r="U15" s="247" t="n">
        <f aca="false">VLOOKUP(B15,[19]Sheet1!A$6:B$360,2,0)</f>
        <v>1790</v>
      </c>
      <c r="V15" s="247" t="n">
        <f aca="false">VLOOKUP(B15,[20]Sheet1!A$6:B$360,2,0)</f>
        <v>1790</v>
      </c>
      <c r="W15" s="247" t="n">
        <f aca="false">VLOOKUP(B15,[21]Sheet1!A$6:B$360,2,0)</f>
        <v>1790</v>
      </c>
      <c r="X15" s="247" t="n">
        <f aca="false">VLOOKUP(B15,[22]Sheet1!A$6:B$360,2,0)</f>
        <v>1790</v>
      </c>
      <c r="Y15" s="263" t="n">
        <f aca="false">VLOOKUP(B15,[23]Sheet1!A$6:B$360,2,0)</f>
        <v>1790</v>
      </c>
      <c r="Z15" s="259" t="n">
        <f aca="false">VLOOKUP(B15,[24]Sheet1!A$6:B$360,2,0)</f>
        <v>1790</v>
      </c>
      <c r="AA15" s="247" t="n">
        <f aca="false">VLOOKUP(B15,[25]Sheet1!A$6:B$360,2,0)</f>
        <v>1790</v>
      </c>
      <c r="AB15" s="247" t="n">
        <f aca="false">VLOOKUP(B15,[26]Sheet1!A$6:B$360,2,0)</f>
        <v>1790</v>
      </c>
      <c r="AC15" s="247" t="n">
        <f aca="false">VLOOKUP(B15,[27]Sheet1!A$6:B$360,2,0)</f>
        <v>1790</v>
      </c>
      <c r="AD15" s="263" t="n">
        <f aca="false">VLOOKUP(B15,[28]Sheet1!A$6:B$360,2,0)</f>
        <v>1790</v>
      </c>
      <c r="AE15" s="259" t="n">
        <f aca="false">VLOOKUP(B15,[29]Sheet1!A$6:B$360,2,0)</f>
        <v>1790</v>
      </c>
      <c r="AF15" s="247" t="n">
        <f aca="false">VLOOKUP(B15,[30]Sheet1!A$6:B$360,2,0)</f>
        <v>1790</v>
      </c>
      <c r="AG15" s="247" t="n">
        <f aca="false">VLOOKUP(B15,[31]Sheet1!A$6:B$360,2,0)</f>
        <v>1794</v>
      </c>
      <c r="AH15" s="247" t="n">
        <f aca="false">VLOOKUP(B15,[32]Sheet1!A$6:B$360,2,0)</f>
        <v>1795</v>
      </c>
      <c r="AI15" s="247" t="n">
        <f aca="false">VLOOKUP(B15,[33]Sheet1!A$6:B$360,2,0)</f>
        <v>1795</v>
      </c>
      <c r="AJ15" s="263" t="n">
        <f aca="false">VLOOKUP(B15,[34]Sheet1!A$6:B$360,2,0)</f>
        <v>1795</v>
      </c>
      <c r="AK15" s="259" t="n">
        <f aca="false">VLOOKUP(B15,[35]Sheet1!A$6:B$360,2,0)</f>
        <v>1795</v>
      </c>
      <c r="AL15" s="247" t="n">
        <f aca="false">VLOOKUP(B15,[36]Sheet1!A$6:B$360,2,0)</f>
        <v>1795</v>
      </c>
      <c r="AM15" s="247" t="n">
        <f aca="false">VLOOKUP(B15,[37]Sheet1!A$6:B$360,2,0)</f>
        <v>1795</v>
      </c>
      <c r="AN15" s="247" t="n">
        <f aca="false">VLOOKUP(B15,[38]Sheet1!A$6:B$360,2,0)</f>
        <v>1795</v>
      </c>
      <c r="AO15" s="263" t="n">
        <f aca="false">VLOOKUP(B15,[39]Sheet1!A$6:B$360,2,0)</f>
        <v>1795</v>
      </c>
      <c r="AP15" s="259" t="n">
        <f aca="false">VLOOKUP(B15,[40]Sheet1!A$6:B$360,2,0)</f>
        <v>1795</v>
      </c>
      <c r="AQ15" s="247" t="n">
        <f aca="false">VLOOKUP(B15,[41]Sheet1!A$6:B$360,2,0)</f>
        <v>1795</v>
      </c>
      <c r="AR15" s="247" t="n">
        <f aca="false">VLOOKUP(B15,[42]Sheet1!A$6:B$360,2,0)</f>
        <v>1795</v>
      </c>
    </row>
    <row r="16" customFormat="false" ht="12.8" hidden="false" customHeight="false" outlineLevel="0" collapsed="false">
      <c r="A16" s="264" t="s">
        <v>184</v>
      </c>
      <c r="B16" s="265" t="s">
        <v>364</v>
      </c>
      <c r="C16" s="247" t="n">
        <f aca="false">VLOOKUP(B16,[1]Sheet1!A$1:B$1048576,2,0)</f>
        <v>1630.31</v>
      </c>
      <c r="D16" s="247" t="n">
        <f aca="false">VLOOKUP(B16,[2]Sheet1!A$6:B$360,2,0)</f>
        <v>1440.36</v>
      </c>
      <c r="E16" s="247" t="n">
        <f aca="false">VLOOKUP(B16,[3]Sheet1!A$6:B$360,2,0)</f>
        <v>1440</v>
      </c>
      <c r="F16" s="247" t="n">
        <f aca="false">VLOOKUP(B16,[4]Sheet1!A$6:B$360,2,0)</f>
        <v>1440</v>
      </c>
      <c r="G16" s="247" t="n">
        <f aca="false">VLOOKUP(B16,[5]Sheet1!A$6:B$360,2,0)</f>
        <v>1340</v>
      </c>
      <c r="H16" s="247" t="n">
        <f aca="false">VLOOKUP(B16,[6]Sheet1!A$6:B$360,2,0)</f>
        <v>1380</v>
      </c>
      <c r="I16" s="247" t="n">
        <f aca="false">VLOOKUP(B16,[7]Sheet1!A$6:B$360,2,0)</f>
        <v>1230</v>
      </c>
      <c r="J16" s="247" t="n">
        <f aca="false">VLOOKUP(B16,[8]Sheet1!A$6:B$360,2,0)</f>
        <v>1172.86</v>
      </c>
      <c r="K16" s="259" t="n">
        <f aca="false">VLOOKUP(B16,[9]Sheet1!A$6:B$360,2,0)</f>
        <v>1179.25</v>
      </c>
      <c r="L16" s="260" t="n">
        <f aca="false">VLOOKUP(B16,[10]Sheet1!A$1:B$1048576,2,0)</f>
        <v>1120</v>
      </c>
      <c r="M16" s="247" t="n">
        <f aca="false">VLOOKUP(B16,[11]Sheet1!A$6:B$360,2,0)</f>
        <v>1115.6</v>
      </c>
      <c r="N16" s="247" t="n">
        <f aca="false">VLOOKUP(B16,[12]Sheet1!A$6:B$360,2,0)</f>
        <v>1110</v>
      </c>
      <c r="O16" s="247" t="n">
        <f aca="false">VLOOKUP(B16,[13]Sheet1!A$6:B$360,2,0)</f>
        <v>1110</v>
      </c>
      <c r="P16" s="247" t="n">
        <f aca="false">VLOOKUP(B16,[14]Sheet1!A$6:B$360,2,0)</f>
        <v>1149.37</v>
      </c>
      <c r="Q16" s="261" t="n">
        <f aca="false">VLOOKUP(B16,[15]Sheet1!A$6:B$360,2,0)</f>
        <v>1201</v>
      </c>
      <c r="R16" s="259" t="n">
        <f aca="false">VLOOKUP(B16,[16]Sheet1!A$6:B$360,2,0)</f>
        <v>1275.08</v>
      </c>
      <c r="S16" s="247" t="n">
        <f aca="false">VLOOKUP(B16,[17]Sheet1!A$6:B$360,2,0)</f>
        <v>1499.6</v>
      </c>
      <c r="T16" s="247" t="n">
        <f aca="false">VLOOKUP(B16,[18]Sheet1!A$6:B$360,2,0)</f>
        <v>1388.37</v>
      </c>
      <c r="U16" s="247" t="n">
        <f aca="false">VLOOKUP(B16,[19]Sheet1!A$6:B$360,2,0)</f>
        <v>1320</v>
      </c>
      <c r="V16" s="247" t="n">
        <f aca="false">VLOOKUP(B16,[20]Sheet1!A$6:B$360,2,0)</f>
        <v>1299.95</v>
      </c>
      <c r="W16" s="247" t="n">
        <f aca="false">VLOOKUP(B16,[21]Sheet1!A$6:B$360,2,0)</f>
        <v>1184.16</v>
      </c>
      <c r="X16" s="247" t="n">
        <f aca="false">VLOOKUP(B16,[22]Sheet1!A$6:B$360,2,0)</f>
        <v>1184.16</v>
      </c>
      <c r="Y16" s="263" t="n">
        <f aca="false">VLOOKUP(B16,[23]Sheet1!A$6:B$360,2,0)</f>
        <v>1315.36</v>
      </c>
      <c r="Z16" s="259" t="n">
        <f aca="false">VLOOKUP(B16,[24]Sheet1!A$6:B$360,2,0)</f>
        <v>1392.78</v>
      </c>
      <c r="AA16" s="247" t="n">
        <f aca="false">VLOOKUP(B16,[25]Sheet1!A$6:B$360,2,0)</f>
        <v>1305</v>
      </c>
      <c r="AB16" s="247" t="n">
        <f aca="false">VLOOKUP(B16,[26]Sheet1!A$6:B$360,2,0)</f>
        <v>1301</v>
      </c>
      <c r="AC16" s="247" t="n">
        <f aca="false">VLOOKUP(B16,[27]Sheet1!A$6:B$360,2,0)</f>
        <v>1200</v>
      </c>
      <c r="AD16" s="263" t="n">
        <f aca="false">VLOOKUP(B16,[28]Sheet1!A$6:B$360,2,0)</f>
        <v>1053.14</v>
      </c>
      <c r="AE16" s="259" t="n">
        <f aca="false">VLOOKUP(B16,[29]Sheet1!A$6:B$360,2,0)</f>
        <v>1118.95</v>
      </c>
      <c r="AF16" s="247" t="n">
        <f aca="false">VLOOKUP(B16,[30]Sheet1!A$6:B$360,2,0)</f>
        <v>1030</v>
      </c>
      <c r="AG16" s="247" t="n">
        <f aca="false">VLOOKUP(B16,[31]Sheet1!A$6:B$360,2,0)</f>
        <v>1029.74</v>
      </c>
      <c r="AH16" s="247" t="n">
        <f aca="false">VLOOKUP(B16,[32]Sheet1!A$6:B$360,2,0)</f>
        <v>931.1</v>
      </c>
      <c r="AI16" s="247" t="n">
        <f aca="false">VLOOKUP(B16,[33]Sheet1!A$6:B$360,2,0)</f>
        <v>790.86</v>
      </c>
      <c r="AJ16" s="263" t="n">
        <f aca="false">VLOOKUP(B16,[34]Sheet1!A$6:B$360,2,0)</f>
        <v>1199.4</v>
      </c>
      <c r="AK16" s="259" t="n">
        <f aca="false">VLOOKUP(B16,[35]Sheet1!A$6:B$360,2,0)</f>
        <v>1126.29</v>
      </c>
      <c r="AL16" s="247" t="n">
        <f aca="false">VLOOKUP(B16,[36]Sheet1!A$6:B$360,2,0)</f>
        <v>1023.75</v>
      </c>
      <c r="AM16" s="247" t="n">
        <f aca="false">VLOOKUP(B16,[37]Sheet1!A$6:B$360,2,0)</f>
        <v>937.42</v>
      </c>
      <c r="AN16" s="247" t="n">
        <f aca="false">VLOOKUP(B16,[38]Sheet1!A$6:B$360,2,0)</f>
        <v>871.33</v>
      </c>
      <c r="AO16" s="263" t="n">
        <f aca="false">VLOOKUP(B16,[39]Sheet1!A$6:B$360,2,0)</f>
        <v>820</v>
      </c>
      <c r="AP16" s="259" t="n">
        <f aca="false">VLOOKUP(B16,[40]Sheet1!A$6:B$360,2,0)</f>
        <v>800.48</v>
      </c>
      <c r="AQ16" s="247" t="n">
        <f aca="false">VLOOKUP(B16,[41]Sheet1!A$6:B$360,2,0)</f>
        <v>864.59</v>
      </c>
      <c r="AR16" s="247" t="n">
        <f aca="false">VLOOKUP(B16,[42]Sheet1!A$6:B$360,2,0)</f>
        <v>814.41</v>
      </c>
    </row>
    <row r="17" customFormat="false" ht="12.8" hidden="false" customHeight="false" outlineLevel="0" collapsed="false">
      <c r="A17" s="23" t="s">
        <v>287</v>
      </c>
      <c r="B17" s="258" t="s">
        <v>365</v>
      </c>
      <c r="C17" s="247" t="n">
        <f aca="false">VLOOKUP(B17,[1]Sheet1!A$1:B$1048576,2,0)</f>
        <v>2250</v>
      </c>
      <c r="D17" s="247" t="n">
        <f aca="false">VLOOKUP(B17,[2]Sheet1!A$6:B$360,2,0)</f>
        <v>2250</v>
      </c>
      <c r="E17" s="247" t="n">
        <f aca="false">VLOOKUP(B17,[3]Sheet1!A$6:B$360,2,0)</f>
        <v>2250</v>
      </c>
      <c r="F17" s="247" t="n">
        <f aca="false">VLOOKUP(B17,[4]Sheet1!A$6:B$360,2,0)</f>
        <v>2250</v>
      </c>
      <c r="G17" s="247" t="n">
        <f aca="false">VLOOKUP(B17,[5]Sheet1!A$6:B$360,2,0)</f>
        <v>2250</v>
      </c>
      <c r="H17" s="247" t="n">
        <f aca="false">VLOOKUP(B17,[6]Sheet1!A$6:B$360,2,0)</f>
        <v>2250</v>
      </c>
      <c r="I17" s="247" t="n">
        <f aca="false">VLOOKUP(B17,[7]Sheet1!A$6:B$360,2,0)</f>
        <v>2250</v>
      </c>
      <c r="J17" s="247" t="n">
        <f aca="false">VLOOKUP(B17,[8]Sheet1!A$6:B$360,2,0)</f>
        <v>2250</v>
      </c>
      <c r="K17" s="259" t="n">
        <f aca="false">VLOOKUP(B17,[9]Sheet1!A$6:B$360,2,0)</f>
        <v>2250</v>
      </c>
      <c r="L17" s="260" t="n">
        <f aca="false">VLOOKUP(B17,[10]Sheet1!A$1:B$1048576,2,0)</f>
        <v>2250</v>
      </c>
      <c r="M17" s="247" t="n">
        <f aca="false">VLOOKUP(B17,[11]Sheet1!A$6:B$360,2,0)</f>
        <v>2250</v>
      </c>
      <c r="N17" s="247" t="n">
        <f aca="false">VLOOKUP(B17,[12]Sheet1!A$6:B$360,2,0)</f>
        <v>2250</v>
      </c>
      <c r="O17" s="247" t="n">
        <f aca="false">VLOOKUP(B17,[13]Sheet1!A$6:B$360,2,0)</f>
        <v>2250</v>
      </c>
      <c r="P17" s="247" t="n">
        <f aca="false">VLOOKUP(B17,[14]Sheet1!A$6:B$360,2,0)</f>
        <v>2250</v>
      </c>
      <c r="Q17" s="261" t="n">
        <f aca="false">VLOOKUP(B17,[15]Sheet1!A$6:B$360,2,0)</f>
        <v>2250</v>
      </c>
      <c r="R17" s="259" t="n">
        <f aca="false">VLOOKUP(B17,[16]Sheet1!A$6:B$360,2,0)</f>
        <v>2250</v>
      </c>
      <c r="S17" s="247" t="n">
        <f aca="false">VLOOKUP(B17,[17]Sheet1!A$6:B$360,2,0)</f>
        <v>2250</v>
      </c>
      <c r="T17" s="247" t="n">
        <f aca="false">VLOOKUP(B17,[18]Sheet1!A$6:B$360,2,0)</f>
        <v>2250</v>
      </c>
      <c r="U17" s="247" t="n">
        <f aca="false">VLOOKUP(B17,[19]Sheet1!A$6:B$360,2,0)</f>
        <v>2250</v>
      </c>
      <c r="V17" s="247" t="n">
        <f aca="false">VLOOKUP(B17,[20]Sheet1!A$6:B$360,2,0)</f>
        <v>2250</v>
      </c>
      <c r="W17" s="247" t="n">
        <f aca="false">VLOOKUP(B17,[21]Sheet1!A$6:B$360,2,0)</f>
        <v>2250</v>
      </c>
      <c r="X17" s="247" t="n">
        <f aca="false">VLOOKUP(B17,[22]Sheet1!A$6:B$360,2,0)</f>
        <v>2250</v>
      </c>
      <c r="Y17" s="263" t="n">
        <f aca="false">VLOOKUP(B17,[23]Sheet1!A$6:B$360,2,0)</f>
        <v>2250</v>
      </c>
      <c r="Z17" s="259" t="n">
        <f aca="false">VLOOKUP(B17,[24]Sheet1!A$6:B$360,2,0)</f>
        <v>2250</v>
      </c>
      <c r="AA17" s="247" t="n">
        <f aca="false">VLOOKUP(B17,[25]Sheet1!A$6:B$360,2,0)</f>
        <v>2250</v>
      </c>
      <c r="AB17" s="247" t="n">
        <f aca="false">VLOOKUP(B17,[26]Sheet1!A$6:B$360,2,0)</f>
        <v>2250</v>
      </c>
      <c r="AC17" s="247" t="n">
        <f aca="false">VLOOKUP(B17,[27]Sheet1!A$6:B$360,2,0)</f>
        <v>2250</v>
      </c>
      <c r="AD17" s="263" t="n">
        <f aca="false">VLOOKUP(B17,[28]Sheet1!A$6:B$360,2,0)</f>
        <v>2250</v>
      </c>
      <c r="AE17" s="259" t="n">
        <f aca="false">VLOOKUP(B17,[29]Sheet1!A$6:B$360,2,0)</f>
        <v>2250</v>
      </c>
      <c r="AF17" s="247" t="n">
        <f aca="false">VLOOKUP(B17,[30]Sheet1!A$6:B$360,2,0)</f>
        <v>2250</v>
      </c>
      <c r="AG17" s="247" t="n">
        <f aca="false">VLOOKUP(B17,[31]Sheet1!A$6:B$360,2,0)</f>
        <v>2250</v>
      </c>
      <c r="AH17" s="247" t="n">
        <f aca="false">VLOOKUP(B17,[32]Sheet1!A$6:B$360,2,0)</f>
        <v>2250</v>
      </c>
      <c r="AI17" s="247" t="n">
        <f aca="false">VLOOKUP(B17,[33]Sheet1!A$6:B$360,2,0)</f>
        <v>2250</v>
      </c>
      <c r="AJ17" s="263" t="n">
        <f aca="false">VLOOKUP(B17,[34]Sheet1!A$6:B$360,2,0)</f>
        <v>2250</v>
      </c>
      <c r="AK17" s="259" t="n">
        <f aca="false">VLOOKUP(B17,[35]Sheet1!A$6:B$360,2,0)</f>
        <v>2250</v>
      </c>
      <c r="AL17" s="247" t="n">
        <f aca="false">VLOOKUP(B17,[36]Sheet1!A$6:B$360,2,0)</f>
        <v>2250</v>
      </c>
      <c r="AM17" s="247" t="n">
        <f aca="false">VLOOKUP(B17,[37]Sheet1!A$6:B$360,2,0)</f>
        <v>2250</v>
      </c>
      <c r="AN17" s="247" t="n">
        <f aca="false">VLOOKUP(B17,[38]Sheet1!A$6:B$360,2,0)</f>
        <v>2250</v>
      </c>
      <c r="AO17" s="263" t="n">
        <f aca="false">VLOOKUP(B17,[39]Sheet1!A$6:B$360,2,0)</f>
        <v>2250</v>
      </c>
      <c r="AP17" s="259" t="n">
        <f aca="false">VLOOKUP(B17,[40]Sheet1!A$6:B$360,2,0)</f>
        <v>2250</v>
      </c>
      <c r="AQ17" s="247" t="n">
        <f aca="false">VLOOKUP(B17,[41]Sheet1!A$6:B$360,2,0)</f>
        <v>2250</v>
      </c>
      <c r="AR17" s="247" t="n">
        <f aca="false">VLOOKUP(B17,[42]Sheet1!A$6:B$360,2,0)</f>
        <v>2250</v>
      </c>
    </row>
    <row r="18" customFormat="false" ht="12.8" hidden="false" customHeight="false" outlineLevel="0" collapsed="false">
      <c r="A18" s="23" t="s">
        <v>288</v>
      </c>
      <c r="B18" s="258" t="s">
        <v>366</v>
      </c>
      <c r="C18" s="247" t="n">
        <f aca="false">VLOOKUP(B18,[1]Sheet1!A$1:B$1048576,2,0)</f>
        <v>1550</v>
      </c>
      <c r="D18" s="247" t="n">
        <f aca="false">VLOOKUP(B18,[2]Sheet1!A$6:B$360,2,0)</f>
        <v>1550</v>
      </c>
      <c r="E18" s="247" t="n">
        <f aca="false">VLOOKUP(B18,[3]Sheet1!A$6:B$360,2,0)</f>
        <v>1550</v>
      </c>
      <c r="F18" s="247" t="n">
        <f aca="false">VLOOKUP(B18,[4]Sheet1!A$6:B$360,2,0)</f>
        <v>1550</v>
      </c>
      <c r="G18" s="247" t="n">
        <f aca="false">VLOOKUP(B18,[5]Sheet1!A$6:B$360,2,0)</f>
        <v>1550</v>
      </c>
      <c r="H18" s="247" t="n">
        <f aca="false">VLOOKUP(B18,[6]Sheet1!A$6:B$360,2,0)</f>
        <v>1550</v>
      </c>
      <c r="I18" s="247" t="n">
        <f aca="false">VLOOKUP(B18,[7]Sheet1!A$6:B$360,2,0)</f>
        <v>1550</v>
      </c>
      <c r="J18" s="247" t="n">
        <f aca="false">VLOOKUP(B18,[8]Sheet1!A$6:B$360,2,0)</f>
        <v>1550</v>
      </c>
      <c r="K18" s="259" t="n">
        <f aca="false">VLOOKUP(B18,[9]Sheet1!A$6:B$360,2,0)</f>
        <v>1550</v>
      </c>
      <c r="L18" s="260" t="n">
        <f aca="false">VLOOKUP(B18,[10]Sheet1!A$1:B$1048576,2,0)</f>
        <v>1550</v>
      </c>
      <c r="M18" s="247" t="n">
        <f aca="false">VLOOKUP(B18,[11]Sheet1!A$6:B$360,2,0)</f>
        <v>1550</v>
      </c>
      <c r="N18" s="247" t="n">
        <f aca="false">VLOOKUP(B18,[12]Sheet1!A$6:B$360,2,0)</f>
        <v>1550</v>
      </c>
      <c r="O18" s="247" t="n">
        <f aca="false">VLOOKUP(B18,[13]Sheet1!A$6:B$360,2,0)</f>
        <v>1550</v>
      </c>
      <c r="P18" s="247" t="n">
        <f aca="false">VLOOKUP(B18,[14]Sheet1!A$6:B$360,2,0)</f>
        <v>1550</v>
      </c>
      <c r="Q18" s="261" t="n">
        <f aca="false">VLOOKUP(B18,[15]Sheet1!A$6:B$360,2,0)</f>
        <v>1550</v>
      </c>
      <c r="R18" s="259" t="n">
        <f aca="false">VLOOKUP(B18,[16]Sheet1!A$6:B$360,2,0)</f>
        <v>1550</v>
      </c>
      <c r="S18" s="247" t="n">
        <f aca="false">VLOOKUP(B18,[17]Sheet1!A$6:B$360,2,0)</f>
        <v>1550</v>
      </c>
      <c r="T18" s="247" t="n">
        <f aca="false">VLOOKUP(B18,[18]Sheet1!A$6:B$360,2,0)</f>
        <v>1550</v>
      </c>
      <c r="U18" s="247" t="n">
        <f aca="false">VLOOKUP(B18,[19]Sheet1!A$6:B$360,2,0)</f>
        <v>1550</v>
      </c>
      <c r="V18" s="247" t="n">
        <f aca="false">VLOOKUP(B18,[20]Sheet1!A$6:B$360,2,0)</f>
        <v>1550</v>
      </c>
      <c r="W18" s="247" t="n">
        <f aca="false">VLOOKUP(B18,[21]Sheet1!A$6:B$360,2,0)</f>
        <v>1550</v>
      </c>
      <c r="X18" s="247" t="n">
        <f aca="false">VLOOKUP(B18,[22]Sheet1!A$6:B$360,2,0)</f>
        <v>1550</v>
      </c>
      <c r="Y18" s="263" t="n">
        <f aca="false">VLOOKUP(B18,[23]Sheet1!A$6:B$360,2,0)</f>
        <v>1550</v>
      </c>
      <c r="Z18" s="259" t="n">
        <f aca="false">VLOOKUP(B18,[24]Sheet1!A$6:B$360,2,0)</f>
        <v>1550</v>
      </c>
      <c r="AA18" s="247" t="n">
        <f aca="false">VLOOKUP(B18,[25]Sheet1!A$6:B$360,2,0)</f>
        <v>1550</v>
      </c>
      <c r="AB18" s="247" t="n">
        <f aca="false">VLOOKUP(B18,[26]Sheet1!A$6:B$360,2,0)</f>
        <v>1550</v>
      </c>
      <c r="AC18" s="247" t="n">
        <f aca="false">VLOOKUP(B18,[27]Sheet1!A$6:B$360,2,0)</f>
        <v>1550</v>
      </c>
      <c r="AD18" s="263" t="n">
        <f aca="false">VLOOKUP(B18,[28]Sheet1!A$6:B$360,2,0)</f>
        <v>1550</v>
      </c>
      <c r="AE18" s="259" t="n">
        <f aca="false">VLOOKUP(B18,[29]Sheet1!A$6:B$360,2,0)</f>
        <v>1550</v>
      </c>
      <c r="AF18" s="247" t="n">
        <f aca="false">VLOOKUP(B18,[30]Sheet1!A$6:B$360,2,0)</f>
        <v>1550</v>
      </c>
      <c r="AG18" s="247" t="n">
        <f aca="false">VLOOKUP(B18,[31]Sheet1!A$6:B$360,2,0)</f>
        <v>1550</v>
      </c>
      <c r="AH18" s="247" t="n">
        <f aca="false">VLOOKUP(B18,[32]Sheet1!A$6:B$360,2,0)</f>
        <v>1550</v>
      </c>
      <c r="AI18" s="247" t="n">
        <f aca="false">VLOOKUP(B18,[33]Sheet1!A$6:B$360,2,0)</f>
        <v>1550</v>
      </c>
      <c r="AJ18" s="263" t="n">
        <f aca="false">VLOOKUP(B18,[34]Sheet1!A$6:B$360,2,0)</f>
        <v>1550</v>
      </c>
      <c r="AK18" s="259" t="n">
        <f aca="false">VLOOKUP(B18,[35]Sheet1!A$6:B$360,2,0)</f>
        <v>1550</v>
      </c>
      <c r="AL18" s="247" t="n">
        <f aca="false">VLOOKUP(B18,[36]Sheet1!A$6:B$360,2,0)</f>
        <v>1550</v>
      </c>
      <c r="AM18" s="247" t="n">
        <f aca="false">VLOOKUP(B18,[37]Sheet1!A$6:B$360,2,0)</f>
        <v>1550</v>
      </c>
      <c r="AN18" s="247" t="n">
        <f aca="false">VLOOKUP(B18,[38]Sheet1!A$6:B$360,2,0)</f>
        <v>1550</v>
      </c>
      <c r="AO18" s="263" t="n">
        <f aca="false">VLOOKUP(B18,[39]Sheet1!A$6:B$360,2,0)</f>
        <v>1550</v>
      </c>
      <c r="AP18" s="259" t="n">
        <f aca="false">VLOOKUP(B18,[40]Sheet1!A$6:B$360,2,0)</f>
        <v>1550</v>
      </c>
      <c r="AQ18" s="247" t="n">
        <f aca="false">VLOOKUP(B18,[41]Sheet1!A$6:B$360,2,0)</f>
        <v>1550</v>
      </c>
      <c r="AR18" s="247" t="n">
        <f aca="false">VLOOKUP(B18,[42]Sheet1!A$6:B$360,2,0)</f>
        <v>1550</v>
      </c>
    </row>
    <row r="19" customFormat="false" ht="12.8" hidden="false" customHeight="false" outlineLevel="0" collapsed="false">
      <c r="A19" s="23" t="s">
        <v>289</v>
      </c>
      <c r="B19" s="258" t="s">
        <v>367</v>
      </c>
      <c r="C19" s="247" t="n">
        <f aca="false">VLOOKUP(B19,[1]Sheet1!A$1:B$1048576,2,0)</f>
        <v>185</v>
      </c>
      <c r="D19" s="247" t="n">
        <f aca="false">VLOOKUP(B19,[2]Sheet1!A$6:B$360,2,0)</f>
        <v>185</v>
      </c>
      <c r="E19" s="247" t="n">
        <f aca="false">VLOOKUP(B19,[3]Sheet1!A$6:B$360,2,0)</f>
        <v>185</v>
      </c>
      <c r="F19" s="247" t="n">
        <f aca="false">VLOOKUP(B19,[4]Sheet1!A$6:B$360,2,0)</f>
        <v>185</v>
      </c>
      <c r="G19" s="247" t="n">
        <f aca="false">VLOOKUP(B19,[5]Sheet1!A$6:B$360,2,0)</f>
        <v>185</v>
      </c>
      <c r="H19" s="247" t="n">
        <f aca="false">VLOOKUP(B19,[6]Sheet1!A$6:B$360,2,0)</f>
        <v>185</v>
      </c>
      <c r="I19" s="247" t="n">
        <f aca="false">VLOOKUP(B19,[7]Sheet1!A$6:B$360,2,0)</f>
        <v>185</v>
      </c>
      <c r="J19" s="247" t="n">
        <f aca="false">VLOOKUP(B19,[8]Sheet1!A$6:B$360,2,0)</f>
        <v>185</v>
      </c>
      <c r="K19" s="259" t="n">
        <f aca="false">VLOOKUP(B19,[9]Sheet1!A$6:B$360,2,0)</f>
        <v>185</v>
      </c>
      <c r="L19" s="260" t="n">
        <f aca="false">VLOOKUP(B19,[10]Sheet1!A$1:B$1048576,2,0)</f>
        <v>185</v>
      </c>
      <c r="M19" s="247" t="n">
        <f aca="false">VLOOKUP(B19,[11]Sheet1!A$6:B$360,2,0)</f>
        <v>185</v>
      </c>
      <c r="N19" s="247" t="n">
        <f aca="false">VLOOKUP(B19,[12]Sheet1!A$6:B$360,2,0)</f>
        <v>185</v>
      </c>
      <c r="O19" s="247" t="n">
        <f aca="false">VLOOKUP(B19,[13]Sheet1!A$6:B$360,2,0)</f>
        <v>185</v>
      </c>
      <c r="P19" s="247" t="n">
        <f aca="false">VLOOKUP(B19,[14]Sheet1!A$6:B$360,2,0)</f>
        <v>185</v>
      </c>
      <c r="Q19" s="261" t="n">
        <f aca="false">VLOOKUP(B19,[15]Sheet1!A$6:B$360,2,0)</f>
        <v>185</v>
      </c>
      <c r="R19" s="259" t="n">
        <f aca="false">VLOOKUP(B19,[16]Sheet1!A$6:B$360,2,0)</f>
        <v>185</v>
      </c>
      <c r="S19" s="247" t="n">
        <f aca="false">VLOOKUP(B19,[17]Sheet1!A$6:B$360,2,0)</f>
        <v>185</v>
      </c>
      <c r="T19" s="247" t="n">
        <f aca="false">VLOOKUP(B19,[18]Sheet1!A$6:B$360,2,0)</f>
        <v>185</v>
      </c>
      <c r="U19" s="247" t="n">
        <f aca="false">VLOOKUP(B19,[19]Sheet1!A$6:B$360,2,0)</f>
        <v>185</v>
      </c>
      <c r="V19" s="247" t="n">
        <f aca="false">VLOOKUP(B19,[20]Sheet1!A$6:B$360,2,0)</f>
        <v>185</v>
      </c>
      <c r="W19" s="247" t="n">
        <f aca="false">VLOOKUP(B19,[21]Sheet1!A$6:B$360,2,0)</f>
        <v>185</v>
      </c>
      <c r="X19" s="247" t="n">
        <f aca="false">VLOOKUP(B19,[22]Sheet1!A$6:B$360,2,0)</f>
        <v>185</v>
      </c>
      <c r="Y19" s="263" t="n">
        <f aca="false">VLOOKUP(B19,[23]Sheet1!A$6:B$360,2,0)</f>
        <v>185</v>
      </c>
      <c r="Z19" s="259" t="n">
        <f aca="false">VLOOKUP(B19,[24]Sheet1!A$6:B$360,2,0)</f>
        <v>185</v>
      </c>
      <c r="AA19" s="247" t="n">
        <f aca="false">VLOOKUP(B19,[25]Sheet1!A$6:B$360,2,0)</f>
        <v>185</v>
      </c>
      <c r="AB19" s="247" t="n">
        <f aca="false">VLOOKUP(B19,[26]Sheet1!A$6:B$360,2,0)</f>
        <v>185</v>
      </c>
      <c r="AC19" s="247" t="n">
        <f aca="false">VLOOKUP(B19,[27]Sheet1!A$6:B$360,2,0)</f>
        <v>185</v>
      </c>
      <c r="AD19" s="263" t="n">
        <f aca="false">VLOOKUP(B19,[28]Sheet1!A$6:B$360,2,0)</f>
        <v>185</v>
      </c>
      <c r="AE19" s="259" t="n">
        <f aca="false">VLOOKUP(B19,[29]Sheet1!A$6:B$360,2,0)</f>
        <v>185</v>
      </c>
      <c r="AF19" s="247" t="n">
        <f aca="false">VLOOKUP(B19,[30]Sheet1!A$6:B$360,2,0)</f>
        <v>185</v>
      </c>
      <c r="AG19" s="247" t="n">
        <f aca="false">VLOOKUP(B19,[31]Sheet1!A$6:B$360,2,0)</f>
        <v>185</v>
      </c>
      <c r="AH19" s="247" t="n">
        <f aca="false">VLOOKUP(B19,[32]Sheet1!A$6:B$360,2,0)</f>
        <v>185</v>
      </c>
      <c r="AI19" s="247" t="n">
        <f aca="false">VLOOKUP(B19,[33]Sheet1!A$6:B$360,2,0)</f>
        <v>185</v>
      </c>
      <c r="AJ19" s="263" t="n">
        <f aca="false">VLOOKUP(B19,[34]Sheet1!A$6:B$360,2,0)</f>
        <v>185</v>
      </c>
      <c r="AK19" s="259" t="n">
        <f aca="false">VLOOKUP(B19,[35]Sheet1!A$6:B$360,2,0)</f>
        <v>185</v>
      </c>
      <c r="AL19" s="247" t="n">
        <f aca="false">VLOOKUP(B19,[36]Sheet1!A$6:B$360,2,0)</f>
        <v>185</v>
      </c>
      <c r="AM19" s="247" t="n">
        <f aca="false">VLOOKUP(B19,[37]Sheet1!A$6:B$360,2,0)</f>
        <v>185</v>
      </c>
      <c r="AN19" s="247" t="n">
        <f aca="false">VLOOKUP(B19,[38]Sheet1!A$6:B$360,2,0)</f>
        <v>185</v>
      </c>
      <c r="AO19" s="263" t="n">
        <f aca="false">VLOOKUP(B19,[39]Sheet1!A$6:B$360,2,0)</f>
        <v>185</v>
      </c>
      <c r="AP19" s="259" t="n">
        <f aca="false">VLOOKUP(B19,[40]Sheet1!A$6:B$360,2,0)</f>
        <v>185</v>
      </c>
      <c r="AQ19" s="247" t="n">
        <f aca="false">VLOOKUP(B19,[41]Sheet1!A$6:B$360,2,0)</f>
        <v>185</v>
      </c>
      <c r="AR19" s="247" t="n">
        <f aca="false">VLOOKUP(B19,[42]Sheet1!A$6:B$360,2,0)</f>
        <v>185</v>
      </c>
    </row>
    <row r="20" customFormat="false" ht="12.8" hidden="false" customHeight="false" outlineLevel="0" collapsed="false">
      <c r="A20" s="23" t="s">
        <v>290</v>
      </c>
      <c r="B20" s="258" t="s">
        <v>368</v>
      </c>
      <c r="C20" s="247" t="n">
        <f aca="false">VLOOKUP(B20,[1]Sheet1!A$1:B$1048576,2,0)</f>
        <v>480</v>
      </c>
      <c r="D20" s="247" t="n">
        <f aca="false">VLOOKUP(B20,[2]Sheet1!A$6:B$360,2,0)</f>
        <v>480</v>
      </c>
      <c r="E20" s="247" t="n">
        <f aca="false">VLOOKUP(B20,[3]Sheet1!A$6:B$360,2,0)</f>
        <v>480</v>
      </c>
      <c r="F20" s="247" t="n">
        <f aca="false">VLOOKUP(B20,[4]Sheet1!A$6:B$360,2,0)</f>
        <v>480</v>
      </c>
      <c r="G20" s="247" t="n">
        <f aca="false">VLOOKUP(B20,[5]Sheet1!A$6:B$360,2,0)</f>
        <v>480</v>
      </c>
      <c r="H20" s="247" t="n">
        <f aca="false">VLOOKUP(B20,[6]Sheet1!A$6:B$360,2,0)</f>
        <v>480</v>
      </c>
      <c r="I20" s="247" t="n">
        <f aca="false">VLOOKUP(B20,[7]Sheet1!A$6:B$360,2,0)</f>
        <v>480</v>
      </c>
      <c r="J20" s="247" t="n">
        <f aca="false">VLOOKUP(B20,[8]Sheet1!A$6:B$360,2,0)</f>
        <v>480</v>
      </c>
      <c r="K20" s="259" t="n">
        <f aca="false">VLOOKUP(B20,[9]Sheet1!A$6:B$360,2,0)</f>
        <v>480</v>
      </c>
      <c r="L20" s="260" t="n">
        <f aca="false">VLOOKUP(B20,[10]Sheet1!A$1:B$1048576,2,0)</f>
        <v>480</v>
      </c>
      <c r="M20" s="247" t="n">
        <f aca="false">VLOOKUP(B20,[11]Sheet1!A$6:B$360,2,0)</f>
        <v>480</v>
      </c>
      <c r="N20" s="247" t="n">
        <f aca="false">VLOOKUP(B20,[12]Sheet1!A$6:B$360,2,0)</f>
        <v>480</v>
      </c>
      <c r="O20" s="247" t="n">
        <f aca="false">VLOOKUP(B20,[13]Sheet1!A$6:B$360,2,0)</f>
        <v>480</v>
      </c>
      <c r="P20" s="247" t="n">
        <f aca="false">VLOOKUP(B20,[14]Sheet1!A$6:B$360,2,0)</f>
        <v>480</v>
      </c>
      <c r="Q20" s="261" t="n">
        <f aca="false">VLOOKUP(B20,[15]Sheet1!A$6:B$360,2,0)</f>
        <v>480</v>
      </c>
      <c r="R20" s="259" t="n">
        <f aca="false">VLOOKUP(B20,[16]Sheet1!A$6:B$360,2,0)</f>
        <v>480</v>
      </c>
      <c r="S20" s="247" t="n">
        <f aca="false">VLOOKUP(B20,[17]Sheet1!A$6:B$360,2,0)</f>
        <v>480</v>
      </c>
      <c r="T20" s="247" t="n">
        <f aca="false">VLOOKUP(B20,[18]Sheet1!A$6:B$360,2,0)</f>
        <v>480</v>
      </c>
      <c r="U20" s="247" t="n">
        <f aca="false">VLOOKUP(B20,[19]Sheet1!A$6:B$360,2,0)</f>
        <v>480</v>
      </c>
      <c r="V20" s="247" t="n">
        <f aca="false">VLOOKUP(B20,[20]Sheet1!A$6:B$360,2,0)</f>
        <v>480</v>
      </c>
      <c r="W20" s="247" t="n">
        <f aca="false">VLOOKUP(B20,[21]Sheet1!A$6:B$360,2,0)</f>
        <v>480</v>
      </c>
      <c r="X20" s="247" t="n">
        <f aca="false">VLOOKUP(B20,[22]Sheet1!A$6:B$360,2,0)</f>
        <v>480</v>
      </c>
      <c r="Y20" s="263" t="n">
        <f aca="false">VLOOKUP(B20,[23]Sheet1!A$6:B$360,2,0)</f>
        <v>480</v>
      </c>
      <c r="Z20" s="259" t="n">
        <f aca="false">VLOOKUP(B20,[24]Sheet1!A$6:B$360,2,0)</f>
        <v>480</v>
      </c>
      <c r="AA20" s="247" t="n">
        <f aca="false">VLOOKUP(B20,[25]Sheet1!A$6:B$360,2,0)</f>
        <v>480</v>
      </c>
      <c r="AB20" s="247" t="n">
        <f aca="false">VLOOKUP(B20,[26]Sheet1!A$6:B$360,2,0)</f>
        <v>480</v>
      </c>
      <c r="AC20" s="247" t="n">
        <f aca="false">VLOOKUP(B20,[27]Sheet1!A$6:B$360,2,0)</f>
        <v>480</v>
      </c>
      <c r="AD20" s="263" t="n">
        <f aca="false">VLOOKUP(B20,[28]Sheet1!A$6:B$360,2,0)</f>
        <v>480</v>
      </c>
      <c r="AE20" s="259" t="n">
        <f aca="false">VLOOKUP(B20,[29]Sheet1!A$6:B$360,2,0)</f>
        <v>480</v>
      </c>
      <c r="AF20" s="247" t="n">
        <f aca="false">VLOOKUP(B20,[30]Sheet1!A$6:B$360,2,0)</f>
        <v>399</v>
      </c>
      <c r="AG20" s="247" t="n">
        <f aca="false">VLOOKUP(B20,[31]Sheet1!A$6:B$360,2,0)</f>
        <v>399</v>
      </c>
      <c r="AH20" s="247" t="n">
        <f aca="false">VLOOKUP(B20,[32]Sheet1!A$6:B$360,2,0)</f>
        <v>399</v>
      </c>
      <c r="AI20" s="247" t="n">
        <f aca="false">VLOOKUP(B20,[33]Sheet1!A$6:B$360,2,0)</f>
        <v>400</v>
      </c>
      <c r="AJ20" s="263" t="n">
        <f aca="false">VLOOKUP(B20,[34]Sheet1!A$6:B$360,2,0)</f>
        <v>400</v>
      </c>
      <c r="AK20" s="259" t="n">
        <f aca="false">VLOOKUP(B20,[35]Sheet1!A$6:B$360,2,0)</f>
        <v>400</v>
      </c>
      <c r="AL20" s="247" t="n">
        <f aca="false">VLOOKUP(B20,[36]Sheet1!A$6:B$360,2,0)</f>
        <v>400</v>
      </c>
      <c r="AM20" s="247" t="n">
        <f aca="false">VLOOKUP(B20,[37]Sheet1!A$6:B$360,2,0)</f>
        <v>400</v>
      </c>
      <c r="AN20" s="247" t="n">
        <f aca="false">VLOOKUP(B20,[38]Sheet1!A$6:B$360,2,0)</f>
        <v>400</v>
      </c>
      <c r="AO20" s="263" t="n">
        <f aca="false">VLOOKUP(B20,[39]Sheet1!A$6:B$360,2,0)</f>
        <v>400</v>
      </c>
      <c r="AP20" s="259" t="n">
        <f aca="false">VLOOKUP(B20,[40]Sheet1!A$6:B$360,2,0)</f>
        <v>400</v>
      </c>
      <c r="AQ20" s="247" t="n">
        <f aca="false">VLOOKUP(B20,[41]Sheet1!A$6:B$360,2,0)</f>
        <v>400</v>
      </c>
      <c r="AR20" s="247" t="n">
        <f aca="false">VLOOKUP(B20,[42]Sheet1!A$6:B$360,2,0)</f>
        <v>400</v>
      </c>
    </row>
    <row r="21" customFormat="false" ht="12.8" hidden="false" customHeight="false" outlineLevel="0" collapsed="false">
      <c r="A21" s="23" t="s">
        <v>194</v>
      </c>
      <c r="B21" s="258" t="s">
        <v>369</v>
      </c>
      <c r="C21" s="247" t="n">
        <f aca="false">VLOOKUP(B21,[1]Sheet1!A$1:B$1048576,2,0)</f>
        <v>3168</v>
      </c>
      <c r="D21" s="247" t="n">
        <f aca="false">VLOOKUP(B21,[2]Sheet1!A$6:B$360,2,0)</f>
        <v>3168</v>
      </c>
      <c r="E21" s="247" t="n">
        <f aca="false">VLOOKUP(B21,[3]Sheet1!A$6:B$360,2,0)</f>
        <v>3168</v>
      </c>
      <c r="F21" s="247" t="n">
        <f aca="false">VLOOKUP(B21,[4]Sheet1!A$6:B$360,2,0)</f>
        <v>3168</v>
      </c>
      <c r="G21" s="247" t="n">
        <f aca="false">VLOOKUP(B21,[5]Sheet1!A$6:B$360,2,0)</f>
        <v>3168</v>
      </c>
      <c r="H21" s="247" t="n">
        <f aca="false">VLOOKUP(B21,[6]Sheet1!A$6:B$360,2,0)</f>
        <v>3168</v>
      </c>
      <c r="I21" s="247" t="n">
        <f aca="false">VLOOKUP(B21,[7]Sheet1!A$6:B$360,2,0)</f>
        <v>3168</v>
      </c>
      <c r="J21" s="247" t="n">
        <f aca="false">VLOOKUP(B21,[8]Sheet1!A$6:B$360,2,0)</f>
        <v>2987</v>
      </c>
      <c r="K21" s="259" t="n">
        <f aca="false">VLOOKUP(B21,[9]Sheet1!A$6:B$360,2,0)</f>
        <v>2987</v>
      </c>
      <c r="L21" s="260" t="n">
        <f aca="false">VLOOKUP(B21,[10]Sheet1!A$1:B$1048576,2,0)</f>
        <v>2900</v>
      </c>
      <c r="M21" s="247" t="n">
        <f aca="false">VLOOKUP(B21,[11]Sheet1!A$6:B$360,2,0)</f>
        <v>2900</v>
      </c>
      <c r="N21" s="247" t="n">
        <f aca="false">VLOOKUP(B21,[12]Sheet1!A$6:B$360,2,0)</f>
        <v>2900</v>
      </c>
      <c r="O21" s="247" t="n">
        <f aca="false">VLOOKUP(B21,[13]Sheet1!A$6:B$360,2,0)</f>
        <v>2900</v>
      </c>
      <c r="P21" s="247" t="n">
        <f aca="false">VLOOKUP(B21,[14]Sheet1!A$6:B$360,2,0)</f>
        <v>2900</v>
      </c>
      <c r="Q21" s="261" t="n">
        <f aca="false">VLOOKUP(B21,[15]Sheet1!A$6:B$360,2,0)</f>
        <v>2900</v>
      </c>
      <c r="R21" s="259" t="n">
        <f aca="false">VLOOKUP(B21,[16]Sheet1!A$6:B$360,2,0)</f>
        <v>2900</v>
      </c>
      <c r="S21" s="247" t="n">
        <f aca="false">VLOOKUP(B21,[17]Sheet1!A$6:B$360,2,0)</f>
        <v>2900</v>
      </c>
      <c r="T21" s="247" t="n">
        <f aca="false">VLOOKUP(B21,[18]Sheet1!A$6:B$360,2,0)</f>
        <v>2900</v>
      </c>
      <c r="U21" s="247" t="n">
        <f aca="false">VLOOKUP(B21,[19]Sheet1!A$6:B$360,2,0)</f>
        <v>2900</v>
      </c>
      <c r="V21" s="247" t="n">
        <f aca="false">VLOOKUP(B21,[20]Sheet1!A$6:B$360,2,0)</f>
        <v>2900</v>
      </c>
      <c r="W21" s="247" t="n">
        <f aca="false">VLOOKUP(B21,[21]Sheet1!A$6:B$360,2,0)</f>
        <v>2900</v>
      </c>
      <c r="X21" s="247" t="n">
        <f aca="false">VLOOKUP(B21,[22]Sheet1!A$6:B$360,2,0)</f>
        <v>2900</v>
      </c>
      <c r="Y21" s="263" t="n">
        <f aca="false">VLOOKUP(B21,[23]Sheet1!A$6:B$360,2,0)</f>
        <v>2900</v>
      </c>
      <c r="Z21" s="259" t="n">
        <f aca="false">VLOOKUP(B21,[24]Sheet1!A$6:B$360,2,0)</f>
        <v>2900</v>
      </c>
      <c r="AA21" s="247" t="n">
        <f aca="false">VLOOKUP(B21,[25]Sheet1!A$6:B$360,2,0)</f>
        <v>2900</v>
      </c>
      <c r="AB21" s="247" t="n">
        <f aca="false">VLOOKUP(B21,[26]Sheet1!A$6:B$360,2,0)</f>
        <v>2900</v>
      </c>
      <c r="AC21" s="247" t="n">
        <f aca="false">VLOOKUP(B21,[27]Sheet1!A$6:B$360,2,0)</f>
        <v>3301</v>
      </c>
      <c r="AD21" s="263" t="n">
        <f aca="false">VLOOKUP(B21,[28]Sheet1!A$6:B$360,2,0)</f>
        <v>3301</v>
      </c>
      <c r="AE21" s="259" t="n">
        <f aca="false">VLOOKUP(B21,[29]Sheet1!A$6:B$360,2,0)</f>
        <v>3301</v>
      </c>
      <c r="AF21" s="247" t="n">
        <f aca="false">VLOOKUP(B21,[30]Sheet1!A$6:B$360,2,0)</f>
        <v>3010</v>
      </c>
      <c r="AG21" s="247" t="n">
        <f aca="false">VLOOKUP(B21,[31]Sheet1!A$6:B$360,2,0)</f>
        <v>3010</v>
      </c>
      <c r="AH21" s="247" t="n">
        <f aca="false">VLOOKUP(B21,[32]Sheet1!A$6:B$360,2,0)</f>
        <v>3010</v>
      </c>
      <c r="AI21" s="247" t="n">
        <f aca="false">VLOOKUP(B21,[33]Sheet1!A$6:B$360,2,0)</f>
        <v>3010</v>
      </c>
      <c r="AJ21" s="263" t="n">
        <f aca="false">VLOOKUP(B21,[34]Sheet1!A$6:B$360,2,0)</f>
        <v>3010</v>
      </c>
      <c r="AK21" s="259" t="n">
        <f aca="false">VLOOKUP(B21,[35]Sheet1!A$6:B$360,2,0)</f>
        <v>3010</v>
      </c>
      <c r="AL21" s="247" t="n">
        <f aca="false">VLOOKUP(B21,[36]Sheet1!A$6:B$360,2,0)</f>
        <v>3010</v>
      </c>
      <c r="AM21" s="247" t="n">
        <f aca="false">VLOOKUP(B21,[37]Sheet1!A$6:B$360,2,0)</f>
        <v>3010</v>
      </c>
      <c r="AN21" s="247" t="n">
        <f aca="false">VLOOKUP(B21,[38]Sheet1!A$6:B$360,2,0)</f>
        <v>3010</v>
      </c>
      <c r="AO21" s="263" t="n">
        <f aca="false">VLOOKUP(B21,[39]Sheet1!A$6:B$360,2,0)</f>
        <v>3010</v>
      </c>
      <c r="AP21" s="259" t="n">
        <f aca="false">VLOOKUP(B21,[40]Sheet1!A$6:B$360,2,0)</f>
        <v>3276</v>
      </c>
      <c r="AQ21" s="247" t="n">
        <f aca="false">VLOOKUP(B21,[41]Sheet1!A$6:B$360,2,0)</f>
        <v>3276</v>
      </c>
      <c r="AR21" s="247" t="n">
        <f aca="false">VLOOKUP(B21,[42]Sheet1!A$6:B$360,2,0)</f>
        <v>3276</v>
      </c>
    </row>
    <row r="22" customFormat="false" ht="12.8" hidden="false" customHeight="false" outlineLevel="0" collapsed="false">
      <c r="A22" s="23" t="s">
        <v>291</v>
      </c>
      <c r="B22" s="258" t="s">
        <v>370</v>
      </c>
      <c r="C22" s="247" t="n">
        <f aca="false">VLOOKUP(B22,[1]Sheet1!A$1:B$1048576,2,0)</f>
        <v>27</v>
      </c>
      <c r="D22" s="247" t="n">
        <f aca="false">VLOOKUP(B22,[2]Sheet1!A$6:B$360,2,0)</f>
        <v>27</v>
      </c>
      <c r="E22" s="247" t="n">
        <f aca="false">VLOOKUP(B22,[3]Sheet1!A$6:B$360,2,0)</f>
        <v>27</v>
      </c>
      <c r="F22" s="247" t="n">
        <f aca="false">VLOOKUP(B22,[4]Sheet1!A$6:B$360,2,0)</f>
        <v>27</v>
      </c>
      <c r="G22" s="247" t="n">
        <f aca="false">VLOOKUP(B22,[5]Sheet1!A$6:B$360,2,0)</f>
        <v>27</v>
      </c>
      <c r="H22" s="247" t="n">
        <f aca="false">VLOOKUP(B22,[6]Sheet1!A$6:B$360,2,0)</f>
        <v>27</v>
      </c>
      <c r="I22" s="247" t="n">
        <f aca="false">VLOOKUP(B22,[7]Sheet1!A$6:B$360,2,0)</f>
        <v>27</v>
      </c>
      <c r="J22" s="247" t="n">
        <f aca="false">VLOOKUP(B22,[8]Sheet1!A$6:B$360,2,0)</f>
        <v>27</v>
      </c>
      <c r="K22" s="259" t="n">
        <f aca="false">VLOOKUP(B22,[9]Sheet1!A$6:B$360,2,0)</f>
        <v>27</v>
      </c>
      <c r="L22" s="260" t="n">
        <f aca="false">VLOOKUP(B22,[10]Sheet1!A$1:B$1048576,2,0)</f>
        <v>27</v>
      </c>
      <c r="M22" s="247" t="n">
        <f aca="false">VLOOKUP(B22,[11]Sheet1!A$6:B$360,2,0)</f>
        <v>27</v>
      </c>
      <c r="N22" s="247" t="n">
        <f aca="false">VLOOKUP(B22,[12]Sheet1!A$6:B$360,2,0)</f>
        <v>27</v>
      </c>
      <c r="O22" s="247" t="n">
        <f aca="false">VLOOKUP(B22,[13]Sheet1!A$6:B$360,2,0)</f>
        <v>27</v>
      </c>
      <c r="P22" s="247" t="n">
        <f aca="false">VLOOKUP(B22,[14]Sheet1!A$6:B$360,2,0)</f>
        <v>27</v>
      </c>
      <c r="Q22" s="261" t="n">
        <f aca="false">VLOOKUP(B22,[15]Sheet1!A$6:B$360,2,0)</f>
        <v>27</v>
      </c>
      <c r="R22" s="259" t="n">
        <f aca="false">VLOOKUP(B22,[16]Sheet1!A$6:B$360,2,0)</f>
        <v>310</v>
      </c>
      <c r="S22" s="247" t="n">
        <f aca="false">VLOOKUP(B22,[17]Sheet1!A$6:B$360,2,0)</f>
        <v>310</v>
      </c>
      <c r="T22" s="247" t="n">
        <f aca="false">VLOOKUP(B22,[18]Sheet1!A$6:B$360,2,0)</f>
        <v>310</v>
      </c>
      <c r="U22" s="247" t="n">
        <f aca="false">VLOOKUP(B22,[19]Sheet1!A$6:B$360,2,0)</f>
        <v>310</v>
      </c>
      <c r="V22" s="247" t="n">
        <f aca="false">VLOOKUP(B22,[20]Sheet1!A$6:B$360,2,0)</f>
        <v>310</v>
      </c>
      <c r="W22" s="247" t="n">
        <f aca="false">VLOOKUP(B22,[21]Sheet1!A$6:B$360,2,0)</f>
        <v>310</v>
      </c>
      <c r="X22" s="247" t="n">
        <f aca="false">VLOOKUP(B22,[22]Sheet1!A$6:B$360,2,0)</f>
        <v>310</v>
      </c>
      <c r="Y22" s="263" t="n">
        <f aca="false">VLOOKUP(B22,[23]Sheet1!A$6:B$360,2,0)</f>
        <v>310</v>
      </c>
      <c r="Z22" s="259" t="n">
        <f aca="false">VLOOKUP(B22,[24]Sheet1!A$6:B$360,2,0)</f>
        <v>310</v>
      </c>
      <c r="AA22" s="247" t="n">
        <f aca="false">VLOOKUP(B22,[25]Sheet1!A$6:B$360,2,0)</f>
        <v>310</v>
      </c>
      <c r="AB22" s="247" t="n">
        <f aca="false">VLOOKUP(B22,[26]Sheet1!A$6:B$360,2,0)</f>
        <v>310</v>
      </c>
      <c r="AC22" s="247" t="n">
        <f aca="false">VLOOKUP(B22,[27]Sheet1!A$6:B$360,2,0)</f>
        <v>310</v>
      </c>
      <c r="AD22" s="263" t="n">
        <f aca="false">VLOOKUP(B22,[28]Sheet1!A$6:B$360,2,0)</f>
        <v>310</v>
      </c>
      <c r="AE22" s="259" t="n">
        <f aca="false">VLOOKUP(B22,[29]Sheet1!A$6:B$360,2,0)</f>
        <v>310</v>
      </c>
      <c r="AF22" s="247" t="n">
        <f aca="false">VLOOKUP(B22,[30]Sheet1!A$6:B$360,2,0)</f>
        <v>310</v>
      </c>
      <c r="AG22" s="247" t="n">
        <f aca="false">VLOOKUP(B22,[31]Sheet1!A$6:B$360,2,0)</f>
        <v>310</v>
      </c>
      <c r="AH22" s="247" t="n">
        <f aca="false">VLOOKUP(B22,[32]Sheet1!A$6:B$360,2,0)</f>
        <v>310</v>
      </c>
      <c r="AI22" s="247" t="n">
        <f aca="false">VLOOKUP(B22,[33]Sheet1!A$6:B$360,2,0)</f>
        <v>310</v>
      </c>
      <c r="AJ22" s="263" t="n">
        <f aca="false">VLOOKUP(B22,[34]Sheet1!A$6:B$360,2,0)</f>
        <v>310</v>
      </c>
      <c r="AK22" s="259" t="n">
        <f aca="false">VLOOKUP(B22,[35]Sheet1!A$6:B$360,2,0)</f>
        <v>310</v>
      </c>
      <c r="AL22" s="247" t="n">
        <f aca="false">VLOOKUP(B22,[36]Sheet1!A$6:B$360,2,0)</f>
        <v>310</v>
      </c>
      <c r="AM22" s="247" t="n">
        <f aca="false">VLOOKUP(B22,[37]Sheet1!A$6:B$360,2,0)</f>
        <v>310</v>
      </c>
      <c r="AN22" s="247" t="n">
        <f aca="false">VLOOKUP(B22,[38]Sheet1!A$6:B$360,2,0)</f>
        <v>310</v>
      </c>
      <c r="AO22" s="263" t="n">
        <f aca="false">VLOOKUP(B22,[39]Sheet1!A$6:B$360,2,0)</f>
        <v>310</v>
      </c>
      <c r="AP22" s="259" t="n">
        <f aca="false">VLOOKUP(B22,[40]Sheet1!A$6:B$360,2,0)</f>
        <v>310</v>
      </c>
      <c r="AQ22" s="247" t="n">
        <f aca="false">VLOOKUP(B22,[41]Sheet1!A$6:B$360,2,0)</f>
        <v>310</v>
      </c>
      <c r="AR22" s="247" t="n">
        <f aca="false">VLOOKUP(B22,[42]Sheet1!A$6:B$360,2,0)</f>
        <v>310</v>
      </c>
    </row>
    <row r="23" customFormat="false" ht="12.8" hidden="false" customHeight="false" outlineLevel="0" collapsed="false">
      <c r="A23" s="23" t="s">
        <v>292</v>
      </c>
      <c r="B23" s="258" t="s">
        <v>371</v>
      </c>
      <c r="C23" s="247" t="n">
        <f aca="false">VLOOKUP(B23,[1]Sheet1!A$1:B$1048576,2,0)</f>
        <v>615</v>
      </c>
      <c r="D23" s="247" t="n">
        <f aca="false">VLOOKUP(B23,[2]Sheet1!A$6:B$360,2,0)</f>
        <v>615</v>
      </c>
      <c r="E23" s="247" t="n">
        <f aca="false">VLOOKUP(B23,[3]Sheet1!A$6:B$360,2,0)</f>
        <v>615</v>
      </c>
      <c r="F23" s="247" t="n">
        <f aca="false">VLOOKUP(B23,[4]Sheet1!A$6:B$360,2,0)</f>
        <v>615</v>
      </c>
      <c r="G23" s="247" t="n">
        <f aca="false">VLOOKUP(B23,[5]Sheet1!A$6:B$360,2,0)</f>
        <v>615</v>
      </c>
      <c r="H23" s="247" t="n">
        <f aca="false">VLOOKUP(B23,[6]Sheet1!A$6:B$360,2,0)</f>
        <v>615</v>
      </c>
      <c r="I23" s="247" t="n">
        <f aca="false">VLOOKUP(B23,[7]Sheet1!A$6:B$360,2,0)</f>
        <v>615</v>
      </c>
      <c r="J23" s="247" t="n">
        <f aca="false">VLOOKUP(B23,[8]Sheet1!A$6:B$360,2,0)</f>
        <v>615</v>
      </c>
      <c r="K23" s="259" t="n">
        <f aca="false">VLOOKUP(B23,[9]Sheet1!A$6:B$360,2,0)</f>
        <v>615</v>
      </c>
      <c r="L23" s="260" t="n">
        <f aca="false">VLOOKUP(B23,[10]Sheet1!A$1:B$1048576,2,0)</f>
        <v>615</v>
      </c>
      <c r="M23" s="247" t="n">
        <f aca="false">VLOOKUP(B23,[11]Sheet1!A$6:B$360,2,0)</f>
        <v>615</v>
      </c>
      <c r="N23" s="247" t="n">
        <f aca="false">VLOOKUP(B23,[12]Sheet1!A$6:B$360,2,0)</f>
        <v>615</v>
      </c>
      <c r="O23" s="247" t="n">
        <f aca="false">VLOOKUP(B23,[13]Sheet1!A$6:B$360,2,0)</f>
        <v>615</v>
      </c>
      <c r="P23" s="247" t="n">
        <f aca="false">VLOOKUP(B23,[14]Sheet1!A$6:B$360,2,0)</f>
        <v>615</v>
      </c>
      <c r="Q23" s="261" t="n">
        <f aca="false">VLOOKUP(B23,[15]Sheet1!A$6:B$360,2,0)</f>
        <v>970</v>
      </c>
      <c r="R23" s="259" t="n">
        <f aca="false">VLOOKUP(B23,[16]Sheet1!A$6:B$360,2,0)</f>
        <v>970</v>
      </c>
      <c r="S23" s="247" t="n">
        <f aca="false">VLOOKUP(B23,[17]Sheet1!A$6:B$360,2,0)</f>
        <v>970</v>
      </c>
      <c r="T23" s="247" t="n">
        <f aca="false">VLOOKUP(B23,[18]Sheet1!A$6:B$360,2,0)</f>
        <v>970</v>
      </c>
      <c r="U23" s="247" t="n">
        <f aca="false">VLOOKUP(B23,[19]Sheet1!A$6:B$360,2,0)</f>
        <v>970</v>
      </c>
      <c r="V23" s="247" t="n">
        <f aca="false">VLOOKUP(B23,[20]Sheet1!A$6:B$360,2,0)</f>
        <v>970</v>
      </c>
      <c r="W23" s="247" t="n">
        <f aca="false">VLOOKUP(B23,[21]Sheet1!A$6:B$360,2,0)</f>
        <v>970</v>
      </c>
      <c r="X23" s="247" t="n">
        <f aca="false">VLOOKUP(B23,[22]Sheet1!A$6:B$360,2,0)</f>
        <v>970</v>
      </c>
      <c r="Y23" s="263" t="n">
        <f aca="false">VLOOKUP(B23,[23]Sheet1!A$6:B$360,2,0)</f>
        <v>970</v>
      </c>
      <c r="Z23" s="259" t="n">
        <f aca="false">VLOOKUP(B23,[24]Sheet1!A$6:B$360,2,0)</f>
        <v>970</v>
      </c>
      <c r="AA23" s="247" t="n">
        <f aca="false">VLOOKUP(B23,[25]Sheet1!A$6:B$360,2,0)</f>
        <v>970</v>
      </c>
      <c r="AB23" s="247" t="n">
        <f aca="false">VLOOKUP(B23,[26]Sheet1!A$6:B$360,2,0)</f>
        <v>970</v>
      </c>
      <c r="AC23" s="247" t="n">
        <f aca="false">VLOOKUP(B23,[27]Sheet1!A$6:B$360,2,0)</f>
        <v>970</v>
      </c>
      <c r="AD23" s="263" t="n">
        <f aca="false">VLOOKUP(B23,[28]Sheet1!A$6:B$360,2,0)</f>
        <v>970</v>
      </c>
      <c r="AE23" s="259" t="n">
        <f aca="false">VLOOKUP(B23,[29]Sheet1!A$6:B$360,2,0)</f>
        <v>970</v>
      </c>
      <c r="AF23" s="247" t="n">
        <f aca="false">VLOOKUP(B23,[30]Sheet1!A$6:B$360,2,0)</f>
        <v>970</v>
      </c>
      <c r="AG23" s="247" t="n">
        <f aca="false">VLOOKUP(B23,[31]Sheet1!A$6:B$360,2,0)</f>
        <v>970</v>
      </c>
      <c r="AH23" s="247" t="n">
        <f aca="false">VLOOKUP(B23,[32]Sheet1!A$6:B$360,2,0)</f>
        <v>970</v>
      </c>
      <c r="AI23" s="247" t="n">
        <f aca="false">VLOOKUP(B23,[33]Sheet1!A$6:B$360,2,0)</f>
        <v>970</v>
      </c>
      <c r="AJ23" s="263" t="n">
        <f aca="false">VLOOKUP(B23,[34]Sheet1!A$6:B$360,2,0)</f>
        <v>970</v>
      </c>
      <c r="AK23" s="259" t="n">
        <f aca="false">VLOOKUP(B23,[35]Sheet1!A$6:B$360,2,0)</f>
        <v>970</v>
      </c>
      <c r="AL23" s="247" t="n">
        <f aca="false">VLOOKUP(B23,[36]Sheet1!A$6:B$360,2,0)</f>
        <v>970</v>
      </c>
      <c r="AM23" s="247" t="n">
        <f aca="false">VLOOKUP(B23,[37]Sheet1!A$6:B$360,2,0)</f>
        <v>970</v>
      </c>
      <c r="AN23" s="247" t="n">
        <f aca="false">VLOOKUP(B23,[38]Sheet1!A$6:B$360,2,0)</f>
        <v>970</v>
      </c>
      <c r="AO23" s="263" t="n">
        <f aca="false">VLOOKUP(B23,[39]Sheet1!A$6:B$360,2,0)</f>
        <v>970</v>
      </c>
      <c r="AP23" s="259" t="n">
        <f aca="false">VLOOKUP(B23,[40]Sheet1!A$6:B$360,2,0)</f>
        <v>970</v>
      </c>
      <c r="AQ23" s="247" t="n">
        <f aca="false">VLOOKUP(B23,[41]Sheet1!A$6:B$360,2,0)</f>
        <v>970</v>
      </c>
      <c r="AR23" s="247" t="n">
        <f aca="false">VLOOKUP(B23,[42]Sheet1!A$6:B$360,2,0)</f>
        <v>970</v>
      </c>
    </row>
    <row r="24" customFormat="false" ht="12.8" hidden="false" customHeight="false" outlineLevel="0" collapsed="false">
      <c r="A24" s="23" t="s">
        <v>293</v>
      </c>
      <c r="B24" s="258" t="s">
        <v>372</v>
      </c>
      <c r="C24" s="247" t="n">
        <f aca="false">VLOOKUP(B24,[1]Sheet1!A$1:B$1048576,2,0)</f>
        <v>80</v>
      </c>
      <c r="D24" s="247" t="n">
        <f aca="false">VLOOKUP(B24,[2]Sheet1!A$6:B$360,2,0)</f>
        <v>80</v>
      </c>
      <c r="E24" s="247" t="n">
        <f aca="false">VLOOKUP(B24,[3]Sheet1!A$6:B$360,2,0)</f>
        <v>80</v>
      </c>
      <c r="F24" s="247" t="n">
        <f aca="false">VLOOKUP(B24,[4]Sheet1!A$6:B$360,2,0)</f>
        <v>80</v>
      </c>
      <c r="G24" s="247" t="n">
        <f aca="false">VLOOKUP(B24,[5]Sheet1!A$6:B$360,2,0)</f>
        <v>80</v>
      </c>
      <c r="H24" s="247" t="n">
        <f aca="false">VLOOKUP(B24,[6]Sheet1!A$6:B$360,2,0)</f>
        <v>80</v>
      </c>
      <c r="I24" s="247" t="n">
        <f aca="false">VLOOKUP(B24,[7]Sheet1!A$6:B$360,2,0)</f>
        <v>80</v>
      </c>
      <c r="J24" s="247" t="n">
        <f aca="false">VLOOKUP(B24,[8]Sheet1!A$6:B$360,2,0)</f>
        <v>80</v>
      </c>
      <c r="K24" s="259" t="n">
        <f aca="false">VLOOKUP(B24,[9]Sheet1!A$6:B$360,2,0)</f>
        <v>80</v>
      </c>
      <c r="L24" s="260" t="n">
        <f aca="false">VLOOKUP(B24,[10]Sheet1!A$1:B$1048576,2,0)</f>
        <v>114</v>
      </c>
      <c r="M24" s="247" t="n">
        <f aca="false">VLOOKUP(B24,[11]Sheet1!A$6:B$360,2,0)</f>
        <v>114</v>
      </c>
      <c r="N24" s="247" t="n">
        <f aca="false">VLOOKUP(B24,[12]Sheet1!A$6:B$360,2,0)</f>
        <v>114</v>
      </c>
      <c r="O24" s="247" t="n">
        <f aca="false">VLOOKUP(B24,[13]Sheet1!A$6:B$360,2,0)</f>
        <v>114</v>
      </c>
      <c r="P24" s="247" t="n">
        <f aca="false">VLOOKUP(B24,[14]Sheet1!A$6:B$360,2,0)</f>
        <v>114</v>
      </c>
      <c r="Q24" s="261" t="n">
        <f aca="false">VLOOKUP(B24,[15]Sheet1!A$6:B$360,2,0)</f>
        <v>114</v>
      </c>
      <c r="R24" s="259" t="n">
        <f aca="false">VLOOKUP(B24,[16]Sheet1!A$6:B$360,2,0)</f>
        <v>114</v>
      </c>
      <c r="S24" s="247" t="n">
        <f aca="false">VLOOKUP(B24,[17]Sheet1!A$6:B$360,2,0)</f>
        <v>120</v>
      </c>
      <c r="T24" s="247" t="n">
        <f aca="false">VLOOKUP(B24,[18]Sheet1!A$6:B$360,2,0)</f>
        <v>170</v>
      </c>
      <c r="U24" s="247" t="n">
        <f aca="false">VLOOKUP(B24,[19]Sheet1!A$6:B$360,2,0)</f>
        <v>170</v>
      </c>
      <c r="V24" s="247" t="n">
        <f aca="false">VLOOKUP(B24,[20]Sheet1!A$6:B$360,2,0)</f>
        <v>170</v>
      </c>
      <c r="W24" s="247" t="n">
        <f aca="false">VLOOKUP(B24,[21]Sheet1!A$6:B$360,2,0)</f>
        <v>170</v>
      </c>
      <c r="X24" s="247" t="n">
        <f aca="false">VLOOKUP(B24,[22]Sheet1!A$6:B$360,2,0)</f>
        <v>170</v>
      </c>
      <c r="Y24" s="263" t="n">
        <f aca="false">VLOOKUP(B24,[23]Sheet1!A$6:B$360,2,0)</f>
        <v>170</v>
      </c>
      <c r="Z24" s="259" t="n">
        <f aca="false">VLOOKUP(B24,[24]Sheet1!A$6:B$360,2,0)</f>
        <v>170</v>
      </c>
      <c r="AA24" s="247" t="n">
        <f aca="false">VLOOKUP(B24,[25]Sheet1!A$6:B$360,2,0)</f>
        <v>170</v>
      </c>
      <c r="AB24" s="247" t="n">
        <f aca="false">VLOOKUP(B24,[26]Sheet1!A$6:B$360,2,0)</f>
        <v>170</v>
      </c>
      <c r="AC24" s="247" t="n">
        <f aca="false">VLOOKUP(B24,[27]Sheet1!A$6:B$360,2,0)</f>
        <v>170</v>
      </c>
      <c r="AD24" s="263" t="n">
        <f aca="false">VLOOKUP(B24,[28]Sheet1!A$6:B$360,2,0)</f>
        <v>169</v>
      </c>
      <c r="AE24" s="259" t="n">
        <f aca="false">VLOOKUP(B24,[29]Sheet1!A$6:B$360,2,0)</f>
        <v>155</v>
      </c>
      <c r="AF24" s="247" t="n">
        <f aca="false">VLOOKUP(B24,[30]Sheet1!A$6:B$360,2,0)</f>
        <v>167</v>
      </c>
      <c r="AG24" s="247" t="n">
        <f aca="false">VLOOKUP(B24,[31]Sheet1!A$6:B$360,2,0)</f>
        <v>167</v>
      </c>
      <c r="AH24" s="247" t="n">
        <f aca="false">VLOOKUP(B24,[32]Sheet1!A$6:B$360,2,0)</f>
        <v>195</v>
      </c>
      <c r="AI24" s="247" t="n">
        <f aca="false">VLOOKUP(B24,[33]Sheet1!A$6:B$360,2,0)</f>
        <v>195</v>
      </c>
      <c r="AJ24" s="263" t="n">
        <f aca="false">VLOOKUP(B24,[34]Sheet1!A$6:B$360,2,0)</f>
        <v>195</v>
      </c>
      <c r="AK24" s="259" t="n">
        <f aca="false">VLOOKUP(B24,[35]Sheet1!A$6:B$360,2,0)</f>
        <v>174</v>
      </c>
      <c r="AL24" s="247" t="n">
        <f aca="false">VLOOKUP(B24,[36]Sheet1!A$6:B$360,2,0)</f>
        <v>180</v>
      </c>
      <c r="AM24" s="247" t="n">
        <f aca="false">VLOOKUP(B24,[37]Sheet1!A$6:B$360,2,0)</f>
        <v>180</v>
      </c>
      <c r="AN24" s="247" t="n">
        <f aca="false">VLOOKUP(B24,[38]Sheet1!A$6:B$360,2,0)</f>
        <v>245</v>
      </c>
      <c r="AO24" s="263" t="n">
        <f aca="false">VLOOKUP(B24,[39]Sheet1!A$6:B$360,2,0)</f>
        <v>251.3</v>
      </c>
      <c r="AP24" s="259" t="n">
        <f aca="false">VLOOKUP(B24,[40]Sheet1!A$6:B$360,2,0)</f>
        <v>230</v>
      </c>
      <c r="AQ24" s="247" t="n">
        <f aca="false">VLOOKUP(B24,[41]Sheet1!A$6:B$360,2,0)</f>
        <v>256</v>
      </c>
      <c r="AR24" s="247" t="n">
        <f aca="false">VLOOKUP(B24,[42]Sheet1!A$6:B$360,2,0)</f>
        <v>248.76</v>
      </c>
    </row>
    <row r="25" customFormat="false" ht="12.8" hidden="false" customHeight="false" outlineLevel="0" collapsed="false">
      <c r="A25" s="23" t="s">
        <v>294</v>
      </c>
      <c r="B25" s="258" t="s">
        <v>373</v>
      </c>
      <c r="C25" s="247" t="n">
        <f aca="false">VLOOKUP(B25,[1]Sheet1!A$1:B$1048576,2,0)</f>
        <v>2199</v>
      </c>
      <c r="D25" s="247" t="n">
        <f aca="false">VLOOKUP(B25,[2]Sheet1!A$6:B$360,2,0)</f>
        <v>2266</v>
      </c>
      <c r="E25" s="247" t="n">
        <f aca="false">VLOOKUP(B25,[3]Sheet1!A$6:B$360,2,0)</f>
        <v>2266</v>
      </c>
      <c r="F25" s="247" t="n">
        <f aca="false">VLOOKUP(B25,[4]Sheet1!A$6:B$360,2,0)</f>
        <v>2266</v>
      </c>
      <c r="G25" s="247" t="n">
        <f aca="false">VLOOKUP(B25,[5]Sheet1!A$6:B$360,2,0)</f>
        <v>2266</v>
      </c>
      <c r="H25" s="247" t="n">
        <f aca="false">VLOOKUP(B25,[6]Sheet1!A$6:B$360,2,0)</f>
        <v>2266</v>
      </c>
      <c r="I25" s="247" t="n">
        <f aca="false">VLOOKUP(B25,[7]Sheet1!A$6:B$360,2,0)</f>
        <v>2266</v>
      </c>
      <c r="J25" s="247" t="n">
        <f aca="false">VLOOKUP(B25,[8]Sheet1!A$6:B$360,2,0)</f>
        <v>2266</v>
      </c>
      <c r="K25" s="259" t="n">
        <f aca="false">VLOOKUP(B25,[9]Sheet1!A$6:B$360,2,0)</f>
        <v>2266</v>
      </c>
      <c r="L25" s="260" t="n">
        <f aca="false">VLOOKUP(B25,[10]Sheet1!A$1:B$1048576,2,0)</f>
        <v>2266</v>
      </c>
      <c r="M25" s="247" t="n">
        <f aca="false">VLOOKUP(B25,[11]Sheet1!A$6:B$360,2,0)</f>
        <v>2266</v>
      </c>
      <c r="N25" s="247" t="n">
        <f aca="false">VLOOKUP(B25,[12]Sheet1!A$6:B$360,2,0)</f>
        <v>2266</v>
      </c>
      <c r="O25" s="247" t="n">
        <f aca="false">VLOOKUP(B25,[13]Sheet1!A$6:B$360,2,0)</f>
        <v>2266</v>
      </c>
      <c r="P25" s="247" t="n">
        <f aca="false">VLOOKUP(B25,[14]Sheet1!A$6:B$360,2,0)</f>
        <v>2266</v>
      </c>
      <c r="Q25" s="261" t="n">
        <f aca="false">VLOOKUP(B25,[15]Sheet1!A$6:B$360,2,0)</f>
        <v>2200</v>
      </c>
      <c r="R25" s="259" t="n">
        <f aca="false">VLOOKUP(B25,[16]Sheet1!A$6:B$360,2,0)</f>
        <v>2200</v>
      </c>
      <c r="S25" s="247" t="n">
        <f aca="false">VLOOKUP(B25,[17]Sheet1!A$6:B$360,2,0)</f>
        <v>2200</v>
      </c>
      <c r="T25" s="247" t="n">
        <f aca="false">VLOOKUP(B25,[18]Sheet1!A$6:B$360,2,0)</f>
        <v>2200</v>
      </c>
      <c r="U25" s="247" t="n">
        <f aca="false">VLOOKUP(B25,[19]Sheet1!A$6:B$360,2,0)</f>
        <v>2200</v>
      </c>
      <c r="V25" s="247" t="n">
        <f aca="false">VLOOKUP(B25,[20]Sheet1!A$6:B$360,2,0)</f>
        <v>2317</v>
      </c>
      <c r="W25" s="247" t="n">
        <f aca="false">VLOOKUP(B25,[21]Sheet1!A$6:B$360,2,0)</f>
        <v>2317</v>
      </c>
      <c r="X25" s="247" t="n">
        <f aca="false">VLOOKUP(B25,[22]Sheet1!A$6:B$360,2,0)</f>
        <v>2317</v>
      </c>
      <c r="Y25" s="263" t="n">
        <f aca="false">VLOOKUP(B25,[23]Sheet1!A$6:B$360,2,0)</f>
        <v>2317</v>
      </c>
      <c r="Z25" s="259" t="n">
        <f aca="false">VLOOKUP(B25,[24]Sheet1!A$6:B$360,2,0)</f>
        <v>2317</v>
      </c>
      <c r="AA25" s="247" t="n">
        <f aca="false">VLOOKUP(B25,[25]Sheet1!A$6:B$360,2,0)</f>
        <v>2317</v>
      </c>
      <c r="AB25" s="247" t="n">
        <f aca="false">VLOOKUP(B25,[26]Sheet1!A$6:B$360,2,0)</f>
        <v>2317</v>
      </c>
      <c r="AC25" s="247" t="n">
        <f aca="false">VLOOKUP(B25,[27]Sheet1!A$6:B$360,2,0)</f>
        <v>2317</v>
      </c>
      <c r="AD25" s="263" t="n">
        <f aca="false">VLOOKUP(B25,[28]Sheet1!A$6:B$360,2,0)</f>
        <v>2317</v>
      </c>
      <c r="AE25" s="259" t="n">
        <f aca="false">VLOOKUP(B25,[29]Sheet1!A$6:B$360,2,0)</f>
        <v>2317</v>
      </c>
      <c r="AF25" s="247" t="n">
        <f aca="false">VLOOKUP(B25,[30]Sheet1!A$6:B$360,2,0)</f>
        <v>1800</v>
      </c>
      <c r="AG25" s="247" t="n">
        <f aca="false">VLOOKUP(B25,[31]Sheet1!A$6:B$360,2,0)</f>
        <v>1800</v>
      </c>
      <c r="AH25" s="247" t="n">
        <f aca="false">VLOOKUP(B25,[32]Sheet1!A$6:B$360,2,0)</f>
        <v>1800</v>
      </c>
      <c r="AI25" s="247" t="n">
        <f aca="false">VLOOKUP(B25,[33]Sheet1!A$6:B$360,2,0)</f>
        <v>1800</v>
      </c>
      <c r="AJ25" s="263" t="n">
        <f aca="false">VLOOKUP(B25,[34]Sheet1!A$6:B$360,2,0)</f>
        <v>1800</v>
      </c>
      <c r="AK25" s="259" t="n">
        <f aca="false">VLOOKUP(B25,[35]Sheet1!A$6:B$360,2,0)</f>
        <v>2000</v>
      </c>
      <c r="AL25" s="247" t="n">
        <f aca="false">VLOOKUP(B25,[36]Sheet1!A$6:B$360,2,0)</f>
        <v>2000</v>
      </c>
      <c r="AM25" s="247" t="n">
        <f aca="false">VLOOKUP(B25,[37]Sheet1!A$6:B$360,2,0)</f>
        <v>2000</v>
      </c>
      <c r="AN25" s="247" t="n">
        <f aca="false">VLOOKUP(B25,[38]Sheet1!A$6:B$360,2,0)</f>
        <v>2000</v>
      </c>
      <c r="AO25" s="263" t="n">
        <f aca="false">VLOOKUP(B25,[39]Sheet1!A$6:B$360,2,0)</f>
        <v>2000</v>
      </c>
      <c r="AP25" s="259" t="n">
        <f aca="false">VLOOKUP(B25,[40]Sheet1!A$6:B$360,2,0)</f>
        <v>2000</v>
      </c>
      <c r="AQ25" s="247" t="n">
        <f aca="false">VLOOKUP(B25,[41]Sheet1!A$6:B$360,2,0)</f>
        <v>2000</v>
      </c>
      <c r="AR25" s="247" t="n">
        <f aca="false">VLOOKUP(B25,[42]Sheet1!A$6:B$360,2,0)</f>
        <v>2000</v>
      </c>
    </row>
    <row r="26" customFormat="false" ht="12.8" hidden="false" customHeight="false" outlineLevel="0" collapsed="false">
      <c r="A26" s="23" t="s">
        <v>196</v>
      </c>
      <c r="B26" s="258" t="s">
        <v>374</v>
      </c>
      <c r="C26" s="247" t="n">
        <f aca="false">VLOOKUP(B26,[1]Sheet1!A$1:B$1048576,2,0)</f>
        <v>3600</v>
      </c>
      <c r="D26" s="247" t="n">
        <f aca="false">VLOOKUP(B26,[2]Sheet1!A$6:B$360,2,0)</f>
        <v>3616</v>
      </c>
      <c r="E26" s="247" t="n">
        <f aca="false">VLOOKUP(B26,[3]Sheet1!A$6:B$360,2,0)</f>
        <v>3616</v>
      </c>
      <c r="F26" s="247" t="n">
        <f aca="false">VLOOKUP(B26,[4]Sheet1!A$6:B$360,2,0)</f>
        <v>3616</v>
      </c>
      <c r="G26" s="247" t="n">
        <f aca="false">VLOOKUP(B26,[5]Sheet1!A$6:B$360,2,0)</f>
        <v>3616</v>
      </c>
      <c r="H26" s="247" t="n">
        <f aca="false">VLOOKUP(B26,[6]Sheet1!A$6:B$360,2,0)</f>
        <v>3616</v>
      </c>
      <c r="I26" s="247" t="n">
        <f aca="false">VLOOKUP(B26,[7]Sheet1!A$6:B$360,2,0)</f>
        <v>3604</v>
      </c>
      <c r="J26" s="247" t="n">
        <f aca="false">VLOOKUP(B26,[8]Sheet1!A$6:B$360,2,0)</f>
        <v>3600</v>
      </c>
      <c r="K26" s="259" t="n">
        <f aca="false">VLOOKUP(B26,[9]Sheet1!A$6:B$360,2,0)</f>
        <v>3600</v>
      </c>
      <c r="L26" s="260" t="n">
        <f aca="false">VLOOKUP(B26,[10]Sheet1!A$1:B$1048576,2,0)</f>
        <v>3600</v>
      </c>
      <c r="M26" s="247" t="n">
        <f aca="false">VLOOKUP(B26,[11]Sheet1!A$6:B$360,2,0)</f>
        <v>3600</v>
      </c>
      <c r="N26" s="247" t="n">
        <f aca="false">VLOOKUP(B26,[12]Sheet1!A$6:B$360,2,0)</f>
        <v>3600</v>
      </c>
      <c r="O26" s="247" t="n">
        <f aca="false">VLOOKUP(B26,[13]Sheet1!A$6:B$360,2,0)</f>
        <v>3600</v>
      </c>
      <c r="P26" s="247" t="n">
        <f aca="false">VLOOKUP(B26,[14]Sheet1!A$6:B$360,2,0)</f>
        <v>3600</v>
      </c>
      <c r="Q26" s="261" t="n">
        <f aca="false">VLOOKUP(B26,[15]Sheet1!A$6:B$360,2,0)</f>
        <v>3611</v>
      </c>
      <c r="R26" s="259" t="n">
        <f aca="false">VLOOKUP(B26,[16]Sheet1!A$6:B$360,2,0)</f>
        <v>3422</v>
      </c>
      <c r="S26" s="247" t="n">
        <f aca="false">VLOOKUP(B26,[17]Sheet1!A$6:B$360,2,0)</f>
        <v>3500</v>
      </c>
      <c r="T26" s="247" t="n">
        <f aca="false">VLOOKUP(B26,[18]Sheet1!A$6:B$360,2,0)</f>
        <v>3500</v>
      </c>
      <c r="U26" s="247" t="n">
        <f aca="false">VLOOKUP(B26,[19]Sheet1!A$6:B$360,2,0)</f>
        <v>3600</v>
      </c>
      <c r="V26" s="247" t="n">
        <f aca="false">VLOOKUP(B26,[20]Sheet1!A$6:B$360,2,0)</f>
        <v>3599</v>
      </c>
      <c r="W26" s="247" t="n">
        <f aca="false">VLOOKUP(B26,[21]Sheet1!A$6:B$360,2,0)</f>
        <v>3599</v>
      </c>
      <c r="X26" s="247" t="n">
        <f aca="false">VLOOKUP(B26,[22]Sheet1!A$6:B$360,2,0)</f>
        <v>3599</v>
      </c>
      <c r="Y26" s="263" t="n">
        <f aca="false">VLOOKUP(B26,[23]Sheet1!A$6:B$360,2,0)</f>
        <v>3599</v>
      </c>
      <c r="Z26" s="259" t="n">
        <f aca="false">VLOOKUP(B26,[24]Sheet1!A$6:B$360,2,0)</f>
        <v>3599</v>
      </c>
      <c r="AA26" s="247" t="n">
        <f aca="false">VLOOKUP(B26,[25]Sheet1!A$6:B$360,2,0)</f>
        <v>3601</v>
      </c>
      <c r="AB26" s="247" t="n">
        <f aca="false">VLOOKUP(B26,[26]Sheet1!A$6:B$360,2,0)</f>
        <v>3601</v>
      </c>
      <c r="AC26" s="247" t="n">
        <f aca="false">VLOOKUP(B26,[27]Sheet1!A$6:B$360,2,0)</f>
        <v>3660</v>
      </c>
      <c r="AD26" s="263" t="n">
        <f aca="false">VLOOKUP(B26,[28]Sheet1!A$6:B$360,2,0)</f>
        <v>4044</v>
      </c>
      <c r="AE26" s="259" t="n">
        <f aca="false">VLOOKUP(B26,[29]Sheet1!A$6:B$360,2,0)</f>
        <v>3000.24</v>
      </c>
      <c r="AF26" s="247" t="n">
        <f aca="false">VLOOKUP(B26,[30]Sheet1!A$6:B$360,2,0)</f>
        <v>2649.48</v>
      </c>
      <c r="AG26" s="247" t="n">
        <f aca="false">VLOOKUP(B26,[31]Sheet1!A$6:B$360,2,0)</f>
        <v>2500</v>
      </c>
      <c r="AH26" s="247" t="n">
        <f aca="false">VLOOKUP(B26,[32]Sheet1!A$6:B$360,2,0)</f>
        <v>2500</v>
      </c>
      <c r="AI26" s="247" t="n">
        <f aca="false">VLOOKUP(B26,[33]Sheet1!A$6:B$360,2,0)</f>
        <v>2900</v>
      </c>
      <c r="AJ26" s="263" t="n">
        <f aca="false">VLOOKUP(B26,[34]Sheet1!A$6:B$360,2,0)</f>
        <v>2900</v>
      </c>
      <c r="AK26" s="259" t="n">
        <f aca="false">VLOOKUP(B26,[35]Sheet1!A$6:B$360,2,0)</f>
        <v>1470</v>
      </c>
      <c r="AL26" s="247" t="n">
        <f aca="false">VLOOKUP(B26,[36]Sheet1!A$6:B$360,2,0)</f>
        <v>1645</v>
      </c>
      <c r="AM26" s="247" t="n">
        <f aca="false">VLOOKUP(B26,[37]Sheet1!A$6:B$360,2,0)</f>
        <v>1851</v>
      </c>
      <c r="AN26" s="247" t="n">
        <f aca="false">VLOOKUP(B26,[38]Sheet1!A$6:B$360,2,0)</f>
        <v>2350</v>
      </c>
      <c r="AO26" s="263" t="n">
        <f aca="false">VLOOKUP(B26,[39]Sheet1!A$6:B$360,2,0)</f>
        <v>2350</v>
      </c>
      <c r="AP26" s="259" t="n">
        <f aca="false">VLOOKUP(B26,[40]Sheet1!A$6:B$360,2,0)</f>
        <v>2350</v>
      </c>
      <c r="AQ26" s="247" t="n">
        <f aca="false">VLOOKUP(B26,[41]Sheet1!A$6:B$360,2,0)</f>
        <v>2853</v>
      </c>
      <c r="AR26" s="247" t="n">
        <f aca="false">VLOOKUP(B26,[42]Sheet1!A$6:B$360,2,0)</f>
        <v>2853</v>
      </c>
    </row>
    <row r="27" customFormat="false" ht="12.8" hidden="false" customHeight="false" outlineLevel="0" collapsed="false">
      <c r="A27" s="23" t="s">
        <v>295</v>
      </c>
      <c r="B27" s="258" t="s">
        <v>375</v>
      </c>
      <c r="C27" s="247" t="n">
        <f aca="false">VLOOKUP(B27,[1]Sheet1!A$1:B$1048576,2,0)</f>
        <v>4005</v>
      </c>
      <c r="D27" s="247" t="n">
        <f aca="false">VLOOKUP(B27,[2]Sheet1!A$6:B$360,2,0)</f>
        <v>4005</v>
      </c>
      <c r="E27" s="247" t="n">
        <f aca="false">VLOOKUP(B27,[3]Sheet1!A$6:B$360,2,0)</f>
        <v>4005</v>
      </c>
      <c r="F27" s="247" t="n">
        <f aca="false">VLOOKUP(B27,[4]Sheet1!A$6:B$360,2,0)</f>
        <v>4005</v>
      </c>
      <c r="G27" s="247" t="n">
        <f aca="false">VLOOKUP(B27,[5]Sheet1!A$6:B$360,2,0)</f>
        <v>4005</v>
      </c>
      <c r="H27" s="247" t="n">
        <f aca="false">VLOOKUP(B27,[6]Sheet1!A$6:B$360,2,0)</f>
        <v>4005</v>
      </c>
      <c r="I27" s="247" t="n">
        <f aca="false">VLOOKUP(B27,[7]Sheet1!A$6:B$360,2,0)</f>
        <v>4005</v>
      </c>
      <c r="J27" s="247" t="n">
        <f aca="false">VLOOKUP(B27,[8]Sheet1!A$6:B$360,2,0)</f>
        <v>4005</v>
      </c>
      <c r="K27" s="259" t="n">
        <f aca="false">VLOOKUP(B27,[9]Sheet1!A$6:B$360,2,0)</f>
        <v>4005</v>
      </c>
      <c r="L27" s="260" t="n">
        <f aca="false">VLOOKUP(B27,[10]Sheet1!A$1:B$1048576,2,0)</f>
        <v>4005</v>
      </c>
      <c r="M27" s="247" t="n">
        <f aca="false">VLOOKUP(B27,[11]Sheet1!A$6:B$360,2,0)</f>
        <v>4005</v>
      </c>
      <c r="N27" s="247" t="n">
        <f aca="false">VLOOKUP(B27,[12]Sheet1!A$6:B$360,2,0)</f>
        <v>4005</v>
      </c>
      <c r="O27" s="247" t="n">
        <f aca="false">VLOOKUP(B27,[13]Sheet1!A$6:B$360,2,0)</f>
        <v>4005</v>
      </c>
      <c r="P27" s="247" t="n">
        <f aca="false">VLOOKUP(B27,[14]Sheet1!A$6:B$360,2,0)</f>
        <v>4005</v>
      </c>
      <c r="Q27" s="261" t="n">
        <f aca="false">VLOOKUP(B27,[15]Sheet1!A$6:B$360,2,0)</f>
        <v>4005</v>
      </c>
      <c r="R27" s="259" t="n">
        <f aca="false">VLOOKUP(B27,[16]Sheet1!A$6:B$360,2,0)</f>
        <v>4005</v>
      </c>
      <c r="S27" s="247" t="n">
        <f aca="false">VLOOKUP(B27,[17]Sheet1!A$6:B$360,2,0)</f>
        <v>4005</v>
      </c>
      <c r="T27" s="247" t="n">
        <f aca="false">VLOOKUP(B27,[18]Sheet1!A$6:B$360,2,0)</f>
        <v>4005</v>
      </c>
      <c r="U27" s="247" t="n">
        <f aca="false">VLOOKUP(B27,[19]Sheet1!A$6:B$360,2,0)</f>
        <v>4005</v>
      </c>
      <c r="V27" s="247" t="n">
        <f aca="false">VLOOKUP(B27,[20]Sheet1!A$6:B$360,2,0)</f>
        <v>4005</v>
      </c>
      <c r="W27" s="247" t="n">
        <f aca="false">VLOOKUP(B27,[21]Sheet1!A$6:B$360,2,0)</f>
        <v>4005</v>
      </c>
      <c r="X27" s="247" t="n">
        <f aca="false">VLOOKUP(B27,[22]Sheet1!A$6:B$360,2,0)</f>
        <v>4005</v>
      </c>
      <c r="Y27" s="263" t="n">
        <f aca="false">VLOOKUP(B27,[23]Sheet1!A$6:B$360,2,0)</f>
        <v>4005</v>
      </c>
      <c r="Z27" s="259" t="n">
        <f aca="false">VLOOKUP(B27,[24]Sheet1!A$6:B$360,2,0)</f>
        <v>4005</v>
      </c>
      <c r="AA27" s="247" t="n">
        <f aca="false">VLOOKUP(B27,[25]Sheet1!A$6:B$360,2,0)</f>
        <v>4005</v>
      </c>
      <c r="AB27" s="247" t="n">
        <f aca="false">VLOOKUP(B27,[26]Sheet1!A$6:B$360,2,0)</f>
        <v>4005</v>
      </c>
      <c r="AC27" s="247" t="n">
        <f aca="false">VLOOKUP(B27,[27]Sheet1!A$6:B$360,2,0)</f>
        <v>4005</v>
      </c>
      <c r="AD27" s="263" t="n">
        <f aca="false">VLOOKUP(B27,[28]Sheet1!A$6:B$360,2,0)</f>
        <v>4005</v>
      </c>
      <c r="AE27" s="259" t="n">
        <f aca="false">VLOOKUP(B27,[29]Sheet1!A$6:B$360,2,0)</f>
        <v>4005</v>
      </c>
      <c r="AF27" s="247" t="n">
        <f aca="false">VLOOKUP(B27,[30]Sheet1!A$6:B$360,2,0)</f>
        <v>4005</v>
      </c>
      <c r="AG27" s="247" t="n">
        <f aca="false">VLOOKUP(B27,[31]Sheet1!A$6:B$360,2,0)</f>
        <v>4005</v>
      </c>
      <c r="AH27" s="247" t="n">
        <f aca="false">VLOOKUP(B27,[32]Sheet1!A$6:B$360,2,0)</f>
        <v>4005</v>
      </c>
      <c r="AI27" s="247" t="n">
        <f aca="false">VLOOKUP(B27,[33]Sheet1!A$6:B$360,2,0)</f>
        <v>4005</v>
      </c>
      <c r="AJ27" s="263" t="n">
        <f aca="false">VLOOKUP(B27,[34]Sheet1!A$6:B$360,2,0)</f>
        <v>4005</v>
      </c>
      <c r="AK27" s="259" t="n">
        <f aca="false">VLOOKUP(B27,[35]Sheet1!A$6:B$360,2,0)</f>
        <v>4005</v>
      </c>
      <c r="AL27" s="247" t="n">
        <f aca="false">VLOOKUP(B27,[36]Sheet1!A$6:B$360,2,0)</f>
        <v>4005</v>
      </c>
      <c r="AM27" s="247" t="n">
        <f aca="false">VLOOKUP(B27,[37]Sheet1!A$6:B$360,2,0)</f>
        <v>4005</v>
      </c>
      <c r="AN27" s="247" t="n">
        <f aca="false">VLOOKUP(B27,[38]Sheet1!A$6:B$360,2,0)</f>
        <v>4005</v>
      </c>
      <c r="AO27" s="263" t="n">
        <f aca="false">VLOOKUP(B27,[39]Sheet1!A$6:B$360,2,0)</f>
        <v>4005</v>
      </c>
      <c r="AP27" s="259" t="n">
        <f aca="false">VLOOKUP(B27,[40]Sheet1!A$6:B$360,2,0)</f>
        <v>4005</v>
      </c>
      <c r="AQ27" s="247" t="n">
        <f aca="false">VLOOKUP(B27,[41]Sheet1!A$6:B$360,2,0)</f>
        <v>4005</v>
      </c>
      <c r="AR27" s="247" t="n">
        <f aca="false">VLOOKUP(B27,[42]Sheet1!A$6:B$360,2,0)</f>
        <v>4005</v>
      </c>
    </row>
    <row r="28" customFormat="false" ht="12.8" hidden="false" customHeight="false" outlineLevel="0" collapsed="false">
      <c r="A28" s="23" t="s">
        <v>296</v>
      </c>
      <c r="B28" s="258" t="s">
        <v>376</v>
      </c>
      <c r="C28" s="247" t="n">
        <f aca="false">VLOOKUP(B28,[1]Sheet1!A$1:B$1048576,2,0)</f>
        <v>4500</v>
      </c>
      <c r="D28" s="247" t="n">
        <f aca="false">VLOOKUP(B28,[2]Sheet1!A$6:B$360,2,0)</f>
        <v>4500</v>
      </c>
      <c r="E28" s="247" t="n">
        <f aca="false">VLOOKUP(B28,[3]Sheet1!A$6:B$360,2,0)</f>
        <v>4500</v>
      </c>
      <c r="F28" s="247" t="n">
        <f aca="false">VLOOKUP(B28,[4]Sheet1!A$6:B$360,2,0)</f>
        <v>4500</v>
      </c>
      <c r="G28" s="247" t="n">
        <f aca="false">VLOOKUP(B28,[5]Sheet1!A$6:B$360,2,0)</f>
        <v>4500</v>
      </c>
      <c r="H28" s="247" t="n">
        <f aca="false">VLOOKUP(B28,[6]Sheet1!A$6:B$360,2,0)</f>
        <v>4500</v>
      </c>
      <c r="I28" s="247" t="n">
        <f aca="false">VLOOKUP(B28,[7]Sheet1!A$6:B$360,2,0)</f>
        <v>4500</v>
      </c>
      <c r="J28" s="247" t="n">
        <f aca="false">VLOOKUP(B28,[8]Sheet1!A$6:B$360,2,0)</f>
        <v>4500</v>
      </c>
      <c r="K28" s="259" t="n">
        <f aca="false">VLOOKUP(B28,[9]Sheet1!A$6:B$360,2,0)</f>
        <v>4500</v>
      </c>
      <c r="L28" s="260" t="n">
        <f aca="false">VLOOKUP(B28,[10]Sheet1!A$1:B$1048576,2,0)</f>
        <v>4500</v>
      </c>
      <c r="M28" s="247" t="n">
        <f aca="false">VLOOKUP(B28,[11]Sheet1!A$6:B$360,2,0)</f>
        <v>4500</v>
      </c>
      <c r="N28" s="247" t="n">
        <f aca="false">VLOOKUP(B28,[12]Sheet1!A$6:B$360,2,0)</f>
        <v>4500</v>
      </c>
      <c r="O28" s="247" t="n">
        <f aca="false">VLOOKUP(B28,[13]Sheet1!A$6:B$360,2,0)</f>
        <v>4500</v>
      </c>
      <c r="P28" s="247" t="n">
        <f aca="false">VLOOKUP(B28,[14]Sheet1!A$6:B$360,2,0)</f>
        <v>4500</v>
      </c>
      <c r="Q28" s="261" t="n">
        <f aca="false">VLOOKUP(B28,[15]Sheet1!A$6:B$360,2,0)</f>
        <v>4500</v>
      </c>
      <c r="R28" s="259" t="n">
        <f aca="false">VLOOKUP(B28,[16]Sheet1!A$6:B$360,2,0)</f>
        <v>4500</v>
      </c>
      <c r="S28" s="247" t="n">
        <f aca="false">VLOOKUP(B28,[17]Sheet1!A$6:B$360,2,0)</f>
        <v>4500</v>
      </c>
      <c r="T28" s="247" t="n">
        <f aca="false">VLOOKUP(B28,[18]Sheet1!A$6:B$360,2,0)</f>
        <v>4500</v>
      </c>
      <c r="U28" s="247" t="n">
        <f aca="false">VLOOKUP(B28,[19]Sheet1!A$6:B$360,2,0)</f>
        <v>4500</v>
      </c>
      <c r="V28" s="247" t="n">
        <f aca="false">VLOOKUP(B28,[20]Sheet1!A$6:B$360,2,0)</f>
        <v>4500</v>
      </c>
      <c r="W28" s="247" t="n">
        <f aca="false">VLOOKUP(B28,[21]Sheet1!A$6:B$360,2,0)</f>
        <v>4500</v>
      </c>
      <c r="X28" s="247" t="n">
        <f aca="false">VLOOKUP(B28,[22]Sheet1!A$6:B$360,2,0)</f>
        <v>4500</v>
      </c>
      <c r="Y28" s="263" t="n">
        <f aca="false">VLOOKUP(B28,[23]Sheet1!A$6:B$360,2,0)</f>
        <v>4500</v>
      </c>
      <c r="Z28" s="259" t="n">
        <f aca="false">VLOOKUP(B28,[24]Sheet1!A$6:B$360,2,0)</f>
        <v>4500</v>
      </c>
      <c r="AA28" s="247" t="n">
        <f aca="false">VLOOKUP(B28,[25]Sheet1!A$6:B$360,2,0)</f>
        <v>4500</v>
      </c>
      <c r="AB28" s="247" t="n">
        <f aca="false">VLOOKUP(B28,[26]Sheet1!A$6:B$360,2,0)</f>
        <v>4500</v>
      </c>
      <c r="AC28" s="247" t="n">
        <f aca="false">VLOOKUP(B28,[27]Sheet1!A$6:B$360,2,0)</f>
        <v>4500</v>
      </c>
      <c r="AD28" s="263" t="n">
        <f aca="false">VLOOKUP(B28,[28]Sheet1!A$6:B$360,2,0)</f>
        <v>4500</v>
      </c>
      <c r="AE28" s="259" t="n">
        <f aca="false">VLOOKUP(B28,[29]Sheet1!A$6:B$360,2,0)</f>
        <v>1500</v>
      </c>
      <c r="AF28" s="247" t="n">
        <f aca="false">VLOOKUP(B28,[30]Sheet1!A$6:B$360,2,0)</f>
        <v>1500</v>
      </c>
      <c r="AG28" s="247" t="n">
        <f aca="false">VLOOKUP(B28,[31]Sheet1!A$6:B$360,2,0)</f>
        <v>1500</v>
      </c>
      <c r="AH28" s="247" t="n">
        <f aca="false">VLOOKUP(B28,[32]Sheet1!A$6:B$360,2,0)</f>
        <v>1500</v>
      </c>
      <c r="AI28" s="247" t="n">
        <f aca="false">VLOOKUP(B28,[33]Sheet1!A$6:B$360,2,0)</f>
        <v>1500</v>
      </c>
      <c r="AJ28" s="263" t="n">
        <f aca="false">VLOOKUP(B28,[34]Sheet1!A$6:B$360,2,0)</f>
        <v>1500</v>
      </c>
      <c r="AK28" s="259" t="n">
        <f aca="false">VLOOKUP(B28,[35]Sheet1!A$6:B$360,2,0)</f>
        <v>1500</v>
      </c>
      <c r="AL28" s="247" t="n">
        <f aca="false">VLOOKUP(B28,[36]Sheet1!A$6:B$360,2,0)</f>
        <v>620</v>
      </c>
      <c r="AM28" s="247" t="n">
        <f aca="false">VLOOKUP(B28,[37]Sheet1!A$6:B$360,2,0)</f>
        <v>620</v>
      </c>
      <c r="AN28" s="247" t="n">
        <f aca="false">VLOOKUP(B28,[38]Sheet1!A$6:B$360,2,0)</f>
        <v>620</v>
      </c>
      <c r="AO28" s="263" t="n">
        <f aca="false">VLOOKUP(B28,[39]Sheet1!A$6:B$360,2,0)</f>
        <v>620</v>
      </c>
      <c r="AP28" s="259" t="n">
        <f aca="false">VLOOKUP(B28,[40]Sheet1!A$6:B$360,2,0)</f>
        <v>620</v>
      </c>
      <c r="AQ28" s="247" t="n">
        <f aca="false">VLOOKUP(B28,[41]Sheet1!A$6:B$360,2,0)</f>
        <v>620</v>
      </c>
      <c r="AR28" s="247" t="n">
        <f aca="false">VLOOKUP(B28,[42]Sheet1!A$6:B$360,2,0)</f>
        <v>620</v>
      </c>
    </row>
    <row r="29" customFormat="false" ht="12.8" hidden="false" customHeight="false" outlineLevel="0" collapsed="false">
      <c r="A29" s="23" t="s">
        <v>297</v>
      </c>
      <c r="B29" s="258" t="s">
        <v>377</v>
      </c>
      <c r="C29" s="247" t="n">
        <f aca="false">VLOOKUP(B29,[1]Sheet1!A$1:B$1048576,2,0)</f>
        <v>350</v>
      </c>
      <c r="D29" s="247" t="n">
        <f aca="false">VLOOKUP(B29,[2]Sheet1!A$6:B$360,2,0)</f>
        <v>350</v>
      </c>
      <c r="E29" s="247" t="n">
        <f aca="false">VLOOKUP(B29,[3]Sheet1!A$6:B$360,2,0)</f>
        <v>350</v>
      </c>
      <c r="F29" s="247" t="n">
        <f aca="false">VLOOKUP(B29,[4]Sheet1!A$6:B$360,2,0)</f>
        <v>333</v>
      </c>
      <c r="G29" s="247" t="n">
        <f aca="false">VLOOKUP(B29,[5]Sheet1!A$6:B$360,2,0)</f>
        <v>333</v>
      </c>
      <c r="H29" s="247" t="n">
        <f aca="false">VLOOKUP(B29,[6]Sheet1!A$6:B$360,2,0)</f>
        <v>333</v>
      </c>
      <c r="I29" s="247" t="n">
        <f aca="false">VLOOKUP(B29,[7]Sheet1!A$6:B$360,2,0)</f>
        <v>333</v>
      </c>
      <c r="J29" s="247" t="n">
        <f aca="false">VLOOKUP(B29,[8]Sheet1!A$6:B$360,2,0)</f>
        <v>333</v>
      </c>
      <c r="K29" s="259" t="n">
        <f aca="false">VLOOKUP(B29,[9]Sheet1!A$6:B$360,2,0)</f>
        <v>333</v>
      </c>
      <c r="L29" s="260" t="n">
        <f aca="false">VLOOKUP(B29,[10]Sheet1!A$1:B$1048576,2,0)</f>
        <v>333</v>
      </c>
      <c r="M29" s="247" t="n">
        <f aca="false">VLOOKUP(B29,[11]Sheet1!A$6:B$360,2,0)</f>
        <v>333</v>
      </c>
      <c r="N29" s="247" t="n">
        <f aca="false">VLOOKUP(B29,[12]Sheet1!A$6:B$360,2,0)</f>
        <v>333</v>
      </c>
      <c r="O29" s="247" t="n">
        <f aca="false">VLOOKUP(B29,[13]Sheet1!A$6:B$360,2,0)</f>
        <v>333</v>
      </c>
      <c r="P29" s="247" t="n">
        <f aca="false">VLOOKUP(B29,[14]Sheet1!A$6:B$360,2,0)</f>
        <v>333</v>
      </c>
      <c r="Q29" s="261" t="n">
        <f aca="false">VLOOKUP(B29,[15]Sheet1!A$6:B$360,2,0)</f>
        <v>333</v>
      </c>
      <c r="R29" s="259" t="n">
        <f aca="false">VLOOKUP(B29,[16]Sheet1!A$6:B$360,2,0)</f>
        <v>333</v>
      </c>
      <c r="S29" s="247" t="n">
        <f aca="false">VLOOKUP(B29,[17]Sheet1!A$6:B$360,2,0)</f>
        <v>333</v>
      </c>
      <c r="T29" s="247" t="n">
        <f aca="false">VLOOKUP(B29,[18]Sheet1!A$6:B$360,2,0)</f>
        <v>333</v>
      </c>
      <c r="U29" s="247" t="n">
        <f aca="false">VLOOKUP(B29,[19]Sheet1!A$6:B$360,2,0)</f>
        <v>333</v>
      </c>
      <c r="V29" s="247" t="n">
        <f aca="false">VLOOKUP(B29,[20]Sheet1!A$6:B$360,2,0)</f>
        <v>333</v>
      </c>
      <c r="W29" s="247" t="n">
        <f aca="false">VLOOKUP(B29,[21]Sheet1!A$6:B$360,2,0)</f>
        <v>333</v>
      </c>
      <c r="X29" s="247" t="n">
        <f aca="false">VLOOKUP(B29,[22]Sheet1!A$6:B$360,2,0)</f>
        <v>333</v>
      </c>
      <c r="Y29" s="263" t="n">
        <f aca="false">VLOOKUP(B29,[23]Sheet1!A$6:B$360,2,0)</f>
        <v>333</v>
      </c>
      <c r="Z29" s="259" t="n">
        <f aca="false">VLOOKUP(B29,[24]Sheet1!A$6:B$360,2,0)</f>
        <v>333</v>
      </c>
      <c r="AA29" s="247" t="n">
        <f aca="false">VLOOKUP(B29,[25]Sheet1!A$6:B$360,2,0)</f>
        <v>342</v>
      </c>
      <c r="AB29" s="247" t="n">
        <f aca="false">VLOOKUP(B29,[26]Sheet1!A$6:B$360,2,0)</f>
        <v>342</v>
      </c>
      <c r="AC29" s="247" t="n">
        <f aca="false">VLOOKUP(B29,[27]Sheet1!A$6:B$360,2,0)</f>
        <v>342</v>
      </c>
      <c r="AD29" s="263" t="n">
        <f aca="false">VLOOKUP(B29,[28]Sheet1!A$6:B$360,2,0)</f>
        <v>342</v>
      </c>
      <c r="AE29" s="259" t="n">
        <f aca="false">VLOOKUP(B29,[29]Sheet1!A$6:B$360,2,0)</f>
        <v>445</v>
      </c>
      <c r="AF29" s="247" t="n">
        <f aca="false">VLOOKUP(B29,[30]Sheet1!A$6:B$360,2,0)</f>
        <v>441</v>
      </c>
      <c r="AG29" s="247" t="n">
        <f aca="false">VLOOKUP(B29,[31]Sheet1!A$6:B$360,2,0)</f>
        <v>441</v>
      </c>
      <c r="AH29" s="247" t="n">
        <f aca="false">VLOOKUP(B29,[32]Sheet1!A$6:B$360,2,0)</f>
        <v>850</v>
      </c>
      <c r="AI29" s="247" t="n">
        <f aca="false">VLOOKUP(B29,[33]Sheet1!A$6:B$360,2,0)</f>
        <v>850</v>
      </c>
      <c r="AJ29" s="263" t="n">
        <f aca="false">VLOOKUP(B29,[34]Sheet1!A$6:B$360,2,0)</f>
        <v>850</v>
      </c>
      <c r="AK29" s="259" t="n">
        <f aca="false">VLOOKUP(B29,[35]Sheet1!A$6:B$360,2,0)</f>
        <v>850</v>
      </c>
      <c r="AL29" s="247" t="n">
        <f aca="false">VLOOKUP(B29,[36]Sheet1!A$6:B$360,2,0)</f>
        <v>850</v>
      </c>
      <c r="AM29" s="247" t="n">
        <f aca="false">VLOOKUP(B29,[37]Sheet1!A$6:B$360,2,0)</f>
        <v>850</v>
      </c>
      <c r="AN29" s="247" t="n">
        <f aca="false">VLOOKUP(B29,[38]Sheet1!A$6:B$360,2,0)</f>
        <v>850</v>
      </c>
      <c r="AO29" s="263" t="n">
        <f aca="false">VLOOKUP(B29,[39]Sheet1!A$6:B$360,2,0)</f>
        <v>306</v>
      </c>
      <c r="AP29" s="259" t="n">
        <f aca="false">VLOOKUP(B29,[40]Sheet1!A$6:B$360,2,0)</f>
        <v>298</v>
      </c>
      <c r="AQ29" s="247" t="n">
        <f aca="false">VLOOKUP(B29,[41]Sheet1!A$6:B$360,2,0)</f>
        <v>290</v>
      </c>
      <c r="AR29" s="247" t="n">
        <f aca="false">VLOOKUP(B29,[42]Sheet1!A$6:B$360,2,0)</f>
        <v>290</v>
      </c>
    </row>
    <row r="30" customFormat="false" ht="12.8" hidden="false" customHeight="false" outlineLevel="0" collapsed="false">
      <c r="A30" s="23" t="s">
        <v>298</v>
      </c>
      <c r="B30" s="258" t="s">
        <v>378</v>
      </c>
      <c r="C30" s="247" t="n">
        <f aca="false">VLOOKUP(B30,[1]Sheet1!A$1:B$1048576,2,0)</f>
        <v>120</v>
      </c>
      <c r="D30" s="247" t="n">
        <f aca="false">VLOOKUP(B30,[2]Sheet1!A$6:B$360,2,0)</f>
        <v>120</v>
      </c>
      <c r="E30" s="247" t="n">
        <f aca="false">VLOOKUP(B30,[3]Sheet1!A$6:B$360,2,0)</f>
        <v>120</v>
      </c>
      <c r="F30" s="247" t="n">
        <f aca="false">VLOOKUP(B30,[4]Sheet1!A$6:B$360,2,0)</f>
        <v>120</v>
      </c>
      <c r="G30" s="247" t="n">
        <f aca="false">VLOOKUP(B30,[5]Sheet1!A$6:B$360,2,0)</f>
        <v>120</v>
      </c>
      <c r="H30" s="247" t="n">
        <f aca="false">VLOOKUP(B30,[6]Sheet1!A$6:B$360,2,0)</f>
        <v>120</v>
      </c>
      <c r="I30" s="247" t="n">
        <f aca="false">VLOOKUP(B30,[7]Sheet1!A$6:B$360,2,0)</f>
        <v>120</v>
      </c>
      <c r="J30" s="247" t="n">
        <f aca="false">VLOOKUP(B30,[8]Sheet1!A$6:B$360,2,0)</f>
        <v>120</v>
      </c>
      <c r="K30" s="259" t="n">
        <f aca="false">VLOOKUP(B30,[9]Sheet1!A$6:B$360,2,0)</f>
        <v>120</v>
      </c>
      <c r="L30" s="260" t="n">
        <f aca="false">VLOOKUP(B30,[10]Sheet1!A$1:B$1048576,2,0)</f>
        <v>120</v>
      </c>
      <c r="M30" s="247" t="n">
        <f aca="false">VLOOKUP(B30,[11]Sheet1!A$6:B$360,2,0)</f>
        <v>120</v>
      </c>
      <c r="N30" s="247" t="n">
        <f aca="false">VLOOKUP(B30,[12]Sheet1!A$6:B$360,2,0)</f>
        <v>120</v>
      </c>
      <c r="O30" s="247" t="n">
        <f aca="false">VLOOKUP(B30,[13]Sheet1!A$6:B$360,2,0)</f>
        <v>120</v>
      </c>
      <c r="P30" s="247" t="n">
        <f aca="false">VLOOKUP(B30,[14]Sheet1!A$6:B$360,2,0)</f>
        <v>120</v>
      </c>
      <c r="Q30" s="261" t="n">
        <f aca="false">VLOOKUP(B30,[15]Sheet1!A$6:B$360,2,0)</f>
        <v>120</v>
      </c>
      <c r="R30" s="259" t="n">
        <f aca="false">VLOOKUP(B30,[16]Sheet1!A$6:B$360,2,0)</f>
        <v>120</v>
      </c>
      <c r="S30" s="247" t="n">
        <f aca="false">VLOOKUP(B30,[17]Sheet1!A$6:B$360,2,0)</f>
        <v>120</v>
      </c>
      <c r="T30" s="247" t="n">
        <f aca="false">VLOOKUP(B30,[18]Sheet1!A$6:B$360,2,0)</f>
        <v>120</v>
      </c>
      <c r="U30" s="247" t="n">
        <f aca="false">VLOOKUP(B30,[19]Sheet1!A$6:B$360,2,0)</f>
        <v>120</v>
      </c>
      <c r="V30" s="247" t="n">
        <f aca="false">VLOOKUP(B30,[20]Sheet1!A$6:B$360,2,0)</f>
        <v>120</v>
      </c>
      <c r="W30" s="247" t="n">
        <f aca="false">VLOOKUP(B30,[21]Sheet1!A$6:B$360,2,0)</f>
        <v>120</v>
      </c>
      <c r="X30" s="247" t="n">
        <f aca="false">VLOOKUP(B30,[22]Sheet1!A$6:B$360,2,0)</f>
        <v>120</v>
      </c>
      <c r="Y30" s="263" t="n">
        <f aca="false">VLOOKUP(B30,[23]Sheet1!A$6:B$360,2,0)</f>
        <v>120</v>
      </c>
      <c r="Z30" s="259" t="n">
        <f aca="false">VLOOKUP(B30,[24]Sheet1!A$6:B$360,2,0)</f>
        <v>120</v>
      </c>
      <c r="AA30" s="247" t="n">
        <f aca="false">VLOOKUP(B30,[25]Sheet1!A$6:B$360,2,0)</f>
        <v>120</v>
      </c>
      <c r="AB30" s="247" t="n">
        <f aca="false">VLOOKUP(B30,[26]Sheet1!A$6:B$360,2,0)</f>
        <v>120</v>
      </c>
      <c r="AC30" s="247" t="n">
        <f aca="false">VLOOKUP(B30,[27]Sheet1!A$6:B$360,2,0)</f>
        <v>120</v>
      </c>
      <c r="AD30" s="263" t="n">
        <f aca="false">VLOOKUP(B30,[28]Sheet1!A$6:B$360,2,0)</f>
        <v>120</v>
      </c>
      <c r="AE30" s="259" t="n">
        <f aca="false">VLOOKUP(B30,[29]Sheet1!A$6:B$360,2,0)</f>
        <v>120</v>
      </c>
      <c r="AF30" s="247" t="n">
        <f aca="false">VLOOKUP(B30,[30]Sheet1!A$6:B$360,2,0)</f>
        <v>120</v>
      </c>
      <c r="AG30" s="247" t="n">
        <f aca="false">VLOOKUP(B30,[31]Sheet1!A$6:B$360,2,0)</f>
        <v>120</v>
      </c>
      <c r="AH30" s="247" t="n">
        <f aca="false">VLOOKUP(B30,[32]Sheet1!A$6:B$360,2,0)</f>
        <v>120</v>
      </c>
      <c r="AI30" s="247" t="n">
        <f aca="false">VLOOKUP(B30,[33]Sheet1!A$6:B$360,2,0)</f>
        <v>120</v>
      </c>
      <c r="AJ30" s="263" t="n">
        <f aca="false">VLOOKUP(B30,[34]Sheet1!A$6:B$360,2,0)</f>
        <v>120</v>
      </c>
      <c r="AK30" s="259" t="n">
        <f aca="false">VLOOKUP(B30,[35]Sheet1!A$6:B$360,2,0)</f>
        <v>120</v>
      </c>
      <c r="AL30" s="247" t="n">
        <f aca="false">VLOOKUP(B30,[36]Sheet1!A$6:B$360,2,0)</f>
        <v>120</v>
      </c>
      <c r="AM30" s="247" t="n">
        <f aca="false">VLOOKUP(B30,[37]Sheet1!A$6:B$360,2,0)</f>
        <v>120</v>
      </c>
      <c r="AN30" s="247" t="n">
        <f aca="false">VLOOKUP(B30,[38]Sheet1!A$6:B$360,2,0)</f>
        <v>120</v>
      </c>
      <c r="AO30" s="263" t="n">
        <f aca="false">VLOOKUP(B30,[39]Sheet1!A$6:B$360,2,0)</f>
        <v>120</v>
      </c>
      <c r="AP30" s="259" t="n">
        <f aca="false">VLOOKUP(B30,[40]Sheet1!A$6:B$360,2,0)</f>
        <v>120</v>
      </c>
      <c r="AQ30" s="247" t="n">
        <f aca="false">VLOOKUP(B30,[41]Sheet1!A$6:B$360,2,0)</f>
        <v>120</v>
      </c>
      <c r="AR30" s="247" t="n">
        <f aca="false">VLOOKUP(B30,[42]Sheet1!A$6:B$360,2,0)</f>
        <v>120</v>
      </c>
    </row>
    <row r="31" customFormat="false" ht="12.8" hidden="false" customHeight="false" outlineLevel="0" collapsed="false">
      <c r="A31" s="264" t="s">
        <v>24</v>
      </c>
      <c r="B31" s="266" t="s">
        <v>379</v>
      </c>
      <c r="C31" s="247" t="n">
        <f aca="false">VLOOKUP(B31,[1]Sheet1!A$1:B$1048576,2,0)</f>
        <v>23991.1</v>
      </c>
      <c r="D31" s="247" t="n">
        <f aca="false">VLOOKUP(B31,[2]Sheet1!A$6:B$360,2,0)</f>
        <v>23459.94</v>
      </c>
      <c r="E31" s="247" t="n">
        <f aca="false">VLOOKUP(B31,[3]Sheet1!A$6:B$360,2,0)</f>
        <v>24277.41</v>
      </c>
      <c r="F31" s="247" t="n">
        <f aca="false">VLOOKUP(B31,[4]Sheet1!A$6:B$360,2,0)</f>
        <v>23468.23</v>
      </c>
      <c r="G31" s="247" t="n">
        <f aca="false">VLOOKUP(B31,[5]Sheet1!A$6:B$360,2,0)</f>
        <v>21699.66</v>
      </c>
      <c r="H31" s="247" t="n">
        <f aca="false">VLOOKUP(B31,[6]Sheet1!A$6:B$360,2,0)</f>
        <v>18005.47</v>
      </c>
      <c r="I31" s="247" t="n">
        <f aca="false">VLOOKUP(B31,[7]Sheet1!A$6:B$360,2,0)</f>
        <v>17947.95</v>
      </c>
      <c r="J31" s="247" t="n">
        <f aca="false">VLOOKUP(B31,[8]Sheet1!A$6:B$360,2,0)</f>
        <v>16709.04</v>
      </c>
      <c r="K31" s="259" t="n">
        <f aca="false">VLOOKUP(B31,[9]Sheet1!A$6:B$360,2,0)</f>
        <v>14226.83</v>
      </c>
      <c r="L31" s="260" t="n">
        <f aca="false">VLOOKUP(B31,[10]Sheet1!A$1:B$1048576,2,0)</f>
        <v>12983.26</v>
      </c>
      <c r="M31" s="247" t="n">
        <f aca="false">VLOOKUP(B31,[11]Sheet1!A$6:B$360,2,0)</f>
        <v>12490.76</v>
      </c>
      <c r="N31" s="247" t="n">
        <f aca="false">VLOOKUP(B31,[12]Sheet1!A$6:B$360,2,0)</f>
        <v>12440.07</v>
      </c>
      <c r="O31" s="247" t="n">
        <f aca="false">VLOOKUP(B31,[13]Sheet1!A$6:B$360,2,0)</f>
        <v>12312.25</v>
      </c>
      <c r="P31" s="247" t="n">
        <f aca="false">VLOOKUP(B31,[14]Sheet1!A$6:B$360,2,0)</f>
        <v>11700</v>
      </c>
      <c r="Q31" s="261" t="n">
        <f aca="false">VLOOKUP(B31,[15]Sheet1!A$6:B$360,2,0)</f>
        <v>12394.49</v>
      </c>
      <c r="R31" s="259" t="n">
        <f aca="false">VLOOKUP(B31,[16]Sheet1!A$6:B$360,2,0)</f>
        <v>11678.26</v>
      </c>
      <c r="S31" s="247" t="n">
        <f aca="false">VLOOKUP(B31,[17]Sheet1!A$6:B$360,2,0)</f>
        <v>11086.82</v>
      </c>
      <c r="T31" s="247" t="n">
        <f aca="false">VLOOKUP(B31,[18]Sheet1!A$6:B$360,2,0)</f>
        <v>11397.85</v>
      </c>
      <c r="U31" s="247" t="n">
        <f aca="false">VLOOKUP(B31,[19]Sheet1!A$6:B$360,2,0)</f>
        <v>11652.18</v>
      </c>
      <c r="V31" s="247" t="n">
        <f aca="false">VLOOKUP(B31,[20]Sheet1!A$6:B$360,2,0)</f>
        <v>12608.26</v>
      </c>
      <c r="W31" s="247" t="n">
        <f aca="false">VLOOKUP(B31,[21]Sheet1!A$6:B$360,2,0)</f>
        <v>12148.85</v>
      </c>
      <c r="X31" s="247" t="n">
        <f aca="false">VLOOKUP(B31,[22]Sheet1!A$6:B$360,2,0)</f>
        <v>11182.45</v>
      </c>
      <c r="Y31" s="263" t="n">
        <f aca="false">VLOOKUP(B31,[23]Sheet1!A$6:B$360,2,0)</f>
        <v>12423.76</v>
      </c>
      <c r="Z31" s="259" t="n">
        <f aca="false">VLOOKUP(B31,[24]Sheet1!A$6:B$360,2,0)</f>
        <v>11725.93</v>
      </c>
      <c r="AA31" s="247" t="n">
        <f aca="false">VLOOKUP(B31,[25]Sheet1!A$6:B$360,2,0)</f>
        <v>10237.46</v>
      </c>
      <c r="AB31" s="247" t="n">
        <f aca="false">VLOOKUP(B31,[26]Sheet1!A$6:B$360,2,0)</f>
        <v>10649.91</v>
      </c>
      <c r="AC31" s="247" t="n">
        <f aca="false">VLOOKUP(B31,[27]Sheet1!A$6:B$360,2,0)</f>
        <v>8798.75</v>
      </c>
      <c r="AD31" s="263" t="n">
        <f aca="false">VLOOKUP(B31,[28]Sheet1!A$6:B$360,2,0)</f>
        <v>7974.95</v>
      </c>
      <c r="AE31" s="259" t="n">
        <f aca="false">VLOOKUP(B31,[29]Sheet1!A$6:B$360,2,0)</f>
        <v>7299.65</v>
      </c>
      <c r="AF31" s="247" t="n">
        <f aca="false">VLOOKUP(B31,[30]Sheet1!A$6:B$360,2,0)</f>
        <v>6911.41</v>
      </c>
      <c r="AG31" s="247" t="n">
        <f aca="false">VLOOKUP(B31,[31]Sheet1!A$6:B$360,2,0)</f>
        <v>7073.17</v>
      </c>
      <c r="AH31" s="247" t="n">
        <f aca="false">VLOOKUP(B31,[32]Sheet1!A$6:B$360,2,0)</f>
        <v>5801.18</v>
      </c>
      <c r="AI31" s="247" t="n">
        <f aca="false">VLOOKUP(B31,[33]Sheet1!A$6:B$360,2,0)</f>
        <v>6027.13</v>
      </c>
      <c r="AJ31" s="263" t="n">
        <f aca="false">VLOOKUP(B31,[34]Sheet1!A$6:B$360,2,0)</f>
        <v>7911.25</v>
      </c>
      <c r="AK31" s="259" t="n">
        <f aca="false">VLOOKUP(B31,[35]Sheet1!A$6:B$360,2,0)</f>
        <v>6648</v>
      </c>
      <c r="AL31" s="247" t="n">
        <f aca="false">VLOOKUP(B31,[36]Sheet1!A$6:B$360,2,0)</f>
        <v>5649.87</v>
      </c>
      <c r="AM31" s="247" t="n">
        <f aca="false">VLOOKUP(B31,[37]Sheet1!A$6:B$360,2,0)</f>
        <v>5507.62</v>
      </c>
      <c r="AN31" s="247" t="n">
        <f aca="false">VLOOKUP(B31,[38]Sheet1!A$6:B$360,2,0)</f>
        <v>5316.85</v>
      </c>
      <c r="AO31" s="263" t="n">
        <f aca="false">VLOOKUP(B31,[39]Sheet1!A$6:B$360,2,0)</f>
        <v>5649.59</v>
      </c>
      <c r="AP31" s="259" t="n">
        <f aca="false">VLOOKUP(B31,[40]Sheet1!A$6:B$360,2,0)</f>
        <v>5050.4</v>
      </c>
      <c r="AQ31" s="247" t="n">
        <f aca="false">VLOOKUP(B31,[41]Sheet1!A$6:B$360,2,0)</f>
        <v>5256.56</v>
      </c>
      <c r="AR31" s="247" t="n">
        <f aca="false">VLOOKUP(B31,[42]Sheet1!A$6:B$360,2,0)</f>
        <v>5155</v>
      </c>
    </row>
    <row r="32" customFormat="false" ht="12.8" hidden="false" customHeight="false" outlineLevel="0" collapsed="false">
      <c r="A32" s="23" t="s">
        <v>299</v>
      </c>
      <c r="B32" s="258" t="s">
        <v>380</v>
      </c>
      <c r="C32" s="247" t="n">
        <f aca="false">VLOOKUP(B32,[1]Sheet1!A$1:B$1048576,2,0)</f>
        <v>158</v>
      </c>
      <c r="D32" s="247" t="n">
        <f aca="false">VLOOKUP(B32,[2]Sheet1!A$6:B$360,2,0)</f>
        <v>158</v>
      </c>
      <c r="E32" s="247" t="n">
        <f aca="false">VLOOKUP(B32,[3]Sheet1!A$6:B$360,2,0)</f>
        <v>158</v>
      </c>
      <c r="F32" s="247" t="n">
        <f aca="false">VLOOKUP(B32,[4]Sheet1!A$6:B$360,2,0)</f>
        <v>158</v>
      </c>
      <c r="G32" s="247" t="n">
        <f aca="false">VLOOKUP(B32,[5]Sheet1!A$6:B$360,2,0)</f>
        <v>158</v>
      </c>
      <c r="H32" s="247" t="n">
        <f aca="false">VLOOKUP(B32,[6]Sheet1!A$6:B$360,2,0)</f>
        <v>158</v>
      </c>
      <c r="I32" s="247" t="n">
        <f aca="false">VLOOKUP(B32,[7]Sheet1!A$6:B$360,2,0)</f>
        <v>158</v>
      </c>
      <c r="J32" s="247" t="n">
        <f aca="false">VLOOKUP(B32,[8]Sheet1!A$6:B$360,2,0)</f>
        <v>158</v>
      </c>
      <c r="K32" s="259" t="n">
        <f aca="false">VLOOKUP(B32,[9]Sheet1!A$6:B$360,2,0)</f>
        <v>158</v>
      </c>
      <c r="L32" s="260" t="n">
        <f aca="false">VLOOKUP(B32,[10]Sheet1!A$1:B$1048576,2,0)</f>
        <v>158</v>
      </c>
      <c r="M32" s="247" t="n">
        <f aca="false">VLOOKUP(B32,[11]Sheet1!A$6:B$360,2,0)</f>
        <v>158</v>
      </c>
      <c r="N32" s="247" t="n">
        <f aca="false">VLOOKUP(B32,[12]Sheet1!A$6:B$360,2,0)</f>
        <v>158</v>
      </c>
      <c r="O32" s="247" t="n">
        <f aca="false">VLOOKUP(B32,[13]Sheet1!A$6:B$360,2,0)</f>
        <v>158</v>
      </c>
      <c r="P32" s="247" t="n">
        <f aca="false">VLOOKUP(B32,[14]Sheet1!A$6:B$360,2,0)</f>
        <v>158</v>
      </c>
      <c r="Q32" s="261" t="n">
        <f aca="false">VLOOKUP(B32,[15]Sheet1!A$6:B$360,2,0)</f>
        <v>158</v>
      </c>
      <c r="R32" s="259" t="n">
        <f aca="false">VLOOKUP(B32,[16]Sheet1!A$6:B$360,2,0)</f>
        <v>160</v>
      </c>
      <c r="S32" s="247" t="n">
        <f aca="false">VLOOKUP(B32,[17]Sheet1!A$6:B$360,2,0)</f>
        <v>152</v>
      </c>
      <c r="T32" s="247" t="n">
        <f aca="false">VLOOKUP(B32,[18]Sheet1!A$6:B$360,2,0)</f>
        <v>152</v>
      </c>
      <c r="U32" s="247" t="n">
        <f aca="false">VLOOKUP(B32,[19]Sheet1!A$6:B$360,2,0)</f>
        <v>152</v>
      </c>
      <c r="V32" s="247" t="n">
        <f aca="false">VLOOKUP(B32,[20]Sheet1!A$6:B$360,2,0)</f>
        <v>150</v>
      </c>
      <c r="W32" s="247" t="n">
        <f aca="false">VLOOKUP(B32,[21]Sheet1!A$6:B$360,2,0)</f>
        <v>150</v>
      </c>
      <c r="X32" s="247" t="n">
        <f aca="false">VLOOKUP(B32,[22]Sheet1!A$6:B$360,2,0)</f>
        <v>150</v>
      </c>
      <c r="Y32" s="263" t="n">
        <f aca="false">VLOOKUP(B32,[23]Sheet1!A$6:B$360,2,0)</f>
        <v>150</v>
      </c>
      <c r="Z32" s="259" t="n">
        <f aca="false">VLOOKUP(B32,[24]Sheet1!A$6:B$360,2,0)</f>
        <v>150</v>
      </c>
      <c r="AA32" s="247" t="n">
        <f aca="false">VLOOKUP(B32,[25]Sheet1!A$6:B$360,2,0)</f>
        <v>150</v>
      </c>
      <c r="AB32" s="247" t="n">
        <f aca="false">VLOOKUP(B32,[26]Sheet1!A$6:B$360,2,0)</f>
        <v>150</v>
      </c>
      <c r="AC32" s="247" t="n">
        <f aca="false">VLOOKUP(B32,[27]Sheet1!A$6:B$360,2,0)</f>
        <v>146</v>
      </c>
      <c r="AD32" s="263" t="n">
        <f aca="false">VLOOKUP(B32,[28]Sheet1!A$6:B$360,2,0)</f>
        <v>147</v>
      </c>
      <c r="AE32" s="259" t="n">
        <f aca="false">VLOOKUP(B32,[29]Sheet1!A$6:B$360,2,0)</f>
        <v>149</v>
      </c>
      <c r="AF32" s="247" t="n">
        <f aca="false">VLOOKUP(B32,[30]Sheet1!A$6:B$360,2,0)</f>
        <v>150</v>
      </c>
      <c r="AG32" s="247" t="n">
        <f aca="false">VLOOKUP(B32,[31]Sheet1!A$6:B$360,2,0)</f>
        <v>150</v>
      </c>
      <c r="AH32" s="247" t="e">
        <f aca="false">VLOOKUP(B32,[32]Sheet1!A$6:B$360,2,0)</f>
        <v>#N/A</v>
      </c>
      <c r="AI32" s="247" t="e">
        <f aca="false">VLOOKUP(B32,[33]Sheet1!A$6:B$360,2,0)</f>
        <v>#N/A</v>
      </c>
      <c r="AJ32" s="263" t="e">
        <f aca="false">VLOOKUP(B32,[34]Sheet1!A$6:B$360,2,0)</f>
        <v>#N/A</v>
      </c>
      <c r="AK32" s="259" t="e">
        <f aca="false">VLOOKUP(B32,[35]Sheet1!A$6:B$360,2,0)</f>
        <v>#N/A</v>
      </c>
      <c r="AL32" s="247" t="e">
        <f aca="false">VLOOKUP(B32,[36]Sheet1!A$6:B$360,2,0)</f>
        <v>#N/A</v>
      </c>
      <c r="AM32" s="247" t="e">
        <f aca="false">VLOOKUP(B32,[37]Sheet1!A$6:B$360,2,0)</f>
        <v>#N/A</v>
      </c>
      <c r="AN32" s="247" t="e">
        <f aca="false">VLOOKUP(B32,[38]Sheet1!A$6:B$360,2,0)</f>
        <v>#N/A</v>
      </c>
      <c r="AO32" s="263" t="e">
        <f aca="false">VLOOKUP(B32,[39]Sheet1!A$6:B$360,2,0)</f>
        <v>#N/A</v>
      </c>
      <c r="AP32" s="259" t="e">
        <f aca="false">VLOOKUP(B32,[40]Sheet1!A$6:B$360,2,0)</f>
        <v>#N/A</v>
      </c>
      <c r="AQ32" s="247" t="e">
        <f aca="false">VLOOKUP(B32,[41]Sheet1!A$6:B$360,2,0)</f>
        <v>#N/A</v>
      </c>
      <c r="AR32" s="247" t="e">
        <f aca="false">VLOOKUP(B32,[42]Sheet1!A$6:B$360,2,0)</f>
        <v>#N/A</v>
      </c>
    </row>
    <row r="33" customFormat="false" ht="12.8" hidden="false" customHeight="false" outlineLevel="0" collapsed="false">
      <c r="A33" s="23" t="s">
        <v>300</v>
      </c>
      <c r="B33" s="258" t="s">
        <v>381</v>
      </c>
      <c r="C33" s="247" t="n">
        <f aca="false">VLOOKUP(B33,[1]Sheet1!A$1:B$1048576,2,0)</f>
        <v>19</v>
      </c>
      <c r="D33" s="247" t="n">
        <f aca="false">VLOOKUP(B33,[2]Sheet1!A$6:B$360,2,0)</f>
        <v>19</v>
      </c>
      <c r="E33" s="247" t="n">
        <f aca="false">VLOOKUP(B33,[3]Sheet1!A$6:B$360,2,0)</f>
        <v>20</v>
      </c>
      <c r="F33" s="247" t="n">
        <f aca="false">VLOOKUP(B33,[4]Sheet1!A$6:B$360,2,0)</f>
        <v>20</v>
      </c>
      <c r="G33" s="247" t="n">
        <f aca="false">VLOOKUP(B33,[5]Sheet1!A$6:B$360,2,0)</f>
        <v>20</v>
      </c>
      <c r="H33" s="247" t="n">
        <f aca="false">VLOOKUP(B33,[6]Sheet1!A$6:B$360,2,0)</f>
        <v>46</v>
      </c>
      <c r="I33" s="247" t="n">
        <f aca="false">VLOOKUP(B33,[7]Sheet1!A$6:B$360,2,0)</f>
        <v>46</v>
      </c>
      <c r="J33" s="247" t="n">
        <f aca="false">VLOOKUP(B33,[8]Sheet1!A$6:B$360,2,0)</f>
        <v>46</v>
      </c>
      <c r="K33" s="259" t="n">
        <f aca="false">VLOOKUP(B33,[9]Sheet1!A$6:B$360,2,0)</f>
        <v>46</v>
      </c>
      <c r="L33" s="260" t="n">
        <f aca="false">VLOOKUP(B33,[10]Sheet1!A$1:B$1048576,2,0)</f>
        <v>46</v>
      </c>
      <c r="M33" s="247" t="n">
        <f aca="false">VLOOKUP(B33,[11]Sheet1!A$6:B$360,2,0)</f>
        <v>46</v>
      </c>
      <c r="N33" s="247" t="n">
        <f aca="false">VLOOKUP(B33,[12]Sheet1!A$6:B$360,2,0)</f>
        <v>46</v>
      </c>
      <c r="O33" s="247" t="n">
        <f aca="false">VLOOKUP(B33,[13]Sheet1!A$6:B$360,2,0)</f>
        <v>46</v>
      </c>
      <c r="P33" s="247" t="n">
        <f aca="false">VLOOKUP(B33,[14]Sheet1!A$6:B$360,2,0)</f>
        <v>45</v>
      </c>
      <c r="Q33" s="261" t="n">
        <f aca="false">VLOOKUP(B33,[15]Sheet1!A$6:B$360,2,0)</f>
        <v>35</v>
      </c>
      <c r="R33" s="259" t="n">
        <f aca="false">VLOOKUP(B33,[16]Sheet1!A$6:B$360,2,0)</f>
        <v>39</v>
      </c>
      <c r="S33" s="247" t="n">
        <f aca="false">VLOOKUP(B33,[17]Sheet1!A$6:B$360,2,0)</f>
        <v>50</v>
      </c>
      <c r="T33" s="247" t="n">
        <f aca="false">VLOOKUP(B33,[18]Sheet1!A$6:B$360,2,0)</f>
        <v>50</v>
      </c>
      <c r="U33" s="247" t="n">
        <f aca="false">VLOOKUP(B33,[19]Sheet1!A$6:B$360,2,0)</f>
        <v>60</v>
      </c>
      <c r="V33" s="247" t="n">
        <f aca="false">VLOOKUP(B33,[20]Sheet1!A$6:B$360,2,0)</f>
        <v>62</v>
      </c>
      <c r="W33" s="247" t="n">
        <f aca="false">VLOOKUP(B33,[21]Sheet1!A$6:B$360,2,0)</f>
        <v>63</v>
      </c>
      <c r="X33" s="247" t="n">
        <f aca="false">VLOOKUP(B33,[22]Sheet1!A$6:B$360,2,0)</f>
        <v>63</v>
      </c>
      <c r="Y33" s="263" t="n">
        <f aca="false">VLOOKUP(B33,[23]Sheet1!A$6:B$360,2,0)</f>
        <v>69</v>
      </c>
      <c r="Z33" s="259" t="n">
        <f aca="false">VLOOKUP(B33,[24]Sheet1!A$6:B$360,2,0)</f>
        <v>60</v>
      </c>
      <c r="AA33" s="247" t="n">
        <f aca="false">VLOOKUP(B33,[25]Sheet1!A$6:B$360,2,0)</f>
        <v>61</v>
      </c>
      <c r="AB33" s="247" t="n">
        <f aca="false">VLOOKUP(B33,[26]Sheet1!A$6:B$360,2,0)</f>
        <v>61</v>
      </c>
      <c r="AC33" s="247" t="n">
        <f aca="false">VLOOKUP(B33,[27]Sheet1!A$6:B$360,2,0)</f>
        <v>52</v>
      </c>
      <c r="AD33" s="263" t="n">
        <f aca="false">VLOOKUP(B33,[28]Sheet1!A$6:B$360,2,0)</f>
        <v>50</v>
      </c>
      <c r="AE33" s="259" t="n">
        <f aca="false">VLOOKUP(B33,[29]Sheet1!A$6:B$360,2,0)</f>
        <v>44</v>
      </c>
      <c r="AF33" s="247" t="n">
        <f aca="false">VLOOKUP(B33,[30]Sheet1!A$6:B$360,2,0)</f>
        <v>38</v>
      </c>
      <c r="AG33" s="247" t="n">
        <f aca="false">VLOOKUP(B33,[31]Sheet1!A$6:B$360,2,0)</f>
        <v>38</v>
      </c>
      <c r="AH33" s="247" t="n">
        <f aca="false">VLOOKUP(B33,[32]Sheet1!A$6:B$360,2,0)</f>
        <v>40</v>
      </c>
      <c r="AI33" s="247" t="e">
        <f aca="false">VLOOKUP(B33,[33]Sheet1!A$6:B$360,2,0)</f>
        <v>#N/A</v>
      </c>
      <c r="AJ33" s="263" t="e">
        <f aca="false">VLOOKUP(B33,[34]Sheet1!A$6:B$360,2,0)</f>
        <v>#N/A</v>
      </c>
      <c r="AK33" s="259" t="e">
        <f aca="false">VLOOKUP(B33,[35]Sheet1!A$6:B$360,2,0)</f>
        <v>#N/A</v>
      </c>
      <c r="AL33" s="247" t="e">
        <f aca="false">VLOOKUP(B33,[36]Sheet1!A$6:B$360,2,0)</f>
        <v>#N/A</v>
      </c>
      <c r="AM33" s="247" t="e">
        <f aca="false">VLOOKUP(B33,[37]Sheet1!A$6:B$360,2,0)</f>
        <v>#N/A</v>
      </c>
      <c r="AN33" s="247" t="e">
        <f aca="false">VLOOKUP(B33,[38]Sheet1!A$6:B$360,2,0)</f>
        <v>#N/A</v>
      </c>
      <c r="AO33" s="263" t="e">
        <f aca="false">VLOOKUP(B33,[39]Sheet1!A$6:B$360,2,0)</f>
        <v>#N/A</v>
      </c>
      <c r="AP33" s="259" t="e">
        <f aca="false">VLOOKUP(B33,[40]Sheet1!A$6:B$360,2,0)</f>
        <v>#N/A</v>
      </c>
      <c r="AQ33" s="247" t="e">
        <f aca="false">VLOOKUP(B33,[41]Sheet1!A$6:B$360,2,0)</f>
        <v>#N/A</v>
      </c>
      <c r="AR33" s="247" t="e">
        <f aca="false">VLOOKUP(B33,[42]Sheet1!A$6:B$360,2,0)</f>
        <v>#N/A</v>
      </c>
    </row>
    <row r="34" customFormat="false" ht="12.8" hidden="false" customHeight="false" outlineLevel="0" collapsed="false">
      <c r="A34" s="23" t="s">
        <v>301</v>
      </c>
      <c r="B34" s="258" t="s">
        <v>382</v>
      </c>
      <c r="C34" s="247" t="n">
        <f aca="false">VLOOKUP(B34,[1]Sheet1!A$1:B$1048576,2,0)</f>
        <v>180</v>
      </c>
      <c r="D34" s="247" t="n">
        <f aca="false">VLOOKUP(B34,[2]Sheet1!A$6:B$360,2,0)</f>
        <v>180</v>
      </c>
      <c r="E34" s="247" t="n">
        <f aca="false">VLOOKUP(B34,[3]Sheet1!A$6:B$360,2,0)</f>
        <v>180</v>
      </c>
      <c r="F34" s="247" t="n">
        <f aca="false">VLOOKUP(B34,[4]Sheet1!A$6:B$360,2,0)</f>
        <v>180</v>
      </c>
      <c r="G34" s="247" t="n">
        <f aca="false">VLOOKUP(B34,[5]Sheet1!A$6:B$360,2,0)</f>
        <v>180</v>
      </c>
      <c r="H34" s="247" t="n">
        <f aca="false">VLOOKUP(B34,[6]Sheet1!A$6:B$360,2,0)</f>
        <v>180</v>
      </c>
      <c r="I34" s="247" t="n">
        <f aca="false">VLOOKUP(B34,[7]Sheet1!A$6:B$360,2,0)</f>
        <v>180</v>
      </c>
      <c r="J34" s="247" t="n">
        <f aca="false">VLOOKUP(B34,[8]Sheet1!A$6:B$360,2,0)</f>
        <v>180</v>
      </c>
      <c r="K34" s="259" t="n">
        <f aca="false">VLOOKUP(B34,[9]Sheet1!A$6:B$360,2,0)</f>
        <v>180</v>
      </c>
      <c r="L34" s="260" t="n">
        <f aca="false">VLOOKUP(B34,[10]Sheet1!A$1:B$1048576,2,0)</f>
        <v>180</v>
      </c>
      <c r="M34" s="247" t="n">
        <f aca="false">VLOOKUP(B34,[11]Sheet1!A$6:B$360,2,0)</f>
        <v>180</v>
      </c>
      <c r="N34" s="247" t="n">
        <f aca="false">VLOOKUP(B34,[12]Sheet1!A$6:B$360,2,0)</f>
        <v>180</v>
      </c>
      <c r="O34" s="247" t="n">
        <f aca="false">VLOOKUP(B34,[13]Sheet1!A$6:B$360,2,0)</f>
        <v>180</v>
      </c>
      <c r="P34" s="247" t="n">
        <f aca="false">VLOOKUP(B34,[14]Sheet1!A$6:B$360,2,0)</f>
        <v>180</v>
      </c>
      <c r="Q34" s="261" t="n">
        <f aca="false">VLOOKUP(B34,[15]Sheet1!A$6:B$360,2,0)</f>
        <v>180</v>
      </c>
      <c r="R34" s="259" t="n">
        <f aca="false">VLOOKUP(B34,[16]Sheet1!A$6:B$360,2,0)</f>
        <v>200</v>
      </c>
      <c r="S34" s="247" t="n">
        <f aca="false">VLOOKUP(B34,[17]Sheet1!A$6:B$360,2,0)</f>
        <v>200</v>
      </c>
      <c r="T34" s="247" t="n">
        <f aca="false">VLOOKUP(B34,[18]Sheet1!A$6:B$360,2,0)</f>
        <v>200</v>
      </c>
      <c r="U34" s="247" t="n">
        <f aca="false">VLOOKUP(B34,[19]Sheet1!A$6:B$360,2,0)</f>
        <v>200</v>
      </c>
      <c r="V34" s="247" t="n">
        <f aca="false">VLOOKUP(B34,[20]Sheet1!A$6:B$360,2,0)</f>
        <v>206</v>
      </c>
      <c r="W34" s="247" t="n">
        <f aca="false">VLOOKUP(B34,[21]Sheet1!A$6:B$360,2,0)</f>
        <v>206</v>
      </c>
      <c r="X34" s="247" t="n">
        <f aca="false">VLOOKUP(B34,[22]Sheet1!A$6:B$360,2,0)</f>
        <v>206</v>
      </c>
      <c r="Y34" s="263" t="n">
        <f aca="false">VLOOKUP(B34,[23]Sheet1!A$6:B$360,2,0)</f>
        <v>206</v>
      </c>
      <c r="Z34" s="259" t="n">
        <f aca="false">VLOOKUP(B34,[24]Sheet1!A$6:B$360,2,0)</f>
        <v>206</v>
      </c>
      <c r="AA34" s="247" t="n">
        <f aca="false">VLOOKUP(B34,[25]Sheet1!A$6:B$360,2,0)</f>
        <v>206</v>
      </c>
      <c r="AB34" s="247" t="n">
        <f aca="false">VLOOKUP(B34,[26]Sheet1!A$6:B$360,2,0)</f>
        <v>206</v>
      </c>
      <c r="AC34" s="247" t="n">
        <f aca="false">VLOOKUP(B34,[27]Sheet1!A$6:B$360,2,0)</f>
        <v>206</v>
      </c>
      <c r="AD34" s="263" t="n">
        <f aca="false">VLOOKUP(B34,[28]Sheet1!A$6:B$360,2,0)</f>
        <v>250</v>
      </c>
      <c r="AE34" s="259" t="n">
        <f aca="false">VLOOKUP(B34,[29]Sheet1!A$6:B$360,2,0)</f>
        <v>135</v>
      </c>
      <c r="AF34" s="247" t="n">
        <f aca="false">VLOOKUP(B34,[30]Sheet1!A$6:B$360,2,0)</f>
        <v>106</v>
      </c>
      <c r="AG34" s="247" t="n">
        <f aca="false">VLOOKUP(B34,[31]Sheet1!A$6:B$360,2,0)</f>
        <v>106</v>
      </c>
      <c r="AH34" s="247" t="n">
        <f aca="false">VLOOKUP(B34,[32]Sheet1!A$6:B$360,2,0)</f>
        <v>106</v>
      </c>
      <c r="AI34" s="247" t="n">
        <f aca="false">VLOOKUP(B34,[33]Sheet1!A$6:B$360,2,0)</f>
        <v>106</v>
      </c>
      <c r="AJ34" s="263" t="n">
        <f aca="false">VLOOKUP(B34,[34]Sheet1!A$6:B$360,2,0)</f>
        <v>106</v>
      </c>
      <c r="AK34" s="259" t="n">
        <f aca="false">VLOOKUP(B34,[35]Sheet1!A$6:B$360,2,0)</f>
        <v>100</v>
      </c>
      <c r="AL34" s="247" t="n">
        <f aca="false">VLOOKUP(B34,[36]Sheet1!A$6:B$360,2,0)</f>
        <v>600</v>
      </c>
      <c r="AM34" s="247" t="n">
        <f aca="false">VLOOKUP(B34,[37]Sheet1!A$6:B$360,2,0)</f>
        <v>600</v>
      </c>
      <c r="AN34" s="247" t="n">
        <f aca="false">VLOOKUP(B34,[38]Sheet1!A$6:B$360,2,0)</f>
        <v>600</v>
      </c>
      <c r="AO34" s="263" t="n">
        <f aca="false">VLOOKUP(B34,[39]Sheet1!A$6:B$360,2,0)</f>
        <v>600</v>
      </c>
      <c r="AP34" s="259" t="n">
        <f aca="false">VLOOKUP(B34,[40]Sheet1!A$6:B$360,2,0)</f>
        <v>600</v>
      </c>
      <c r="AQ34" s="247" t="n">
        <f aca="false">VLOOKUP(B34,[41]Sheet1!A$6:B$360,2,0)</f>
        <v>600</v>
      </c>
      <c r="AR34" s="247" t="n">
        <f aca="false">VLOOKUP(B34,[42]Sheet1!A$6:B$360,2,0)</f>
        <v>600</v>
      </c>
    </row>
    <row r="35" customFormat="false" ht="12.8" hidden="false" customHeight="false" outlineLevel="0" collapsed="false">
      <c r="A35" s="23" t="s">
        <v>193</v>
      </c>
      <c r="B35" s="258" t="s">
        <v>383</v>
      </c>
      <c r="C35" s="247" t="n">
        <f aca="false">VLOOKUP(B35,[1]Sheet1!A$1:B$1048576,2,0)</f>
        <v>1200</v>
      </c>
      <c r="D35" s="247" t="n">
        <f aca="false">VLOOKUP(B35,[2]Sheet1!A$6:B$360,2,0)</f>
        <v>1200</v>
      </c>
      <c r="E35" s="247" t="n">
        <f aca="false">VLOOKUP(B35,[3]Sheet1!A$6:B$360,2,0)</f>
        <v>1200</v>
      </c>
      <c r="F35" s="247" t="n">
        <f aca="false">VLOOKUP(B35,[4]Sheet1!A$6:B$360,2,0)</f>
        <v>1200</v>
      </c>
      <c r="G35" s="247" t="n">
        <f aca="false">VLOOKUP(B35,[5]Sheet1!A$6:B$360,2,0)</f>
        <v>1200</v>
      </c>
      <c r="H35" s="247" t="n">
        <f aca="false">VLOOKUP(B35,[6]Sheet1!A$6:B$360,2,0)</f>
        <v>1237</v>
      </c>
      <c r="I35" s="247" t="n">
        <f aca="false">VLOOKUP(B35,[7]Sheet1!A$6:B$360,2,0)</f>
        <v>1237</v>
      </c>
      <c r="J35" s="247" t="n">
        <f aca="false">VLOOKUP(B35,[8]Sheet1!A$6:B$360,2,0)</f>
        <v>1237</v>
      </c>
      <c r="K35" s="259" t="n">
        <f aca="false">VLOOKUP(B35,[9]Sheet1!A$6:B$360,2,0)</f>
        <v>1237</v>
      </c>
      <c r="L35" s="260" t="n">
        <f aca="false">VLOOKUP(B35,[10]Sheet1!A$1:B$1048576,2,0)</f>
        <v>1237</v>
      </c>
      <c r="M35" s="247" t="n">
        <f aca="false">VLOOKUP(B35,[11]Sheet1!A$6:B$360,2,0)</f>
        <v>1237</v>
      </c>
      <c r="N35" s="247" t="n">
        <f aca="false">VLOOKUP(B35,[12]Sheet1!A$6:B$360,2,0)</f>
        <v>1237</v>
      </c>
      <c r="O35" s="247" t="n">
        <f aca="false">VLOOKUP(B35,[13]Sheet1!A$6:B$360,2,0)</f>
        <v>1237</v>
      </c>
      <c r="P35" s="247" t="n">
        <f aca="false">VLOOKUP(B35,[14]Sheet1!A$6:B$360,2,0)</f>
        <v>1237</v>
      </c>
      <c r="Q35" s="261" t="n">
        <f aca="false">VLOOKUP(B35,[15]Sheet1!A$6:B$360,2,0)</f>
        <v>1236</v>
      </c>
      <c r="R35" s="259" t="n">
        <f aca="false">VLOOKUP(B35,[16]Sheet1!A$6:B$360,2,0)</f>
        <v>1200</v>
      </c>
      <c r="S35" s="247" t="n">
        <f aca="false">VLOOKUP(B35,[17]Sheet1!A$6:B$360,2,0)</f>
        <v>1200</v>
      </c>
      <c r="T35" s="247" t="n">
        <f aca="false">VLOOKUP(B35,[18]Sheet1!A$6:B$360,2,0)</f>
        <v>1200</v>
      </c>
      <c r="U35" s="247" t="n">
        <f aca="false">VLOOKUP(B35,[19]Sheet1!A$6:B$360,2,0)</f>
        <v>1200</v>
      </c>
      <c r="V35" s="247" t="n">
        <f aca="false">VLOOKUP(B35,[20]Sheet1!A$6:B$360,2,0)</f>
        <v>1131</v>
      </c>
      <c r="W35" s="247" t="n">
        <f aca="false">VLOOKUP(B35,[21]Sheet1!A$6:B$360,2,0)</f>
        <v>1131</v>
      </c>
      <c r="X35" s="247" t="n">
        <f aca="false">VLOOKUP(B35,[22]Sheet1!A$6:B$360,2,0)</f>
        <v>1131</v>
      </c>
      <c r="Y35" s="263" t="n">
        <f aca="false">VLOOKUP(B35,[23]Sheet1!A$6:B$360,2,0)</f>
        <v>1131</v>
      </c>
      <c r="Z35" s="259" t="n">
        <f aca="false">VLOOKUP(B35,[24]Sheet1!A$6:B$360,2,0)</f>
        <v>1131</v>
      </c>
      <c r="AA35" s="247" t="n">
        <f aca="false">VLOOKUP(B35,[25]Sheet1!A$6:B$360,2,0)</f>
        <v>1261</v>
      </c>
      <c r="AB35" s="247" t="n">
        <f aca="false">VLOOKUP(B35,[26]Sheet1!A$6:B$360,2,0)</f>
        <v>1261</v>
      </c>
      <c r="AC35" s="247" t="n">
        <f aca="false">VLOOKUP("Осигурување македонија ад скопје - виена иншуренс груп",[27]Sheet1!A$6:B$360,2,0)</f>
        <v>1261</v>
      </c>
      <c r="AD35" s="263" t="n">
        <f aca="false">VLOOKUP("Осигурување македонија ад скопје - виена иншуренс груп",[28]Sheet1!A$6:B$360,2,0)</f>
        <v>1261</v>
      </c>
      <c r="AE35" s="259" t="n">
        <f aca="false">VLOOKUP("Осигурување македонија ад скопје - виена иншуренс груп",[29]Sheet1!A$6:B$360,2,0)</f>
        <v>1261</v>
      </c>
      <c r="AF35" s="247" t="n">
        <v>1651</v>
      </c>
      <c r="AG35" s="247" t="n">
        <v>1651</v>
      </c>
      <c r="AH35" s="247" t="n">
        <v>1651</v>
      </c>
      <c r="AI35" s="247" t="n">
        <v>1651</v>
      </c>
      <c r="AJ35" s="263" t="n">
        <f aca="false">VLOOKUP("Осигурување македонија ад скопје - виена иншуренс груп",[34]Sheet1!A$6:B$360,2,0)</f>
        <v>1651</v>
      </c>
      <c r="AK35" s="259" t="n">
        <v>1551</v>
      </c>
      <c r="AL35" s="247" t="n">
        <f aca="false">VLOOKUP("Осигурување македонија ад скопје - виена иншуренс груп",[36]Sheet1!A$6:B$360,2,0)</f>
        <v>1551</v>
      </c>
      <c r="AM35" s="247" t="n">
        <f aca="false">VLOOKUP("Осигурување македонија ад скопје - виена иншуренс груп",[37]Sheet1!A$6:B$360,2,0)</f>
        <v>1551</v>
      </c>
      <c r="AN35" s="247" t="n">
        <v>1500</v>
      </c>
      <c r="AO35" s="263" t="n">
        <f aca="false">VLOOKUP("Осигурување македонија ад скопје - виена иншуренс груп",[39]Sheet1!A$6:B$360,2,0)</f>
        <v>1500</v>
      </c>
      <c r="AP35" s="259" t="n">
        <f aca="false">VLOOKUP("Осигурување македонија ад скопје - виена иншуренс груп",[40]Sheet1!A$6:B$360,2,0)</f>
        <v>1550</v>
      </c>
      <c r="AQ35" s="247" t="n">
        <v>1550</v>
      </c>
      <c r="AR35" s="247" t="n">
        <f aca="false">VLOOKUP("Осигурување македонија ад скопје - виена иншуренс груп",[42]Sheet1!A$6:B$360,2,0)</f>
        <v>1551</v>
      </c>
    </row>
    <row r="36" customFormat="false" ht="12.8" hidden="false" customHeight="false" outlineLevel="0" collapsed="false">
      <c r="A36" s="264" t="s">
        <v>186</v>
      </c>
      <c r="B36" s="265" t="s">
        <v>384</v>
      </c>
      <c r="C36" s="247" t="n">
        <f aca="false">VLOOKUP(B36,[1]Sheet1!A$1:B$1048576,2,0)</f>
        <v>8022.87</v>
      </c>
      <c r="D36" s="247" t="n">
        <f aca="false">VLOOKUP(B36,[2]Sheet1!A$6:B$360,2,0)</f>
        <v>7570</v>
      </c>
      <c r="E36" s="247" t="n">
        <f aca="false">VLOOKUP(B36,[3]Sheet1!A$6:B$360,2,0)</f>
        <v>7350</v>
      </c>
      <c r="F36" s="247" t="n">
        <f aca="false">VLOOKUP(B36,[4]Sheet1!A$6:B$360,2,0)</f>
        <v>8000</v>
      </c>
      <c r="G36" s="247" t="n">
        <f aca="false">VLOOKUP(B36,[5]Sheet1!A$6:B$360,2,0)</f>
        <v>6502</v>
      </c>
      <c r="H36" s="247" t="n">
        <f aca="false">VLOOKUP(B36,[6]Sheet1!A$6:B$360,2,0)</f>
        <v>5722</v>
      </c>
      <c r="I36" s="247" t="n">
        <f aca="false">VLOOKUP(B36,[7]Sheet1!A$6:B$360,2,0)</f>
        <v>5150</v>
      </c>
      <c r="J36" s="247" t="n">
        <f aca="false">VLOOKUP(B36,[8]Sheet1!A$6:B$360,2,0)</f>
        <v>5000</v>
      </c>
      <c r="K36" s="259" t="n">
        <f aca="false">VLOOKUP(B36,[9]Sheet1!A$6:B$360,2,0)</f>
        <v>4774.12</v>
      </c>
      <c r="L36" s="260" t="n">
        <f aca="false">VLOOKUP(B36,[10]Sheet1!A$1:B$1048576,2,0)</f>
        <v>4400</v>
      </c>
      <c r="M36" s="247" t="n">
        <f aca="false">VLOOKUP(B36,[11]Sheet1!A$6:B$360,2,0)</f>
        <v>4400</v>
      </c>
      <c r="N36" s="247" t="n">
        <f aca="false">VLOOKUP(B36,[12]Sheet1!A$6:B$360,2,0)</f>
        <v>4400</v>
      </c>
      <c r="O36" s="247" t="n">
        <f aca="false">VLOOKUP(B36,[13]Sheet1!A$6:B$360,2,0)</f>
        <v>4350</v>
      </c>
      <c r="P36" s="247" t="n">
        <f aca="false">VLOOKUP(B36,[14]Sheet1!A$6:B$360,2,0)</f>
        <v>4430</v>
      </c>
      <c r="Q36" s="261" t="n">
        <f aca="false">VLOOKUP(B36,[15]Sheet1!A$6:B$360,2,0)</f>
        <v>4550</v>
      </c>
      <c r="R36" s="259" t="n">
        <f aca="false">VLOOKUP(B36,[16]Sheet1!A$6:B$360,2,0)</f>
        <v>4400</v>
      </c>
      <c r="S36" s="247" t="n">
        <f aca="false">VLOOKUP(B36,[17]Sheet1!A$6:B$360,2,0)</f>
        <v>4400</v>
      </c>
      <c r="T36" s="247" t="n">
        <f aca="false">VLOOKUP(B36,[18]Sheet1!A$6:B$360,2,0)</f>
        <v>4392.07</v>
      </c>
      <c r="U36" s="247" t="n">
        <f aca="false">VLOOKUP(B36,[19]Sheet1!A$6:B$360,2,0)</f>
        <v>4559</v>
      </c>
      <c r="V36" s="247" t="n">
        <f aca="false">VLOOKUP(B36,[20]Sheet1!A$6:B$360,2,0)</f>
        <v>4600</v>
      </c>
      <c r="W36" s="247" t="n">
        <f aca="false">VLOOKUP(B36,[21]Sheet1!A$6:B$360,2,0)</f>
        <v>4700</v>
      </c>
      <c r="X36" s="247" t="n">
        <f aca="false">VLOOKUP(B36,[22]Sheet1!A$6:B$360,2,0)</f>
        <v>4700</v>
      </c>
      <c r="Y36" s="263" t="n">
        <f aca="false">VLOOKUP(B36,[23]Sheet1!A$6:B$360,2,0)</f>
        <v>4700</v>
      </c>
      <c r="Z36" s="259" t="n">
        <f aca="false">VLOOKUP(B36,[24]Sheet1!A$6:B$360,2,0)</f>
        <v>4850</v>
      </c>
      <c r="AA36" s="247" t="n">
        <f aca="false">VLOOKUP(B36,[25]Sheet1!A$6:B$360,2,0)</f>
        <v>4700</v>
      </c>
      <c r="AB36" s="247" t="n">
        <f aca="false">VLOOKUP(B36,[26]Sheet1!A$6:B$360,2,0)</f>
        <v>4999</v>
      </c>
      <c r="AC36" s="247" t="n">
        <f aca="false">VLOOKUP(B36,[27]Sheet1!A$6:B$360,2,0)</f>
        <v>4500</v>
      </c>
      <c r="AD36" s="263" t="n">
        <f aca="false">VLOOKUP(B36,[28]Sheet1!A$6:B$360,2,0)</f>
        <v>4161</v>
      </c>
      <c r="AE36" s="259" t="n">
        <f aca="false">VLOOKUP(B36,[29]Sheet1!A$6:B$360,2,0)</f>
        <v>4166.89</v>
      </c>
      <c r="AF36" s="247" t="n">
        <f aca="false">VLOOKUP(B36,[30]Sheet1!A$6:B$360,2,0)</f>
        <v>4000</v>
      </c>
      <c r="AG36" s="247" t="n">
        <f aca="false">VLOOKUP(B36,[31]Sheet1!A$6:B$360,2,0)</f>
        <v>4000</v>
      </c>
      <c r="AH36" s="247" t="n">
        <f aca="false">VLOOKUP(B36,[32]Sheet1!A$6:B$360,2,0)</f>
        <v>4480</v>
      </c>
      <c r="AI36" s="247" t="n">
        <f aca="false">VLOOKUP(B36,[33]Sheet1!A$6:B$360,2,0)</f>
        <v>4400</v>
      </c>
      <c r="AJ36" s="263" t="n">
        <f aca="false">VLOOKUP(B36,[34]Sheet1!A$6:B$360,2,0)</f>
        <v>5700</v>
      </c>
      <c r="AK36" s="259" t="n">
        <f aca="false">VLOOKUP(B36,[35]Sheet1!A$6:B$360,2,0)</f>
        <v>5630.22</v>
      </c>
      <c r="AL36" s="247" t="n">
        <f aca="false">VLOOKUP(B36,[36]Sheet1!A$6:B$360,2,0)</f>
        <v>5311</v>
      </c>
      <c r="AM36" s="247" t="n">
        <f aca="false">VLOOKUP(B36,[37]Sheet1!A$6:B$360,2,0)</f>
        <v>5310</v>
      </c>
      <c r="AN36" s="247" t="n">
        <f aca="false">VLOOKUP(B36,[38]Sheet1!A$6:B$360,2,0)</f>
        <v>5335</v>
      </c>
      <c r="AO36" s="263" t="n">
        <f aca="false">VLOOKUP(B36,[39]Sheet1!A$6:B$360,2,0)</f>
        <v>5051.25</v>
      </c>
      <c r="AP36" s="259" t="n">
        <f aca="false">VLOOKUP(B36,[40]Sheet1!A$6:B$360,2,0)</f>
        <v>5000</v>
      </c>
      <c r="AQ36" s="247" t="n">
        <f aca="false">VLOOKUP(B36,[41]Sheet1!A$6:B$360,2,0)</f>
        <v>4875.67</v>
      </c>
      <c r="AR36" s="247" t="n">
        <f aca="false">VLOOKUP(B36,[42]Sheet1!A$6:B$360,2,0)</f>
        <v>4749.35</v>
      </c>
    </row>
    <row r="37" customFormat="false" ht="12.8" hidden="false" customHeight="false" outlineLevel="0" collapsed="false">
      <c r="A37" s="264" t="s">
        <v>180</v>
      </c>
      <c r="B37" s="265" t="s">
        <v>385</v>
      </c>
      <c r="C37" s="247" t="n">
        <f aca="false">VLOOKUP(B37,[1]Sheet1!A$1:B$1048576,2,0)</f>
        <v>408.65</v>
      </c>
      <c r="D37" s="247" t="n">
        <f aca="false">VLOOKUP(B37,[2]Sheet1!A$6:B$360,2,0)</f>
        <v>411.33</v>
      </c>
      <c r="E37" s="247" t="n">
        <f aca="false">VLOOKUP(B37,[3]Sheet1!A$6:B$360,2,0)</f>
        <v>417</v>
      </c>
      <c r="F37" s="247" t="n">
        <f aca="false">VLOOKUP(B37,[4]Sheet1!A$6:B$360,2,0)</f>
        <v>419.11</v>
      </c>
      <c r="G37" s="247" t="n">
        <f aca="false">VLOOKUP(B37,[5]Sheet1!A$6:B$360,2,0)</f>
        <v>420.17</v>
      </c>
      <c r="H37" s="247" t="n">
        <f aca="false">VLOOKUP(B37,[6]Sheet1!A$6:B$360,2,0)</f>
        <v>420</v>
      </c>
      <c r="I37" s="247" t="n">
        <f aca="false">VLOOKUP(B37,[7]Sheet1!A$6:B$360,2,0)</f>
        <v>420</v>
      </c>
      <c r="J37" s="247" t="n">
        <f aca="false">VLOOKUP(B37,[8]Sheet1!A$6:B$360,2,0)</f>
        <v>420</v>
      </c>
      <c r="K37" s="259" t="n">
        <f aca="false">VLOOKUP(B37,[9]Sheet1!A$6:B$360,2,0)</f>
        <v>383.8</v>
      </c>
      <c r="L37" s="260" t="n">
        <f aca="false">VLOOKUP(B37,[10]Sheet1!A$1:B$1048576,2,0)</f>
        <v>411</v>
      </c>
      <c r="M37" s="247" t="n">
        <f aca="false">VLOOKUP(B37,[11]Sheet1!A$6:B$360,2,0)</f>
        <v>400</v>
      </c>
      <c r="N37" s="247" t="n">
        <f aca="false">VLOOKUP(B37,[12]Sheet1!A$6:B$360,2,0)</f>
        <v>400</v>
      </c>
      <c r="O37" s="247" t="n">
        <f aca="false">VLOOKUP(B37,[13]Sheet1!A$6:B$360,2,0)</f>
        <v>399</v>
      </c>
      <c r="P37" s="247" t="n">
        <f aca="false">VLOOKUP(B37,[14]Sheet1!A$6:B$360,2,0)</f>
        <v>401.94</v>
      </c>
      <c r="Q37" s="261" t="n">
        <f aca="false">VLOOKUP(B37,[15]Sheet1!A$6:B$360,2,0)</f>
        <v>385</v>
      </c>
      <c r="R37" s="259" t="n">
        <f aca="false">VLOOKUP(B37,[16]Sheet1!A$6:B$360,2,0)</f>
        <v>365</v>
      </c>
      <c r="S37" s="247" t="n">
        <f aca="false">VLOOKUP(B37,[17]Sheet1!A$6:B$360,2,0)</f>
        <v>350</v>
      </c>
      <c r="T37" s="247" t="n">
        <f aca="false">VLOOKUP(B37,[18]Sheet1!A$6:B$360,2,0)</f>
        <v>368.4</v>
      </c>
      <c r="U37" s="247" t="n">
        <f aca="false">VLOOKUP(B37,[19]Sheet1!A$6:B$360,2,0)</f>
        <v>371.75</v>
      </c>
      <c r="V37" s="247" t="n">
        <f aca="false">VLOOKUP(B37,[20]Sheet1!A$6:B$360,2,0)</f>
        <v>360</v>
      </c>
      <c r="W37" s="247" t="n">
        <f aca="false">VLOOKUP(B37,[21]Sheet1!A$6:B$360,2,0)</f>
        <v>359</v>
      </c>
      <c r="X37" s="247" t="n">
        <f aca="false">VLOOKUP(B37,[22]Sheet1!A$6:B$360,2,0)</f>
        <v>350.17</v>
      </c>
      <c r="Y37" s="263" t="n">
        <f aca="false">VLOOKUP(B37,[23]Sheet1!A$6:B$360,2,0)</f>
        <v>365</v>
      </c>
      <c r="Z37" s="259" t="n">
        <f aca="false">VLOOKUP(B37,[24]Sheet1!A$6:B$360,2,0)</f>
        <v>345</v>
      </c>
      <c r="AA37" s="247" t="n">
        <f aca="false">VLOOKUP(B37,[25]Sheet1!A$6:B$360,2,0)</f>
        <v>335.52</v>
      </c>
      <c r="AB37" s="247" t="n">
        <f aca="false">VLOOKUP(B37,[26]Sheet1!A$6:B$360,2,0)</f>
        <v>354.37</v>
      </c>
      <c r="AC37" s="247" t="n">
        <f aca="false">VLOOKUP(B37,[27]Sheet1!A$6:B$360,2,0)</f>
        <v>344</v>
      </c>
      <c r="AD37" s="263" t="n">
        <f aca="false">VLOOKUP(B37,[28]Sheet1!A$6:B$360,2,0)</f>
        <v>326.24</v>
      </c>
      <c r="AE37" s="259" t="n">
        <f aca="false">VLOOKUP(B37,[29]Sheet1!A$6:B$360,2,0)</f>
        <v>314</v>
      </c>
      <c r="AF37" s="247" t="n">
        <f aca="false">VLOOKUP(B37,[30]Sheet1!A$6:B$360,2,0)</f>
        <v>318</v>
      </c>
      <c r="AG37" s="247" t="n">
        <f aca="false">VLOOKUP(B37,[31]Sheet1!A$6:B$360,2,0)</f>
        <v>319.15</v>
      </c>
      <c r="AH37" s="247" t="n">
        <f aca="false">VLOOKUP(B37,[32]Sheet1!A$6:B$360,2,0)</f>
        <v>312.89</v>
      </c>
      <c r="AI37" s="247" t="n">
        <f aca="false">VLOOKUP(B37,[33]Sheet1!A$6:B$360,2,0)</f>
        <v>268.83</v>
      </c>
      <c r="AJ37" s="263" t="n">
        <f aca="false">VLOOKUP(B37,[34]Sheet1!A$6:B$360,2,0)</f>
        <v>320</v>
      </c>
      <c r="AK37" s="259" t="n">
        <f aca="false">VLOOKUP(B37,[35]Sheet1!A$6:B$360,2,0)</f>
        <v>320</v>
      </c>
      <c r="AL37" s="247" t="n">
        <f aca="false">VLOOKUP(B37,[36]Sheet1!A$6:B$360,2,0)</f>
        <v>309</v>
      </c>
      <c r="AM37" s="247" t="n">
        <f aca="false">VLOOKUP(B37,[37]Sheet1!A$6:B$360,2,0)</f>
        <v>300</v>
      </c>
      <c r="AN37" s="247" t="n">
        <f aca="false">VLOOKUP(B37,[38]Sheet1!A$6:B$360,2,0)</f>
        <v>294</v>
      </c>
      <c r="AO37" s="263" t="n">
        <f aca="false">VLOOKUP(B37,[39]Sheet1!A$6:B$360,2,0)</f>
        <v>292.88</v>
      </c>
      <c r="AP37" s="259" t="n">
        <f aca="false">VLOOKUP(B37,[40]Sheet1!A$6:B$360,2,0)</f>
        <v>290.71</v>
      </c>
      <c r="AQ37" s="247" t="n">
        <f aca="false">VLOOKUP(B37,[41]Sheet1!A$6:B$360,2,0)</f>
        <v>288.58</v>
      </c>
      <c r="AR37" s="247" t="n">
        <f aca="false">VLOOKUP(B37,[42]Sheet1!A$6:B$360,2,0)</f>
        <v>286.72</v>
      </c>
    </row>
    <row r="38" customFormat="false" ht="12.8" hidden="false" customHeight="false" outlineLevel="0" collapsed="false">
      <c r="A38" s="23" t="s">
        <v>302</v>
      </c>
      <c r="B38" s="258" t="s">
        <v>386</v>
      </c>
      <c r="C38" s="247" t="n">
        <f aca="false">VLOOKUP(B38,[1]Sheet1!A$1:B$1048576,2,0)</f>
        <v>20</v>
      </c>
      <c r="D38" s="247" t="n">
        <f aca="false">VLOOKUP(B38,[2]Sheet1!A$6:B$360,2,0)</f>
        <v>20</v>
      </c>
      <c r="E38" s="247" t="n">
        <f aca="false">VLOOKUP(B38,[3]Sheet1!A$6:B$360,2,0)</f>
        <v>20</v>
      </c>
      <c r="F38" s="247" t="n">
        <f aca="false">VLOOKUP(B38,[4]Sheet1!A$6:B$360,2,0)</f>
        <v>20</v>
      </c>
      <c r="G38" s="247" t="n">
        <f aca="false">VLOOKUP(B38,[5]Sheet1!A$6:B$360,2,0)</f>
        <v>20</v>
      </c>
      <c r="H38" s="247" t="n">
        <f aca="false">VLOOKUP(B38,[6]Sheet1!A$6:B$360,2,0)</f>
        <v>20</v>
      </c>
      <c r="I38" s="247" t="n">
        <f aca="false">VLOOKUP(B38,[7]Sheet1!A$6:B$360,2,0)</f>
        <v>20</v>
      </c>
      <c r="J38" s="247" t="n">
        <f aca="false">VLOOKUP(B38,[8]Sheet1!A$6:B$360,2,0)</f>
        <v>20</v>
      </c>
      <c r="K38" s="259" t="n">
        <f aca="false">VLOOKUP(B38,[9]Sheet1!A$6:B$360,2,0)</f>
        <v>20</v>
      </c>
      <c r="L38" s="260" t="n">
        <f aca="false">VLOOKUP(B38,[10]Sheet1!A$1:B$1048576,2,0)</f>
        <v>20</v>
      </c>
      <c r="M38" s="247" t="n">
        <f aca="false">VLOOKUP(B38,[11]Sheet1!A$6:B$360,2,0)</f>
        <v>20</v>
      </c>
      <c r="N38" s="247" t="n">
        <f aca="false">VLOOKUP(B38,[12]Sheet1!A$6:B$360,2,0)</f>
        <v>20</v>
      </c>
      <c r="O38" s="247" t="n">
        <f aca="false">VLOOKUP(B38,[13]Sheet1!A$6:B$360,2,0)</f>
        <v>20</v>
      </c>
      <c r="P38" s="247" t="n">
        <f aca="false">VLOOKUP(B38,[14]Sheet1!A$6:B$360,2,0)</f>
        <v>20</v>
      </c>
      <c r="Q38" s="261" t="n">
        <f aca="false">VLOOKUP(B38,[15]Sheet1!A$6:B$360,2,0)</f>
        <v>20</v>
      </c>
      <c r="R38" s="259" t="n">
        <f aca="false">VLOOKUP(B38,[16]Sheet1!A$6:B$360,2,0)</f>
        <v>20</v>
      </c>
      <c r="S38" s="247" t="n">
        <f aca="false">VLOOKUP(B38,[17]Sheet1!A$6:B$360,2,0)</f>
        <v>20</v>
      </c>
      <c r="T38" s="247" t="n">
        <f aca="false">VLOOKUP(B38,[18]Sheet1!A$6:B$360,2,0)</f>
        <v>20</v>
      </c>
      <c r="U38" s="247" t="n">
        <f aca="false">VLOOKUP(B38,[19]Sheet1!A$6:B$360,2,0)</f>
        <v>20</v>
      </c>
      <c r="V38" s="247" t="n">
        <f aca="false">VLOOKUP(B38,[20]Sheet1!A$6:B$360,2,0)</f>
        <v>20</v>
      </c>
      <c r="W38" s="247" t="n">
        <f aca="false">VLOOKUP(B38,[21]Sheet1!A$6:B$360,2,0)</f>
        <v>20</v>
      </c>
      <c r="X38" s="247" t="n">
        <f aca="false">VLOOKUP(B38,[22]Sheet1!A$6:B$360,2,0)</f>
        <v>20</v>
      </c>
      <c r="Y38" s="263" t="n">
        <f aca="false">VLOOKUP(B38,[23]Sheet1!A$6:B$360,2,0)</f>
        <v>20</v>
      </c>
      <c r="Z38" s="259" t="n">
        <f aca="false">VLOOKUP(B38,[24]Sheet1!A$6:B$360,2,0)</f>
        <v>20</v>
      </c>
      <c r="AA38" s="247" t="n">
        <f aca="false">VLOOKUP(B38,[25]Sheet1!A$6:B$360,2,0)</f>
        <v>20</v>
      </c>
      <c r="AB38" s="247" t="n">
        <f aca="false">VLOOKUP(B38,[26]Sheet1!A$6:B$360,2,0)</f>
        <v>20</v>
      </c>
      <c r="AC38" s="247" t="n">
        <f aca="false">VLOOKUP(B38,[27]Sheet1!A$6:B$360,2,0)</f>
        <v>20</v>
      </c>
      <c r="AD38" s="263" t="n">
        <f aca="false">VLOOKUP(B38,[28]Sheet1!A$6:B$360,2,0)</f>
        <v>20</v>
      </c>
      <c r="AE38" s="259" t="n">
        <f aca="false">VLOOKUP(B38,[29]Sheet1!A$6:B$360,2,0)</f>
        <v>20</v>
      </c>
      <c r="AF38" s="247" t="n">
        <f aca="false">VLOOKUP(B38,[30]Sheet1!A$6:B$360,2,0)</f>
        <v>20</v>
      </c>
      <c r="AG38" s="247" t="n">
        <f aca="false">VLOOKUP(B38,[31]Sheet1!A$6:B$360,2,0)</f>
        <v>20</v>
      </c>
      <c r="AH38" s="247" t="n">
        <f aca="false">VLOOKUP(B38,[32]Sheet1!A$6:B$360,2,0)</f>
        <v>20</v>
      </c>
      <c r="AI38" s="247" t="n">
        <f aca="false">VLOOKUP(B38,[33]Sheet1!A$6:B$360,2,0)</f>
        <v>20</v>
      </c>
      <c r="AJ38" s="263" t="n">
        <f aca="false">VLOOKUP(B38,[34]Sheet1!A$6:B$360,2,0)</f>
        <v>20</v>
      </c>
      <c r="AK38" s="259" t="n">
        <f aca="false">VLOOKUP(B38,[35]Sheet1!A$6:B$360,2,0)</f>
        <v>20</v>
      </c>
      <c r="AL38" s="247" t="n">
        <f aca="false">VLOOKUP(B38,[36]Sheet1!A$6:B$360,2,0)</f>
        <v>20</v>
      </c>
      <c r="AM38" s="247" t="n">
        <f aca="false">VLOOKUP(B38,[37]Sheet1!A$6:B$360,2,0)</f>
        <v>20</v>
      </c>
      <c r="AN38" s="247" t="n">
        <f aca="false">VLOOKUP(B38,[38]Sheet1!A$6:B$360,2,0)</f>
        <v>20</v>
      </c>
      <c r="AO38" s="263" t="n">
        <f aca="false">VLOOKUP(B38,[39]Sheet1!A$6:B$360,2,0)</f>
        <v>20</v>
      </c>
      <c r="AP38" s="259" t="n">
        <f aca="false">VLOOKUP(B38,[40]Sheet1!A$6:B$360,2,0)</f>
        <v>50</v>
      </c>
      <c r="AQ38" s="247" t="n">
        <f aca="false">VLOOKUP(B38,[41]Sheet1!A$6:B$360,2,0)</f>
        <v>50</v>
      </c>
      <c r="AR38" s="247" t="n">
        <f aca="false">VLOOKUP(B38,[42]Sheet1!A$6:B$360,2,0)</f>
        <v>50</v>
      </c>
    </row>
    <row r="39" customFormat="false" ht="12.8" hidden="false" customHeight="false" outlineLevel="0" collapsed="false">
      <c r="A39" s="23" t="s">
        <v>200</v>
      </c>
      <c r="B39" s="258" t="s">
        <v>387</v>
      </c>
      <c r="C39" s="247" t="n">
        <f aca="false">VLOOKUP(B39,[1]Sheet1!A$1:B$1048576,2,0)</f>
        <v>231</v>
      </c>
      <c r="D39" s="247" t="n">
        <f aca="false">VLOOKUP(B39,[2]Sheet1!A$6:B$360,2,0)</f>
        <v>231</v>
      </c>
      <c r="E39" s="247" t="n">
        <f aca="false">VLOOKUP(B39,[3]Sheet1!A$6:B$360,2,0)</f>
        <v>231</v>
      </c>
      <c r="F39" s="247" t="n">
        <f aca="false">VLOOKUP(B39,[4]Sheet1!A$6:B$360,2,0)</f>
        <v>231</v>
      </c>
      <c r="G39" s="247" t="n">
        <f aca="false">VLOOKUP(B39,[5]Sheet1!A$6:B$360,2,0)</f>
        <v>231</v>
      </c>
      <c r="H39" s="247" t="n">
        <f aca="false">VLOOKUP(B39,[6]Sheet1!A$6:B$360,2,0)</f>
        <v>231</v>
      </c>
      <c r="I39" s="247" t="n">
        <f aca="false">VLOOKUP(B39,[7]Sheet1!A$6:B$360,2,0)</f>
        <v>231</v>
      </c>
      <c r="J39" s="247" t="n">
        <f aca="false">VLOOKUP(B39,[8]Sheet1!A$6:B$360,2,0)</f>
        <v>219</v>
      </c>
      <c r="K39" s="259" t="n">
        <f aca="false">VLOOKUP(B39,[9]Sheet1!A$6:B$360,2,0)</f>
        <v>220</v>
      </c>
      <c r="L39" s="260" t="n">
        <f aca="false">VLOOKUP(B39,[10]Sheet1!A$1:B$1048576,2,0)</f>
        <v>206</v>
      </c>
      <c r="M39" s="247" t="n">
        <f aca="false">VLOOKUP(B39,[11]Sheet1!A$6:B$360,2,0)</f>
        <v>206</v>
      </c>
      <c r="N39" s="247" t="n">
        <f aca="false">VLOOKUP(B39,[12]Sheet1!A$6:B$360,2,0)</f>
        <v>206</v>
      </c>
      <c r="O39" s="247" t="n">
        <f aca="false">VLOOKUP(B39,[13]Sheet1!A$6:B$360,2,0)</f>
        <v>206</v>
      </c>
      <c r="P39" s="247" t="n">
        <f aca="false">VLOOKUP(B39,[14]Sheet1!A$6:B$360,2,0)</f>
        <v>191</v>
      </c>
      <c r="Q39" s="261" t="n">
        <f aca="false">VLOOKUP(B39,[15]Sheet1!A$6:B$360,2,0)</f>
        <v>195</v>
      </c>
      <c r="R39" s="259" t="n">
        <f aca="false">VLOOKUP(B39,[16]Sheet1!A$6:B$360,2,0)</f>
        <v>200</v>
      </c>
      <c r="S39" s="247" t="n">
        <f aca="false">VLOOKUP(B39,[17]Sheet1!A$6:B$360,2,0)</f>
        <v>200</v>
      </c>
      <c r="T39" s="247" t="n">
        <f aca="false">VLOOKUP(B39,[18]Sheet1!A$6:B$360,2,0)</f>
        <v>204</v>
      </c>
      <c r="U39" s="247" t="n">
        <f aca="false">VLOOKUP(B39,[19]Sheet1!A$6:B$360,2,0)</f>
        <v>190</v>
      </c>
      <c r="V39" s="247" t="n">
        <f aca="false">VLOOKUP(B39,[20]Sheet1!A$6:B$360,2,0)</f>
        <v>185</v>
      </c>
      <c r="W39" s="247" t="n">
        <f aca="false">VLOOKUP(B39,[21]Sheet1!A$6:B$360,2,0)</f>
        <v>185</v>
      </c>
      <c r="X39" s="247" t="n">
        <f aca="false">VLOOKUP(B39,[22]Sheet1!A$6:B$360,2,0)</f>
        <v>185</v>
      </c>
      <c r="Y39" s="263" t="n">
        <f aca="false">VLOOKUP(B39,[23]Sheet1!A$6:B$360,2,0)</f>
        <v>209</v>
      </c>
      <c r="Z39" s="259" t="n">
        <f aca="false">VLOOKUP(B39,[24]Sheet1!A$6:B$360,2,0)</f>
        <v>163</v>
      </c>
      <c r="AA39" s="247" t="n">
        <f aca="false">VLOOKUP(B39,[25]Sheet1!A$6:B$360,2,0)</f>
        <v>191</v>
      </c>
      <c r="AB39" s="247" t="n">
        <f aca="false">VLOOKUP(B39,[26]Sheet1!A$6:B$360,2,0)</f>
        <v>250</v>
      </c>
      <c r="AC39" s="247" t="n">
        <f aca="false">VLOOKUP(B39,[27]Sheet1!A$6:B$360,2,0)</f>
        <v>250</v>
      </c>
      <c r="AD39" s="263" t="n">
        <f aca="false">VLOOKUP(B39,[28]Sheet1!A$6:B$360,2,0)</f>
        <v>250</v>
      </c>
      <c r="AE39" s="259" t="n">
        <f aca="false">VLOOKUP(B39,[29]Sheet1!A$6:B$360,2,0)</f>
        <v>191</v>
      </c>
      <c r="AF39" s="247" t="n">
        <f aca="false">VLOOKUP(B39,[30]Sheet1!A$6:B$360,2,0)</f>
        <v>191</v>
      </c>
      <c r="AG39" s="247" t="n">
        <f aca="false">VLOOKUP(B39,[31]Sheet1!A$6:B$360,2,0)</f>
        <v>191</v>
      </c>
      <c r="AH39" s="247" t="n">
        <f aca="false">VLOOKUP(B39,[32]Sheet1!A$6:B$360,2,0)</f>
        <v>200</v>
      </c>
      <c r="AI39" s="247" t="n">
        <f aca="false">VLOOKUP(B39,[33]Sheet1!A$6:B$360,2,0)</f>
        <v>200</v>
      </c>
      <c r="AJ39" s="263" t="n">
        <f aca="false">VLOOKUP(B39,[34]Sheet1!A$6:B$360,2,0)</f>
        <v>200</v>
      </c>
      <c r="AK39" s="259" t="n">
        <f aca="false">VLOOKUP(B39,[35]Sheet1!A$6:B$360,2,0)</f>
        <v>235</v>
      </c>
      <c r="AL39" s="247" t="n">
        <f aca="false">VLOOKUP(B39,[36]Sheet1!A$6:B$360,2,0)</f>
        <v>200</v>
      </c>
      <c r="AM39" s="247" t="n">
        <f aca="false">VLOOKUP(B39,[37]Sheet1!A$6:B$360,2,0)</f>
        <v>200</v>
      </c>
      <c r="AN39" s="247" t="n">
        <f aca="false">VLOOKUP(B39,[38]Sheet1!A$6:B$360,2,0)</f>
        <v>205</v>
      </c>
      <c r="AO39" s="263" t="n">
        <f aca="false">VLOOKUP(B39,[39]Sheet1!A$6:B$360,2,0)</f>
        <v>211</v>
      </c>
      <c r="AP39" s="259" t="n">
        <f aca="false">VLOOKUP(B39,[40]Sheet1!A$6:B$360,2,0)</f>
        <v>161</v>
      </c>
      <c r="AQ39" s="247" t="n">
        <f aca="false">VLOOKUP(B39,[41]Sheet1!A$6:B$360,2,0)</f>
        <v>238</v>
      </c>
      <c r="AR39" s="247" t="n">
        <f aca="false">VLOOKUP(B39,[42]Sheet1!A$6:B$360,2,0)</f>
        <v>230</v>
      </c>
    </row>
    <row r="40" customFormat="false" ht="12.8" hidden="false" customHeight="false" outlineLevel="0" collapsed="false">
      <c r="A40" s="264" t="s">
        <v>27</v>
      </c>
      <c r="B40" s="265" t="s">
        <v>388</v>
      </c>
      <c r="C40" s="247" t="n">
        <f aca="false">VLOOKUP(B40,[1]Sheet1!A$1:B$1048576,2,0)</f>
        <v>87180.92</v>
      </c>
      <c r="D40" s="247" t="n">
        <f aca="false">VLOOKUP(B40,[2]Sheet1!A$6:B$360,2,0)</f>
        <v>84875.19</v>
      </c>
      <c r="E40" s="247" t="n">
        <f aca="false">VLOOKUP(B40,[3]Sheet1!A$6:B$360,2,0)</f>
        <v>85000</v>
      </c>
      <c r="F40" s="247" t="n">
        <f aca="false">VLOOKUP(B40,[4]Sheet1!A$6:B$360,2,0)</f>
        <v>81499.61</v>
      </c>
      <c r="G40" s="247" t="n">
        <f aca="false">VLOOKUP(B40,[5]Sheet1!A$6:B$360,2,0)</f>
        <v>78949.9</v>
      </c>
      <c r="H40" s="247" t="n">
        <f aca="false">VLOOKUP(B40,[6]Sheet1!A$6:B$360,2,0)</f>
        <v>70977.57</v>
      </c>
      <c r="I40" s="247" t="n">
        <f aca="false">VLOOKUP(B40,[7]Sheet1!A$6:B$360,2,0)</f>
        <v>67999.98</v>
      </c>
      <c r="J40" s="247" t="n">
        <f aca="false">VLOOKUP(B40,[8]Sheet1!A$6:B$360,2,0)</f>
        <v>65500.02</v>
      </c>
      <c r="K40" s="259" t="n">
        <f aca="false">VLOOKUP(B40,[9]Sheet1!A$6:B$360,2,0)</f>
        <v>64375.5</v>
      </c>
      <c r="L40" s="260" t="n">
        <f aca="false">VLOOKUP(B40,[10]Sheet1!A$1:B$1048576,2,0)</f>
        <v>69499</v>
      </c>
      <c r="M40" s="247" t="n">
        <f aca="false">VLOOKUP(B40,[11]Sheet1!A$6:B$360,2,0)</f>
        <v>65250</v>
      </c>
      <c r="N40" s="247" t="n">
        <f aca="false">VLOOKUP(B40,[12]Sheet1!A$6:B$360,2,0)</f>
        <v>65300</v>
      </c>
      <c r="O40" s="247" t="n">
        <f aca="false">VLOOKUP(B40,[13]Sheet1!A$6:B$360,2,0)</f>
        <v>65300.25</v>
      </c>
      <c r="P40" s="247" t="n">
        <f aca="false">VLOOKUP(B40,[14]Sheet1!A$6:B$360,2,0)</f>
        <v>65932.1</v>
      </c>
      <c r="Q40" s="261" t="n">
        <f aca="false">VLOOKUP(B40,[15]Sheet1!A$6:B$360,2,0)</f>
        <v>66572.29</v>
      </c>
      <c r="R40" s="259" t="n">
        <f aca="false">VLOOKUP(B40,[16]Sheet1!A$6:B$360,2,0)</f>
        <v>67394.06</v>
      </c>
      <c r="S40" s="247" t="n">
        <f aca="false">VLOOKUP(B40,[17]Sheet1!A$6:B$360,2,0)</f>
        <v>66000.05</v>
      </c>
      <c r="T40" s="247" t="n">
        <f aca="false">VLOOKUP(B40,[18]Sheet1!A$6:B$360,2,0)</f>
        <v>69832.42</v>
      </c>
      <c r="U40" s="247" t="n">
        <f aca="false">VLOOKUP(B40,[19]Sheet1!A$6:B$360,2,0)</f>
        <v>71000</v>
      </c>
      <c r="V40" s="247" t="n">
        <f aca="false">VLOOKUP(B40,[20]Sheet1!A$6:B$360,2,0)</f>
        <v>73503.33</v>
      </c>
      <c r="W40" s="247" t="n">
        <f aca="false">VLOOKUP(B40,[21]Sheet1!A$6:B$360,2,0)</f>
        <v>68993.29</v>
      </c>
      <c r="X40" s="247" t="n">
        <f aca="false">VLOOKUP(B40,[22]Sheet1!A$6:B$360,2,0)</f>
        <v>68400</v>
      </c>
      <c r="Y40" s="263" t="n">
        <f aca="false">VLOOKUP(B40,[23]Sheet1!A$6:B$360,2,0)</f>
        <v>76000</v>
      </c>
      <c r="Z40" s="259" t="n">
        <f aca="false">VLOOKUP(B40,[24]Sheet1!A$6:B$360,2,0)</f>
        <v>78280</v>
      </c>
      <c r="AA40" s="247" t="n">
        <f aca="false">VLOOKUP(B40,[25]Sheet1!A$6:B$360,2,0)</f>
        <v>75535.17</v>
      </c>
      <c r="AB40" s="247" t="n">
        <f aca="false">VLOOKUP(B40,[26]Sheet1!A$6:B$360,2,0)</f>
        <v>77235.17</v>
      </c>
      <c r="AC40" s="247" t="n">
        <f aca="false">VLOOKUP(B40,[27]Sheet1!A$6:B$360,2,0)</f>
        <v>76196.92</v>
      </c>
      <c r="AD40" s="263" t="n">
        <f aca="false">VLOOKUP(B40,[28]Sheet1!A$6:B$360,2,0)</f>
        <v>72000.04</v>
      </c>
      <c r="AE40" s="259" t="n">
        <f aca="false">VLOOKUP(B40,[29]Sheet1!A$6:B$360,2,0)</f>
        <v>73626.32</v>
      </c>
      <c r="AF40" s="247" t="n">
        <f aca="false">VLOOKUP(B40,[30]Sheet1!A$6:B$360,2,0)</f>
        <v>69959.81</v>
      </c>
      <c r="AG40" s="247" t="n">
        <f aca="false">VLOOKUP(B40,[31]Sheet1!A$6:B$360,2,0)</f>
        <v>67236.43</v>
      </c>
      <c r="AH40" s="247" t="n">
        <f aca="false">VLOOKUP(B40,[32]Sheet1!A$6:B$360,2,0)</f>
        <v>65000</v>
      </c>
      <c r="AI40" s="247" t="n">
        <f aca="false">VLOOKUP(B40,[33]Sheet1!A$6:B$360,2,0)</f>
        <v>50496.41</v>
      </c>
      <c r="AJ40" s="263" t="n">
        <f aca="false">VLOOKUP(B40,[34]Sheet1!A$6:B$360,2,0)</f>
        <v>77086.36</v>
      </c>
      <c r="AK40" s="259" t="n">
        <f aca="false">VLOOKUP(B40,[35]Sheet1!A$6:B$360,2,0)</f>
        <v>77850.19</v>
      </c>
      <c r="AL40" s="247" t="n">
        <f aca="false">VLOOKUP(B40,[36]Sheet1!A$6:B$360,2,0)</f>
        <v>72999.96</v>
      </c>
      <c r="AM40" s="247" t="n">
        <f aca="false">VLOOKUP(B40,[37]Sheet1!A$6:B$360,2,0)</f>
        <v>66308.08</v>
      </c>
      <c r="AN40" s="247" t="n">
        <f aca="false">VLOOKUP(B40,[38]Sheet1!A$6:B$360,2,0)</f>
        <v>61980.98</v>
      </c>
      <c r="AO40" s="263" t="n">
        <f aca="false">VLOOKUP(B40,[39]Sheet1!A$6:B$360,2,0)</f>
        <v>51500</v>
      </c>
      <c r="AP40" s="259" t="n">
        <f aca="false">VLOOKUP(B40,[40]Sheet1!A$6:B$360,2,0)</f>
        <v>47495.3</v>
      </c>
      <c r="AQ40" s="247" t="n">
        <f aca="false">VLOOKUP(B40,[41]Sheet1!A$6:B$360,2,0)</f>
        <v>48343.11</v>
      </c>
      <c r="AR40" s="247" t="n">
        <f aca="false">VLOOKUP(B40,[42]Sheet1!A$6:B$360,2,0)</f>
        <v>46553</v>
      </c>
    </row>
    <row r="41" customFormat="false" ht="12.8" hidden="false" customHeight="false" outlineLevel="0" collapsed="false">
      <c r="A41" s="23" t="s">
        <v>303</v>
      </c>
      <c r="B41" s="258" t="s">
        <v>389</v>
      </c>
      <c r="C41" s="247" t="n">
        <f aca="false">VLOOKUP(B41,[1]Sheet1!A$1:B$1048576,2,0)</f>
        <v>600</v>
      </c>
      <c r="D41" s="247" t="n">
        <f aca="false">VLOOKUP(B41,[2]Sheet1!A$6:B$360,2,0)</f>
        <v>600</v>
      </c>
      <c r="E41" s="247" t="n">
        <f aca="false">VLOOKUP(B41,[3]Sheet1!A$6:B$360,2,0)</f>
        <v>600</v>
      </c>
      <c r="F41" s="247" t="n">
        <f aca="false">VLOOKUP(B41,[4]Sheet1!A$6:B$360,2,0)</f>
        <v>600</v>
      </c>
      <c r="G41" s="247" t="n">
        <f aca="false">VLOOKUP(B41,[5]Sheet1!A$6:B$360,2,0)</f>
        <v>600</v>
      </c>
      <c r="H41" s="247" t="n">
        <f aca="false">VLOOKUP(B41,[6]Sheet1!A$6:B$360,2,0)</f>
        <v>600</v>
      </c>
      <c r="I41" s="247" t="n">
        <f aca="false">VLOOKUP(B41,[7]Sheet1!A$6:B$360,2,0)</f>
        <v>600</v>
      </c>
      <c r="J41" s="247" t="n">
        <f aca="false">VLOOKUP(B41,[8]Sheet1!A$6:B$360,2,0)</f>
        <v>600</v>
      </c>
      <c r="K41" s="259" t="n">
        <f aca="false">VLOOKUP(B41,[9]Sheet1!A$6:B$360,2,0)</f>
        <v>600</v>
      </c>
      <c r="L41" s="260" t="n">
        <f aca="false">VLOOKUP(B41,[10]Sheet1!A$1:B$1048576,2,0)</f>
        <v>600</v>
      </c>
      <c r="M41" s="247" t="n">
        <f aca="false">VLOOKUP(B41,[11]Sheet1!A$6:B$360,2,0)</f>
        <v>600</v>
      </c>
      <c r="N41" s="247" t="n">
        <f aca="false">VLOOKUP(B41,[12]Sheet1!A$6:B$360,2,0)</f>
        <v>600</v>
      </c>
      <c r="O41" s="247" t="n">
        <f aca="false">VLOOKUP(B41,[13]Sheet1!A$6:B$360,2,0)</f>
        <v>600</v>
      </c>
      <c r="P41" s="247" t="n">
        <f aca="false">VLOOKUP(B41,[14]Sheet1!A$6:B$360,2,0)</f>
        <v>600</v>
      </c>
      <c r="Q41" s="261" t="n">
        <f aca="false">VLOOKUP(B41,[15]Sheet1!A$6:B$360,2,0)</f>
        <v>600</v>
      </c>
      <c r="R41" s="259" t="n">
        <f aca="false">VLOOKUP(B41,[16]Sheet1!A$6:B$360,2,0)</f>
        <v>600</v>
      </c>
      <c r="S41" s="247" t="n">
        <f aca="false">VLOOKUP(B41,[17]Sheet1!A$6:B$360,2,0)</f>
        <v>553</v>
      </c>
      <c r="T41" s="247" t="n">
        <f aca="false">VLOOKUP(B41,[18]Sheet1!A$6:B$360,2,0)</f>
        <v>553</v>
      </c>
      <c r="U41" s="247" t="n">
        <f aca="false">VLOOKUP(B41,[19]Sheet1!A$6:B$360,2,0)</f>
        <v>553</v>
      </c>
      <c r="V41" s="247" t="n">
        <f aca="false">VLOOKUP(B41,[20]Sheet1!A$6:B$360,2,0)</f>
        <v>553</v>
      </c>
      <c r="W41" s="247" t="n">
        <f aca="false">VLOOKUP(B41,[21]Sheet1!A$6:B$360,2,0)</f>
        <v>553</v>
      </c>
      <c r="X41" s="247" t="n">
        <f aca="false">VLOOKUP(B41,[22]Sheet1!A$6:B$360,2,0)</f>
        <v>553</v>
      </c>
      <c r="Y41" s="263" t="n">
        <f aca="false">VLOOKUP(B41,[23]Sheet1!A$6:B$360,2,0)</f>
        <v>553</v>
      </c>
      <c r="Z41" s="259" t="n">
        <f aca="false">VLOOKUP(B41,[24]Sheet1!A$6:B$360,2,0)</f>
        <v>553</v>
      </c>
      <c r="AA41" s="247" t="n">
        <f aca="false">VLOOKUP(B41,[25]Sheet1!A$6:B$360,2,0)</f>
        <v>553</v>
      </c>
      <c r="AB41" s="247" t="n">
        <f aca="false">VLOOKUP(B41,[26]Sheet1!A$6:B$360,2,0)</f>
        <v>570</v>
      </c>
      <c r="AC41" s="247" t="n">
        <f aca="false">VLOOKUP(B41,[27]Sheet1!A$6:B$360,2,0)</f>
        <v>570</v>
      </c>
      <c r="AD41" s="263" t="n">
        <f aca="false">VLOOKUP(B41,[28]Sheet1!A$6:B$360,2,0)</f>
        <v>570</v>
      </c>
      <c r="AE41" s="259" t="n">
        <f aca="false">VLOOKUP(B41,[29]Sheet1!A$6:B$360,2,0)</f>
        <v>570</v>
      </c>
      <c r="AF41" s="247" t="n">
        <f aca="false">VLOOKUP(B41,[30]Sheet1!A$6:B$360,2,0)</f>
        <v>570</v>
      </c>
      <c r="AG41" s="247" t="n">
        <f aca="false">VLOOKUP(B41,[31]Sheet1!A$6:B$360,2,0)</f>
        <v>570</v>
      </c>
      <c r="AH41" s="247" t="n">
        <f aca="false">VLOOKUP(B41,[32]Sheet1!A$6:B$360,2,0)</f>
        <v>570</v>
      </c>
      <c r="AI41" s="247" t="n">
        <f aca="false">VLOOKUP(B41,[33]Sheet1!A$6:B$360,2,0)</f>
        <v>570</v>
      </c>
      <c r="AJ41" s="263" t="n">
        <f aca="false">VLOOKUP(B41,[34]Sheet1!A$6:B$360,2,0)</f>
        <v>570</v>
      </c>
      <c r="AK41" s="259" t="n">
        <f aca="false">VLOOKUP(B41,[35]Sheet1!A$6:B$360,2,0)</f>
        <v>570</v>
      </c>
      <c r="AL41" s="247" t="n">
        <f aca="false">VLOOKUP(B41,[36]Sheet1!A$6:B$360,2,0)</f>
        <v>570</v>
      </c>
      <c r="AM41" s="247" t="n">
        <f aca="false">VLOOKUP(B41,[37]Sheet1!A$6:B$360,2,0)</f>
        <v>570</v>
      </c>
      <c r="AN41" s="247" t="n">
        <f aca="false">VLOOKUP(B41,[38]Sheet1!A$6:B$360,2,0)</f>
        <v>570</v>
      </c>
      <c r="AO41" s="263" t="n">
        <f aca="false">VLOOKUP(B41,[39]Sheet1!A$6:B$360,2,0)</f>
        <v>570</v>
      </c>
      <c r="AP41" s="259" t="n">
        <f aca="false">VLOOKUP(B41,[40]Sheet1!A$6:B$360,2,0)</f>
        <v>570</v>
      </c>
      <c r="AQ41" s="247" t="n">
        <f aca="false">VLOOKUP(B41,[41]Sheet1!A$6:B$360,2,0)</f>
        <v>570</v>
      </c>
      <c r="AR41" s="247" t="n">
        <f aca="false">VLOOKUP(B41,[42]Sheet1!A$6:B$360,2,0)</f>
        <v>570</v>
      </c>
    </row>
    <row r="42" customFormat="false" ht="12.8" hidden="false" customHeight="false" outlineLevel="0" collapsed="false">
      <c r="A42" s="267" t="s">
        <v>187</v>
      </c>
      <c r="B42" s="268" t="s">
        <v>390</v>
      </c>
      <c r="C42" s="247" t="n">
        <f aca="false">VLOOKUP(B42,[1]Sheet1!A$1:B$1048576,2,0)</f>
        <v>137.98</v>
      </c>
      <c r="D42" s="247" t="n">
        <f aca="false">VLOOKUP(B42,[2]Sheet1!A$6:B$360,2,0)</f>
        <v>140</v>
      </c>
      <c r="E42" s="247" t="n">
        <f aca="false">VLOOKUP(B42,[3]Sheet1!A$6:B$360,2,0)</f>
        <v>140</v>
      </c>
      <c r="F42" s="247" t="n">
        <f aca="false">VLOOKUP(B42,[4]Sheet1!A$6:B$360,2,0)</f>
        <v>136.63</v>
      </c>
      <c r="G42" s="247" t="n">
        <f aca="false">VLOOKUP(B42,[5]Sheet1!A$6:B$360,2,0)</f>
        <v>139</v>
      </c>
      <c r="H42" s="247" t="n">
        <f aca="false">VLOOKUP(B42,[6]Sheet1!A$6:B$360,2,0)</f>
        <v>132</v>
      </c>
      <c r="I42" s="247" t="n">
        <f aca="false">VLOOKUP(B42,[7]Sheet1!A$6:B$360,2,0)</f>
        <v>133</v>
      </c>
      <c r="J42" s="247" t="n">
        <f aca="false">VLOOKUP(B42,[8]Sheet1!A$6:B$360,2,0)</f>
        <v>145</v>
      </c>
      <c r="K42" s="259" t="n">
        <f aca="false">VLOOKUP(B42,[9]Sheet1!A$6:B$360,2,0)</f>
        <v>127</v>
      </c>
      <c r="L42" s="260" t="n">
        <f aca="false">VLOOKUP(B42,[10]Sheet1!A$1:B$1048576,2,0)</f>
        <v>129.79</v>
      </c>
      <c r="M42" s="247" t="n">
        <f aca="false">VLOOKUP(B42,[11]Sheet1!A$6:B$360,2,0)</f>
        <v>126</v>
      </c>
      <c r="N42" s="247" t="n">
        <f aca="false">VLOOKUP(B42,[12]Sheet1!A$6:B$360,2,0)</f>
        <v>126</v>
      </c>
      <c r="O42" s="247" t="n">
        <f aca="false">VLOOKUP(B42,[13]Sheet1!A$6:B$360,2,0)</f>
        <v>125</v>
      </c>
      <c r="P42" s="247" t="n">
        <f aca="false">VLOOKUP(B42,[14]Sheet1!A$6:B$360,2,0)</f>
        <v>130</v>
      </c>
      <c r="Q42" s="261" t="n">
        <f aca="false">VLOOKUP(B42,[15]Sheet1!A$6:B$360,2,0)</f>
        <v>134</v>
      </c>
      <c r="R42" s="259" t="n">
        <f aca="false">VLOOKUP(B42,[16]Sheet1!A$6:B$360,2,0)</f>
        <v>132</v>
      </c>
      <c r="S42" s="247" t="n">
        <f aca="false">VLOOKUP(B42,[17]Sheet1!A$6:B$360,2,0)</f>
        <v>118</v>
      </c>
      <c r="T42" s="247" t="n">
        <f aca="false">VLOOKUP(B42,[18]Sheet1!A$6:B$360,2,0)</f>
        <v>121.47</v>
      </c>
      <c r="U42" s="247" t="n">
        <f aca="false">VLOOKUP(B42,[19]Sheet1!A$6:B$360,2,0)</f>
        <v>120.88</v>
      </c>
      <c r="V42" s="247" t="n">
        <f aca="false">VLOOKUP(B42,[20]Sheet1!A$6:B$360,2,0)</f>
        <v>110</v>
      </c>
      <c r="W42" s="247" t="n">
        <f aca="false">VLOOKUP(B42,[21]Sheet1!A$6:B$360,2,0)</f>
        <v>96</v>
      </c>
      <c r="X42" s="247" t="n">
        <f aca="false">VLOOKUP(B42,[22]Sheet1!A$6:B$360,2,0)</f>
        <v>87.9</v>
      </c>
      <c r="Y42" s="263" t="n">
        <f aca="false">VLOOKUP(B42,[23]Sheet1!A$6:B$360,2,0)</f>
        <v>91</v>
      </c>
      <c r="Z42" s="259" t="n">
        <f aca="false">VLOOKUP(B42,[24]Sheet1!A$6:B$360,2,0)</f>
        <v>99</v>
      </c>
      <c r="AA42" s="247" t="n">
        <f aca="false">VLOOKUP(B42,[25]Sheet1!A$6:B$360,2,0)</f>
        <v>90.31</v>
      </c>
      <c r="AB42" s="247" t="n">
        <f aca="false">VLOOKUP(B42,[26]Sheet1!A$6:B$360,2,0)</f>
        <v>98</v>
      </c>
      <c r="AC42" s="247" t="n">
        <f aca="false">VLOOKUP(B42,[27]Sheet1!A$6:B$360,2,0)</f>
        <v>93</v>
      </c>
      <c r="AD42" s="263" t="n">
        <f aca="false">VLOOKUP(B42,[28]Sheet1!A$6:B$360,2,0)</f>
        <v>62</v>
      </c>
      <c r="AE42" s="259" t="n">
        <f aca="false">VLOOKUP(B42,[29]Sheet1!A$6:B$360,2,0)</f>
        <v>64.42</v>
      </c>
      <c r="AF42" s="247" t="n">
        <f aca="false">VLOOKUP(B42,[30]Sheet1!A$6:B$360,2,0)</f>
        <v>72</v>
      </c>
      <c r="AG42" s="247" t="n">
        <f aca="false">VLOOKUP(B42,[31]Sheet1!A$6:B$360,2,0)</f>
        <v>75.95</v>
      </c>
      <c r="AH42" s="247" t="n">
        <f aca="false">VLOOKUP(B42,[32]Sheet1!A$6:B$360,2,0)</f>
        <v>77</v>
      </c>
      <c r="AI42" s="247" t="n">
        <f aca="false">VLOOKUP(B42,[33]Sheet1!A$6:B$360,2,0)</f>
        <v>74</v>
      </c>
      <c r="AJ42" s="263" t="n">
        <f aca="false">VLOOKUP(B42,[34]Sheet1!A$6:B$360,2,0)</f>
        <v>92</v>
      </c>
      <c r="AK42" s="259" t="n">
        <f aca="false">VLOOKUP(B42,[35]Sheet1!A$6:B$360,2,0)</f>
        <v>92.89</v>
      </c>
      <c r="AL42" s="247" t="n">
        <f aca="false">VLOOKUP(B42,[36]Sheet1!A$6:B$360,2,0)</f>
        <v>108</v>
      </c>
      <c r="AM42" s="247" t="n">
        <f aca="false">VLOOKUP(B42,[37]Sheet1!A$6:B$360,2,0)</f>
        <v>99.99</v>
      </c>
      <c r="AN42" s="247" t="n">
        <f aca="false">VLOOKUP(B42,[38]Sheet1!A$6:B$360,2,0)</f>
        <v>105</v>
      </c>
      <c r="AO42" s="263" t="n">
        <f aca="false">VLOOKUP(B42,[39]Sheet1!A$6:B$360,2,0)</f>
        <v>110</v>
      </c>
      <c r="AP42" s="259" t="n">
        <f aca="false">VLOOKUP(B42,[40]Sheet1!A$6:B$360,2,0)</f>
        <v>114</v>
      </c>
      <c r="AQ42" s="247" t="n">
        <f aca="false">VLOOKUP(B42,[41]Sheet1!A$6:B$360,2,0)</f>
        <v>143.76</v>
      </c>
      <c r="AR42" s="247" t="n">
        <f aca="false">VLOOKUP(B42,[42]Sheet1!A$6:B$360,2,0)</f>
        <v>135</v>
      </c>
    </row>
    <row r="43" customFormat="false" ht="12.8" hidden="false" customHeight="false" outlineLevel="0" collapsed="false">
      <c r="A43" s="23" t="s">
        <v>304</v>
      </c>
      <c r="B43" s="258" t="s">
        <v>391</v>
      </c>
      <c r="C43" s="247" t="n">
        <f aca="false">VLOOKUP(B43,[1]Sheet1!A$1:B$1048576,2,0)</f>
        <v>3200</v>
      </c>
      <c r="D43" s="247" t="n">
        <f aca="false">VLOOKUP(B43,[2]Sheet1!A$6:B$360,2,0)</f>
        <v>3200</v>
      </c>
      <c r="E43" s="247" t="n">
        <f aca="false">VLOOKUP(B43,[3]Sheet1!A$6:B$360,2,0)</f>
        <v>3200</v>
      </c>
      <c r="F43" s="247" t="n">
        <f aca="false">VLOOKUP(B43,[4]Sheet1!A$6:B$360,2,0)</f>
        <v>3200</v>
      </c>
      <c r="G43" s="247" t="n">
        <f aca="false">VLOOKUP(B43,[5]Sheet1!A$6:B$360,2,0)</f>
        <v>3200</v>
      </c>
      <c r="H43" s="247" t="n">
        <f aca="false">VLOOKUP(B43,[6]Sheet1!A$6:B$360,2,0)</f>
        <v>2575</v>
      </c>
      <c r="I43" s="247" t="n">
        <f aca="false">VLOOKUP(B43,[7]Sheet1!A$6:B$360,2,0)</f>
        <v>2575</v>
      </c>
      <c r="J43" s="247" t="n">
        <f aca="false">VLOOKUP(B43,[8]Sheet1!A$6:B$360,2,0)</f>
        <v>2575</v>
      </c>
      <c r="K43" s="259" t="n">
        <f aca="false">VLOOKUP(B43,[9]Sheet1!A$6:B$360,2,0)</f>
        <v>2575</v>
      </c>
      <c r="L43" s="260" t="n">
        <f aca="false">VLOOKUP(B43,[10]Sheet1!A$1:B$1048576,2,0)</f>
        <v>2500</v>
      </c>
      <c r="M43" s="247" t="n">
        <f aca="false">VLOOKUP(B43,[11]Sheet1!A$6:B$360,2,0)</f>
        <v>2500</v>
      </c>
      <c r="N43" s="247" t="n">
        <f aca="false">VLOOKUP(B43,[12]Sheet1!A$6:B$360,2,0)</f>
        <v>2500</v>
      </c>
      <c r="O43" s="247" t="n">
        <f aca="false">VLOOKUP(B43,[13]Sheet1!A$6:B$360,2,0)</f>
        <v>2500</v>
      </c>
      <c r="P43" s="247" t="n">
        <f aca="false">VLOOKUP(B43,[14]Sheet1!A$6:B$360,2,0)</f>
        <v>2500</v>
      </c>
      <c r="Q43" s="261" t="n">
        <f aca="false">VLOOKUP(B43,[15]Sheet1!A$6:B$360,2,0)</f>
        <v>2500</v>
      </c>
      <c r="R43" s="259" t="n">
        <f aca="false">VLOOKUP(B43,[16]Sheet1!A$6:B$360,2,0)</f>
        <v>2500</v>
      </c>
      <c r="S43" s="247" t="n">
        <f aca="false">VLOOKUP(B43,[17]Sheet1!A$6:B$360,2,0)</f>
        <v>2500</v>
      </c>
      <c r="T43" s="247" t="n">
        <f aca="false">VLOOKUP(B43,[18]Sheet1!A$6:B$360,2,0)</f>
        <v>2500</v>
      </c>
      <c r="U43" s="247" t="n">
        <f aca="false">VLOOKUP(B43,[19]Sheet1!A$6:B$360,2,0)</f>
        <v>2500</v>
      </c>
      <c r="V43" s="247" t="n">
        <f aca="false">VLOOKUP(B43,[20]Sheet1!A$6:B$360,2,0)</f>
        <v>2500</v>
      </c>
      <c r="W43" s="247" t="n">
        <f aca="false">VLOOKUP(B43,[21]Sheet1!A$6:B$360,2,0)</f>
        <v>2500</v>
      </c>
      <c r="X43" s="247" t="n">
        <f aca="false">VLOOKUP(B43,[22]Sheet1!A$6:B$360,2,0)</f>
        <v>2500</v>
      </c>
      <c r="Y43" s="263" t="n">
        <f aca="false">VLOOKUP(B43,[23]Sheet1!A$6:B$360,2,0)</f>
        <v>2500</v>
      </c>
      <c r="Z43" s="259" t="n">
        <f aca="false">VLOOKUP(B43,[24]Sheet1!A$6:B$360,2,0)</f>
        <v>2500</v>
      </c>
      <c r="AA43" s="247" t="n">
        <f aca="false">VLOOKUP(B43,[25]Sheet1!A$6:B$360,2,0)</f>
        <v>2521</v>
      </c>
      <c r="AB43" s="247" t="n">
        <f aca="false">VLOOKUP(B43,[26]Sheet1!A$6:B$360,2,0)</f>
        <v>2425</v>
      </c>
      <c r="AC43" s="247" t="n">
        <f aca="false">VLOOKUP(B43,[27]Sheet1!A$6:B$360,2,0)</f>
        <v>2500</v>
      </c>
      <c r="AD43" s="263" t="n">
        <f aca="false">VLOOKUP(B43,[28]Sheet1!A$6:B$360,2,0)</f>
        <v>2500</v>
      </c>
      <c r="AE43" s="259" t="n">
        <f aca="false">VLOOKUP(B43,[29]Sheet1!A$6:B$360,2,0)</f>
        <v>2500</v>
      </c>
      <c r="AF43" s="247" t="n">
        <f aca="false">VLOOKUP(B43,[30]Sheet1!A$6:B$360,2,0)</f>
        <v>2500</v>
      </c>
      <c r="AG43" s="247" t="n">
        <f aca="false">VLOOKUP(B43,[31]Sheet1!A$6:B$360,2,0)</f>
        <v>2500</v>
      </c>
      <c r="AH43" s="247" t="n">
        <f aca="false">VLOOKUP(B43,[32]Sheet1!A$6:B$360,2,0)</f>
        <v>2500</v>
      </c>
      <c r="AI43" s="247" t="n">
        <f aca="false">VLOOKUP(B43,[33]Sheet1!A$6:B$360,2,0)</f>
        <v>2200</v>
      </c>
      <c r="AJ43" s="263" t="n">
        <f aca="false">VLOOKUP(B43,[34]Sheet1!A$6:B$360,2,0)</f>
        <v>2444</v>
      </c>
      <c r="AK43" s="259" t="n">
        <f aca="false">VLOOKUP(B43,[35]Sheet1!A$6:B$360,2,0)</f>
        <v>2599</v>
      </c>
      <c r="AL43" s="247" t="n">
        <f aca="false">VLOOKUP(B43,[36]Sheet1!A$6:B$360,2,0)</f>
        <v>2599</v>
      </c>
      <c r="AM43" s="247" t="n">
        <f aca="false">VLOOKUP(B43,[37]Sheet1!A$6:B$360,2,0)</f>
        <v>2599</v>
      </c>
      <c r="AN43" s="247" t="n">
        <f aca="false">VLOOKUP(B43,[38]Sheet1!A$6:B$360,2,0)</f>
        <v>2599</v>
      </c>
      <c r="AO43" s="263" t="n">
        <f aca="false">VLOOKUP(B43,[39]Sheet1!A$6:B$360,2,0)</f>
        <v>2106</v>
      </c>
      <c r="AP43" s="259" t="n">
        <f aca="false">VLOOKUP(B43,[40]Sheet1!A$6:B$360,2,0)</f>
        <v>2058</v>
      </c>
      <c r="AQ43" s="247" t="n">
        <f aca="false">VLOOKUP(B43,[41]Sheet1!A$6:B$360,2,0)</f>
        <v>2200</v>
      </c>
      <c r="AR43" s="247" t="n">
        <f aca="false">VLOOKUP(B43,[42]Sheet1!A$6:B$360,2,0)</f>
        <v>2000</v>
      </c>
    </row>
    <row r="44" customFormat="false" ht="12.8" hidden="false" customHeight="false" outlineLevel="0" collapsed="false">
      <c r="A44" s="23" t="s">
        <v>305</v>
      </c>
      <c r="B44" s="258" t="s">
        <v>392</v>
      </c>
      <c r="C44" s="247" t="n">
        <f aca="false">VLOOKUP(B44,[1]Sheet1!A$1:B$1048576,2,0)</f>
        <v>607</v>
      </c>
      <c r="D44" s="247" t="n">
        <f aca="false">VLOOKUP(B44,[2]Sheet1!A$6:B$360,2,0)</f>
        <v>607</v>
      </c>
      <c r="E44" s="247" t="n">
        <f aca="false">VLOOKUP(B44,[3]Sheet1!A$6:B$360,2,0)</f>
        <v>607</v>
      </c>
      <c r="F44" s="247" t="n">
        <f aca="false">VLOOKUP(B44,[4]Sheet1!A$6:B$360,2,0)</f>
        <v>607</v>
      </c>
      <c r="G44" s="247" t="n">
        <f aca="false">VLOOKUP(B44,[5]Sheet1!A$6:B$360,2,0)</f>
        <v>607</v>
      </c>
      <c r="H44" s="247" t="n">
        <f aca="false">VLOOKUP(B44,[6]Sheet1!A$6:B$360,2,0)</f>
        <v>607</v>
      </c>
      <c r="I44" s="247" t="n">
        <f aca="false">VLOOKUP(B44,[7]Sheet1!A$6:B$360,2,0)</f>
        <v>607</v>
      </c>
      <c r="J44" s="247" t="n">
        <f aca="false">VLOOKUP(B44,[8]Sheet1!A$6:B$360,2,0)</f>
        <v>607</v>
      </c>
      <c r="K44" s="259" t="n">
        <f aca="false">VLOOKUP(B44,[9]Sheet1!A$6:B$360,2,0)</f>
        <v>607</v>
      </c>
      <c r="L44" s="260" t="n">
        <f aca="false">VLOOKUP(B44,[10]Sheet1!A$1:B$1048576,2,0)</f>
        <v>607</v>
      </c>
      <c r="M44" s="247" t="n">
        <f aca="false">VLOOKUP(B44,[11]Sheet1!A$6:B$360,2,0)</f>
        <v>607</v>
      </c>
      <c r="N44" s="247" t="n">
        <f aca="false">VLOOKUP(B44,[12]Sheet1!A$6:B$360,2,0)</f>
        <v>607</v>
      </c>
      <c r="O44" s="247" t="n">
        <f aca="false">VLOOKUP(B44,[13]Sheet1!A$6:B$360,2,0)</f>
        <v>607</v>
      </c>
      <c r="P44" s="247" t="n">
        <f aca="false">VLOOKUP(B44,[14]Sheet1!A$6:B$360,2,0)</f>
        <v>607</v>
      </c>
      <c r="Q44" s="261" t="n">
        <f aca="false">VLOOKUP(B44,[15]Sheet1!A$6:B$360,2,0)</f>
        <v>607</v>
      </c>
      <c r="R44" s="259" t="n">
        <f aca="false">VLOOKUP(B44,[16]Sheet1!A$6:B$360,2,0)</f>
        <v>607</v>
      </c>
      <c r="S44" s="247" t="n">
        <f aca="false">VLOOKUP(B44,[17]Sheet1!A$6:B$360,2,0)</f>
        <v>607</v>
      </c>
      <c r="T44" s="247" t="n">
        <f aca="false">VLOOKUP(B44,[18]Sheet1!A$6:B$360,2,0)</f>
        <v>607</v>
      </c>
      <c r="U44" s="247" t="n">
        <f aca="false">VLOOKUP(B44,[19]Sheet1!A$6:B$360,2,0)</f>
        <v>607</v>
      </c>
      <c r="V44" s="247" t="n">
        <f aca="false">VLOOKUP(B44,[20]Sheet1!A$6:B$360,2,0)</f>
        <v>607</v>
      </c>
      <c r="W44" s="247" t="n">
        <f aca="false">VLOOKUP(B44,[21]Sheet1!A$6:B$360,2,0)</f>
        <v>607</v>
      </c>
      <c r="X44" s="247" t="n">
        <f aca="false">VLOOKUP(B44,[22]Sheet1!A$6:B$360,2,0)</f>
        <v>607</v>
      </c>
      <c r="Y44" s="263" t="n">
        <f aca="false">VLOOKUP(B44,[23]Sheet1!A$6:B$360,2,0)</f>
        <v>607</v>
      </c>
      <c r="Z44" s="259" t="n">
        <f aca="false">VLOOKUP(B44,[24]Sheet1!A$6:B$360,2,0)</f>
        <v>607</v>
      </c>
      <c r="AA44" s="247" t="n">
        <f aca="false">VLOOKUP(B44,[25]Sheet1!A$6:B$360,2,0)</f>
        <v>607</v>
      </c>
      <c r="AB44" s="247" t="n">
        <f aca="false">VLOOKUP(B44,[26]Sheet1!A$6:B$360,2,0)</f>
        <v>607</v>
      </c>
      <c r="AC44" s="247" t="n">
        <f aca="false">VLOOKUP(B44,[27]Sheet1!A$6:B$360,2,0)</f>
        <v>607</v>
      </c>
      <c r="AD44" s="263" t="n">
        <f aca="false">VLOOKUP(B44,[28]Sheet1!A$6:B$360,2,0)</f>
        <v>607</v>
      </c>
      <c r="AE44" s="259" t="n">
        <f aca="false">VLOOKUP(B44,[29]Sheet1!A$6:B$360,2,0)</f>
        <v>607</v>
      </c>
      <c r="AF44" s="247" t="n">
        <f aca="false">VLOOKUP(B44,[30]Sheet1!A$6:B$360,2,0)</f>
        <v>607</v>
      </c>
      <c r="AG44" s="247" t="n">
        <f aca="false">VLOOKUP(B44,[31]Sheet1!A$6:B$360,2,0)</f>
        <v>607</v>
      </c>
      <c r="AH44" s="247" t="n">
        <f aca="false">VLOOKUP(B44,[32]Sheet1!A$6:B$360,2,0)</f>
        <v>607</v>
      </c>
      <c r="AI44" s="247" t="n">
        <f aca="false">VLOOKUP(B44,[33]Sheet1!A$6:B$360,2,0)</f>
        <v>607</v>
      </c>
      <c r="AJ44" s="263" t="n">
        <f aca="false">VLOOKUP(B44,[34]Sheet1!A$6:B$360,2,0)</f>
        <v>607</v>
      </c>
      <c r="AK44" s="259" t="n">
        <f aca="false">VLOOKUP(B44,[35]Sheet1!A$6:B$360,2,0)</f>
        <v>607</v>
      </c>
      <c r="AL44" s="247" t="n">
        <f aca="false">VLOOKUP(B44,[36]Sheet1!A$6:B$360,2,0)</f>
        <v>607</v>
      </c>
      <c r="AM44" s="247" t="n">
        <f aca="false">VLOOKUP(B44,[37]Sheet1!A$6:B$360,2,0)</f>
        <v>607</v>
      </c>
      <c r="AN44" s="247" t="n">
        <f aca="false">VLOOKUP(B44,[38]Sheet1!A$6:B$360,2,0)</f>
        <v>607</v>
      </c>
      <c r="AO44" s="263" t="n">
        <f aca="false">VLOOKUP(B44,[39]Sheet1!A$6:B$360,2,0)</f>
        <v>607</v>
      </c>
      <c r="AP44" s="259" t="n">
        <f aca="false">VLOOKUP(B44,[40]Sheet1!A$6:B$360,2,0)</f>
        <v>607</v>
      </c>
      <c r="AQ44" s="247" t="n">
        <f aca="false">VLOOKUP(B44,[41]Sheet1!A$6:B$360,2,0)</f>
        <v>607</v>
      </c>
      <c r="AR44" s="247" t="n">
        <f aca="false">VLOOKUP(B44,[42]Sheet1!A$6:B$360,2,0)</f>
        <v>607</v>
      </c>
    </row>
    <row r="45" customFormat="false" ht="12.8" hidden="false" customHeight="false" outlineLevel="0" collapsed="false">
      <c r="A45" s="23" t="s">
        <v>306</v>
      </c>
      <c r="B45" s="258" t="s">
        <v>393</v>
      </c>
      <c r="C45" s="247" t="n">
        <f aca="false">VLOOKUP(B45,[1]Sheet1!A$1:B$1048576,2,0)</f>
        <v>99</v>
      </c>
      <c r="D45" s="247" t="n">
        <f aca="false">VLOOKUP(B45,[2]Sheet1!A$6:B$360,2,0)</f>
        <v>99</v>
      </c>
      <c r="E45" s="247" t="n">
        <f aca="false">VLOOKUP(B45,[3]Sheet1!A$6:B$360,2,0)</f>
        <v>99</v>
      </c>
      <c r="F45" s="247" t="n">
        <f aca="false">VLOOKUP(B45,[4]Sheet1!A$6:B$360,2,0)</f>
        <v>99</v>
      </c>
      <c r="G45" s="247" t="n">
        <f aca="false">VLOOKUP(B45,[5]Sheet1!A$6:B$360,2,0)</f>
        <v>99</v>
      </c>
      <c r="H45" s="247" t="n">
        <f aca="false">VLOOKUP(B45,[6]Sheet1!A$6:B$360,2,0)</f>
        <v>99</v>
      </c>
      <c r="I45" s="247" t="n">
        <f aca="false">VLOOKUP(B45,[7]Sheet1!A$6:B$360,2,0)</f>
        <v>99</v>
      </c>
      <c r="J45" s="247" t="n">
        <f aca="false">VLOOKUP(B45,[8]Sheet1!A$6:B$360,2,0)</f>
        <v>99</v>
      </c>
      <c r="K45" s="259" t="n">
        <f aca="false">VLOOKUP(B45,[9]Sheet1!A$6:B$360,2,0)</f>
        <v>99</v>
      </c>
      <c r="L45" s="260" t="n">
        <f aca="false">VLOOKUP(B45,[10]Sheet1!A$1:B$1048576,2,0)</f>
        <v>99</v>
      </c>
      <c r="M45" s="247" t="n">
        <f aca="false">VLOOKUP(B45,[11]Sheet1!A$6:B$360,2,0)</f>
        <v>99</v>
      </c>
      <c r="N45" s="247" t="n">
        <f aca="false">VLOOKUP(B45,[12]Sheet1!A$6:B$360,2,0)</f>
        <v>99</v>
      </c>
      <c r="O45" s="247" t="n">
        <f aca="false">VLOOKUP(B45,[13]Sheet1!A$6:B$360,2,0)</f>
        <v>99</v>
      </c>
      <c r="P45" s="247" t="n">
        <f aca="false">VLOOKUP(B45,[14]Sheet1!A$6:B$360,2,0)</f>
        <v>62</v>
      </c>
      <c r="Q45" s="261" t="n">
        <f aca="false">VLOOKUP(B45,[15]Sheet1!A$6:B$360,2,0)</f>
        <v>62</v>
      </c>
      <c r="R45" s="259" t="n">
        <f aca="false">VLOOKUP(B45,[16]Sheet1!A$6:B$360,2,0)</f>
        <v>100</v>
      </c>
      <c r="S45" s="247" t="n">
        <f aca="false">VLOOKUP(B45,[17]Sheet1!A$6:B$360,2,0)</f>
        <v>100</v>
      </c>
      <c r="T45" s="247" t="n">
        <f aca="false">VLOOKUP(B45,[18]Sheet1!A$6:B$360,2,0)</f>
        <v>100</v>
      </c>
      <c r="U45" s="247" t="n">
        <f aca="false">VLOOKUP(B45,[19]Sheet1!A$6:B$360,2,0)</f>
        <v>100</v>
      </c>
      <c r="V45" s="247" t="n">
        <f aca="false">VLOOKUP(B45,[20]Sheet1!A$6:B$360,2,0)</f>
        <v>100</v>
      </c>
      <c r="W45" s="247" t="n">
        <f aca="false">VLOOKUP(B45,[21]Sheet1!A$6:B$360,2,0)</f>
        <v>100</v>
      </c>
      <c r="X45" s="247" t="n">
        <f aca="false">VLOOKUP(B45,[22]Sheet1!A$6:B$360,2,0)</f>
        <v>100</v>
      </c>
      <c r="Y45" s="263" t="n">
        <f aca="false">VLOOKUP(B45,[23]Sheet1!A$6:B$360,2,0)</f>
        <v>100</v>
      </c>
      <c r="Z45" s="259" t="n">
        <f aca="false">VLOOKUP(B45,[24]Sheet1!A$6:B$360,2,0)</f>
        <v>100</v>
      </c>
      <c r="AA45" s="247" t="n">
        <f aca="false">VLOOKUP(B45,[25]Sheet1!A$6:B$360,2,0)</f>
        <v>100</v>
      </c>
      <c r="AB45" s="247" t="n">
        <f aca="false">VLOOKUP(B45,[26]Sheet1!A$6:B$360,2,0)</f>
        <v>100</v>
      </c>
      <c r="AC45" s="247" t="n">
        <f aca="false">VLOOKUP(B45,[27]Sheet1!A$6:B$360,2,0)</f>
        <v>100</v>
      </c>
      <c r="AD45" s="263" t="n">
        <f aca="false">VLOOKUP(B45,[28]Sheet1!A$6:B$360,2,0)</f>
        <v>100</v>
      </c>
      <c r="AE45" s="259" t="n">
        <f aca="false">VLOOKUP(B45,[29]Sheet1!A$6:B$360,2,0)</f>
        <v>100</v>
      </c>
      <c r="AF45" s="247" t="n">
        <f aca="false">VLOOKUP(B45,[30]Sheet1!A$6:B$360,2,0)</f>
        <v>100</v>
      </c>
      <c r="AG45" s="247" t="n">
        <f aca="false">VLOOKUP(B45,[31]Sheet1!A$6:B$360,2,0)</f>
        <v>100</v>
      </c>
      <c r="AH45" s="247" t="n">
        <f aca="false">VLOOKUP(B45,[32]Sheet1!A$6:B$360,2,0)</f>
        <v>151</v>
      </c>
      <c r="AI45" s="247" t="n">
        <f aca="false">VLOOKUP(B45,[33]Sheet1!A$6:B$360,2,0)</f>
        <v>151</v>
      </c>
      <c r="AJ45" s="263" t="n">
        <f aca="false">VLOOKUP(B45,[34]Sheet1!A$6:B$360,2,0)</f>
        <v>151</v>
      </c>
      <c r="AK45" s="259" t="n">
        <f aca="false">VLOOKUP(B45,[35]Sheet1!A$6:B$360,2,0)</f>
        <v>151</v>
      </c>
      <c r="AL45" s="247" t="n">
        <f aca="false">VLOOKUP(B45,[36]Sheet1!A$6:B$360,2,0)</f>
        <v>151</v>
      </c>
      <c r="AM45" s="247" t="n">
        <f aca="false">VLOOKUP(B45,[37]Sheet1!A$6:B$360,2,0)</f>
        <v>151</v>
      </c>
      <c r="AN45" s="247" t="n">
        <f aca="false">VLOOKUP(B45,[38]Sheet1!A$6:B$360,2,0)</f>
        <v>151</v>
      </c>
      <c r="AO45" s="263" t="n">
        <f aca="false">VLOOKUP(B45,[39]Sheet1!A$6:B$360,2,0)</f>
        <v>151</v>
      </c>
      <c r="AP45" s="259" t="n">
        <f aca="false">VLOOKUP(B45,[40]Sheet1!A$6:B$360,2,0)</f>
        <v>151</v>
      </c>
      <c r="AQ45" s="247" t="n">
        <f aca="false">VLOOKUP(B45,[41]Sheet1!A$6:B$360,2,0)</f>
        <v>151</v>
      </c>
      <c r="AR45" s="247" t="n">
        <f aca="false">VLOOKUP(B45,[42]Sheet1!A$6:B$360,2,0)</f>
        <v>151</v>
      </c>
    </row>
    <row r="46" customFormat="false" ht="12.8" hidden="false" customHeight="false" outlineLevel="0" collapsed="false">
      <c r="A46" s="264" t="s">
        <v>181</v>
      </c>
      <c r="B46" s="265" t="s">
        <v>394</v>
      </c>
      <c r="C46" s="247" t="n">
        <f aca="false">VLOOKUP(B46,[1]Sheet1!A$1:B$1048576,2,0)</f>
        <v>45125.26</v>
      </c>
      <c r="D46" s="247" t="n">
        <f aca="false">VLOOKUP(B46,[2]Sheet1!A$6:B$360,2,0)</f>
        <v>43161.88</v>
      </c>
      <c r="E46" s="247" t="n">
        <f aca="false">VLOOKUP(B46,[3]Sheet1!A$6:B$360,2,0)</f>
        <v>44263.5</v>
      </c>
      <c r="F46" s="247" t="n">
        <f aca="false">VLOOKUP(B46,[4]Sheet1!A$6:B$360,2,0)</f>
        <v>41326.84</v>
      </c>
      <c r="G46" s="247" t="n">
        <f aca="false">VLOOKUP(B46,[5]Sheet1!A$6:B$360,2,0)</f>
        <v>38900</v>
      </c>
      <c r="H46" s="247" t="n">
        <f aca="false">VLOOKUP(B46,[6]Sheet1!A$6:B$360,2,0)</f>
        <v>38080.35</v>
      </c>
      <c r="I46" s="247" t="n">
        <f aca="false">VLOOKUP(B46,[7]Sheet1!A$6:B$360,2,0)</f>
        <v>39750</v>
      </c>
      <c r="J46" s="247" t="n">
        <f aca="false">VLOOKUP(B46,[8]Sheet1!A$6:B$360,2,0)</f>
        <v>33508.7</v>
      </c>
      <c r="K46" s="259" t="n">
        <f aca="false">VLOOKUP(B46,[9]Sheet1!A$6:B$360,2,0)</f>
        <v>29539.32</v>
      </c>
      <c r="L46" s="260" t="n">
        <f aca="false">VLOOKUP(B46,[10]Sheet1!A$1:B$1048576,2,0)</f>
        <v>28737.6</v>
      </c>
      <c r="M46" s="247" t="n">
        <f aca="false">VLOOKUP(B46,[11]Sheet1!A$6:B$360,2,0)</f>
        <v>28208.33</v>
      </c>
      <c r="N46" s="247" t="n">
        <f aca="false">VLOOKUP(B46,[12]Sheet1!A$6:B$360,2,0)</f>
        <v>28300</v>
      </c>
      <c r="O46" s="247" t="n">
        <f aca="false">VLOOKUP(B46,[13]Sheet1!A$6:B$360,2,0)</f>
        <v>27966.96</v>
      </c>
      <c r="P46" s="247" t="n">
        <f aca="false">VLOOKUP(B46,[14]Sheet1!A$6:B$360,2,0)</f>
        <v>26120</v>
      </c>
      <c r="Q46" s="261" t="n">
        <f aca="false">VLOOKUP(B46,[15]Sheet1!A$6:B$360,2,0)</f>
        <v>26584.38</v>
      </c>
      <c r="R46" s="259" t="n">
        <f aca="false">VLOOKUP(B46,[16]Sheet1!A$6:B$360,2,0)</f>
        <v>23700</v>
      </c>
      <c r="S46" s="247" t="n">
        <f aca="false">VLOOKUP(B46,[17]Sheet1!A$6:B$360,2,0)</f>
        <v>22709</v>
      </c>
      <c r="T46" s="247" t="n">
        <f aca="false">VLOOKUP(B46,[18]Sheet1!A$6:B$360,2,0)</f>
        <v>25023.14</v>
      </c>
      <c r="U46" s="247" t="n">
        <f aca="false">VLOOKUP(B46,[19]Sheet1!A$6:B$360,2,0)</f>
        <v>24800</v>
      </c>
      <c r="V46" s="247" t="n">
        <f aca="false">VLOOKUP(B46,[20]Sheet1!A$6:B$360,2,0)</f>
        <v>28200</v>
      </c>
      <c r="W46" s="247" t="n">
        <f aca="false">VLOOKUP(B46,[21]Sheet1!A$6:B$360,2,0)</f>
        <v>27797.27</v>
      </c>
      <c r="X46" s="247" t="n">
        <f aca="false">VLOOKUP(B46,[22]Sheet1!A$6:B$360,2,0)</f>
        <v>26385.39</v>
      </c>
      <c r="Y46" s="263" t="n">
        <f aca="false">VLOOKUP(B46,[23]Sheet1!A$6:B$360,2,0)</f>
        <v>28500</v>
      </c>
      <c r="Z46" s="259" t="n">
        <f aca="false">VLOOKUP(B46,[24]Sheet1!A$6:B$360,2,0)</f>
        <v>29194.88</v>
      </c>
      <c r="AA46" s="247" t="n">
        <f aca="false">VLOOKUP(B46,[25]Sheet1!A$6:B$360,2,0)</f>
        <v>26001</v>
      </c>
      <c r="AB46" s="247" t="n">
        <f aca="false">VLOOKUP(B46,[26]Sheet1!A$6:B$360,2,0)</f>
        <v>26989.09</v>
      </c>
      <c r="AC46" s="247" t="n">
        <f aca="false">VLOOKUP(B46,[27]Sheet1!A$6:B$360,2,0)</f>
        <v>22090.91</v>
      </c>
      <c r="AD46" s="263" t="n">
        <f aca="false">VLOOKUP(B46,[28]Sheet1!A$6:B$360,2,0)</f>
        <v>18546.14</v>
      </c>
      <c r="AE46" s="259" t="n">
        <f aca="false">VLOOKUP(B46,[29]Sheet1!A$6:B$360,2,0)</f>
        <v>18410</v>
      </c>
      <c r="AF46" s="247" t="n">
        <f aca="false">VLOOKUP(B46,[30]Sheet1!A$6:B$360,2,0)</f>
        <v>17582.5</v>
      </c>
      <c r="AG46" s="247" t="n">
        <f aca="false">VLOOKUP(B46,[31]Sheet1!A$6:B$360,2,0)</f>
        <v>17377.77</v>
      </c>
      <c r="AH46" s="247" t="n">
        <f aca="false">VLOOKUP(B46,[32]Sheet1!A$6:B$360,2,0)</f>
        <v>16000</v>
      </c>
      <c r="AI46" s="247" t="n">
        <f aca="false">VLOOKUP(B46,[33]Sheet1!A$6:B$360,2,0)</f>
        <v>13878</v>
      </c>
      <c r="AJ46" s="263" t="n">
        <f aca="false">VLOOKUP(B46,[34]Sheet1!A$6:B$360,2,0)</f>
        <v>18626.59</v>
      </c>
      <c r="AK46" s="259" t="n">
        <f aca="false">VLOOKUP(B46,[35]Sheet1!A$6:B$360,2,0)</f>
        <v>17204.17</v>
      </c>
      <c r="AL46" s="247" t="n">
        <f aca="false">VLOOKUP(B46,[36]Sheet1!A$6:B$360,2,0)</f>
        <v>16850</v>
      </c>
      <c r="AM46" s="247" t="n">
        <f aca="false">VLOOKUP(B46,[37]Sheet1!A$6:B$360,2,0)</f>
        <v>16985.26</v>
      </c>
      <c r="AN46" s="247" t="n">
        <f aca="false">VLOOKUP(B46,[38]Sheet1!A$6:B$360,2,0)</f>
        <v>15683.87</v>
      </c>
      <c r="AO46" s="263" t="n">
        <f aca="false">VLOOKUP(B46,[39]Sheet1!A$6:B$360,2,0)</f>
        <v>15300</v>
      </c>
      <c r="AP46" s="259" t="n">
        <f aca="false">VLOOKUP(B46,[40]Sheet1!A$6:B$360,2,0)</f>
        <v>14100</v>
      </c>
      <c r="AQ46" s="247" t="n">
        <f aca="false">VLOOKUP(B46,[41]Sheet1!A$6:B$360,2,0)</f>
        <v>14276.4</v>
      </c>
      <c r="AR46" s="247" t="n">
        <f aca="false">VLOOKUP(B46,[42]Sheet1!A$6:B$360,2,0)</f>
        <v>14000</v>
      </c>
    </row>
    <row r="47" customFormat="false" ht="12.8" hidden="false" customHeight="false" outlineLevel="0" collapsed="false">
      <c r="A47" s="23" t="s">
        <v>307</v>
      </c>
      <c r="B47" s="258" t="s">
        <v>395</v>
      </c>
      <c r="C47" s="247" t="n">
        <f aca="false">VLOOKUP(B47,[1]Sheet1!A$1:B$1048576,2,0)</f>
        <v>61500</v>
      </c>
      <c r="D47" s="247" t="n">
        <f aca="false">VLOOKUP(B47,[2]Sheet1!A$6:B$360,2,0)</f>
        <v>61500</v>
      </c>
      <c r="E47" s="247" t="n">
        <f aca="false">VLOOKUP(B47,[3]Sheet1!A$6:B$360,2,0)</f>
        <v>61500</v>
      </c>
      <c r="F47" s="247" t="n">
        <f aca="false">VLOOKUP(B47,[4]Sheet1!A$6:B$360,2,0)</f>
        <v>61500</v>
      </c>
      <c r="G47" s="247" t="n">
        <f aca="false">VLOOKUP(B47,[5]Sheet1!A$6:B$360,2,0)</f>
        <v>61500</v>
      </c>
      <c r="H47" s="247" t="n">
        <f aca="false">VLOOKUP(B47,[6]Sheet1!A$6:B$360,2,0)</f>
        <v>61500</v>
      </c>
      <c r="I47" s="247" t="n">
        <f aca="false">VLOOKUP(B47,[7]Sheet1!A$6:B$360,2,0)</f>
        <v>61500</v>
      </c>
      <c r="J47" s="247" t="n">
        <f aca="false">VLOOKUP(B47,[8]Sheet1!A$6:B$360,2,0)</f>
        <v>61500</v>
      </c>
      <c r="K47" s="259" t="n">
        <f aca="false">VLOOKUP(B47,[9]Sheet1!A$6:B$360,2,0)</f>
        <v>61500</v>
      </c>
      <c r="L47" s="260" t="n">
        <f aca="false">VLOOKUP(B47,[10]Sheet1!A$1:B$1048576,2,0)</f>
        <v>61500</v>
      </c>
      <c r="M47" s="247" t="n">
        <f aca="false">VLOOKUP(B47,[11]Sheet1!A$6:B$360,2,0)</f>
        <v>61500</v>
      </c>
      <c r="N47" s="247" t="n">
        <f aca="false">VLOOKUP(B47,[12]Sheet1!A$6:B$360,2,0)</f>
        <v>61500</v>
      </c>
      <c r="O47" s="247" t="n">
        <f aca="false">VLOOKUP(B47,[13]Sheet1!A$6:B$360,2,0)</f>
        <v>61500</v>
      </c>
      <c r="P47" s="247" t="n">
        <f aca="false">VLOOKUP(B47,[14]Sheet1!A$6:B$360,2,0)</f>
        <v>61500</v>
      </c>
      <c r="Q47" s="261" t="n">
        <f aca="false">VLOOKUP(B47,[15]Sheet1!A$6:B$360,2,0)</f>
        <v>61500</v>
      </c>
      <c r="R47" s="259" t="n">
        <f aca="false">VLOOKUP(B47,[16]Sheet1!A$6:B$360,2,0)</f>
        <v>61500</v>
      </c>
      <c r="S47" s="247" t="n">
        <f aca="false">VLOOKUP(B47,[17]Sheet1!A$6:B$360,2,0)</f>
        <v>61500</v>
      </c>
      <c r="T47" s="247" t="n">
        <f aca="false">VLOOKUP(B47,[18]Sheet1!A$6:B$360,2,0)</f>
        <v>61500</v>
      </c>
      <c r="U47" s="247" t="n">
        <f aca="false">VLOOKUP(B47,[19]Sheet1!A$6:B$360,2,0)</f>
        <v>61500</v>
      </c>
      <c r="V47" s="247" t="n">
        <f aca="false">VLOOKUP(B47,[20]Sheet1!A$6:B$360,2,0)</f>
        <v>61500</v>
      </c>
      <c r="W47" s="247" t="n">
        <f aca="false">VLOOKUP(B47,[21]Sheet1!A$6:B$360,2,0)</f>
        <v>61500</v>
      </c>
      <c r="X47" s="247" t="n">
        <f aca="false">VLOOKUP(B47,[22]Sheet1!A$6:B$360,2,0)</f>
        <v>61500</v>
      </c>
      <c r="Y47" s="263" t="n">
        <f aca="false">VLOOKUP(B47,[23]Sheet1!A$6:B$360,2,0)</f>
        <v>61500</v>
      </c>
      <c r="Z47" s="259" t="n">
        <f aca="false">VLOOKUP(B47,[24]Sheet1!A$6:B$360,2,0)</f>
        <v>61500</v>
      </c>
      <c r="AA47" s="247" t="n">
        <f aca="false">VLOOKUP(B47,[25]Sheet1!A$6:B$360,2,0)</f>
        <v>61500</v>
      </c>
      <c r="AB47" s="247" t="n">
        <f aca="false">VLOOKUP(B47,[26]Sheet1!A$6:B$360,2,0)</f>
        <v>61500</v>
      </c>
      <c r="AC47" s="247" t="n">
        <f aca="false">VLOOKUP(B47,[27]Sheet1!A$6:B$360,2,0)</f>
        <v>61500</v>
      </c>
      <c r="AD47" s="263" t="n">
        <f aca="false">VLOOKUP(B47,[28]Sheet1!A$6:B$360,2,0)</f>
        <v>61500</v>
      </c>
      <c r="AE47" s="259" t="n">
        <f aca="false">VLOOKUP(B47,[29]Sheet1!A$6:B$360,2,0)</f>
        <v>61500</v>
      </c>
      <c r="AF47" s="247" t="n">
        <f aca="false">VLOOKUP(B47,[30]Sheet1!A$6:B$360,2,0)</f>
        <v>61500</v>
      </c>
      <c r="AG47" s="247" t="n">
        <f aca="false">VLOOKUP(B47,[31]Sheet1!A$6:B$360,2,0)</f>
        <v>61500</v>
      </c>
      <c r="AH47" s="247" t="n">
        <f aca="false">VLOOKUP(B47,[32]Sheet1!A$6:B$360,2,0)</f>
        <v>61500</v>
      </c>
      <c r="AI47" s="247" t="n">
        <f aca="false">VLOOKUP(B47,[33]Sheet1!A$6:B$360,2,0)</f>
        <v>61500</v>
      </c>
      <c r="AJ47" s="263" t="n">
        <f aca="false">VLOOKUP(B47,[34]Sheet1!A$6:B$360,2,0)</f>
        <v>61500</v>
      </c>
      <c r="AK47" s="259" t="n">
        <f aca="false">VLOOKUP(B47,[35]Sheet1!A$6:B$360,2,0)</f>
        <v>61500</v>
      </c>
      <c r="AL47" s="247" t="n">
        <f aca="false">VLOOKUP(B47,[36]Sheet1!A$6:B$360,2,0)</f>
        <v>61500</v>
      </c>
      <c r="AM47" s="247" t="n">
        <f aca="false">VLOOKUP(B47,[37]Sheet1!A$6:B$360,2,0)</f>
        <v>61500</v>
      </c>
      <c r="AN47" s="247" t="n">
        <f aca="false">VLOOKUP(B47,[38]Sheet1!A$6:B$360,2,0)</f>
        <v>61500</v>
      </c>
      <c r="AO47" s="263" t="n">
        <f aca="false">VLOOKUP(B47,[39]Sheet1!A$6:B$360,2,0)</f>
        <v>61500</v>
      </c>
      <c r="AP47" s="259" t="n">
        <f aca="false">VLOOKUP(B47,[40]Sheet1!A$6:B$360,2,0)</f>
        <v>61500</v>
      </c>
      <c r="AQ47" s="247" t="n">
        <f aca="false">VLOOKUP(B47,[41]Sheet1!A$6:B$360,2,0)</f>
        <v>61500</v>
      </c>
      <c r="AR47" s="247" t="n">
        <f aca="false">VLOOKUP(B47,[42]Sheet1!A$6:B$360,2,0)</f>
        <v>61500</v>
      </c>
    </row>
    <row r="48" customFormat="false" ht="12.8" hidden="false" customHeight="false" outlineLevel="0" collapsed="false">
      <c r="A48" s="23" t="s">
        <v>308</v>
      </c>
      <c r="B48" s="258" t="s">
        <v>396</v>
      </c>
      <c r="C48" s="247" t="n">
        <f aca="false">VLOOKUP(B48,[1]Sheet1!A$1:B$1048576,2,0)</f>
        <v>1900</v>
      </c>
      <c r="D48" s="247" t="n">
        <f aca="false">VLOOKUP(B48,[2]Sheet1!A$6:B$360,2,0)</f>
        <v>1900</v>
      </c>
      <c r="E48" s="247" t="n">
        <f aca="false">VLOOKUP(B48,[3]Sheet1!A$6:B$360,2,0)</f>
        <v>1900</v>
      </c>
      <c r="F48" s="247" t="n">
        <f aca="false">VLOOKUP(B48,[4]Sheet1!A$6:B$360,2,0)</f>
        <v>1900</v>
      </c>
      <c r="G48" s="247" t="n">
        <f aca="false">VLOOKUP(B48,[5]Sheet1!A$6:B$360,2,0)</f>
        <v>1900</v>
      </c>
      <c r="H48" s="247" t="n">
        <f aca="false">VLOOKUP(B48,[6]Sheet1!A$6:B$360,2,0)</f>
        <v>1900</v>
      </c>
      <c r="I48" s="247" t="n">
        <f aca="false">VLOOKUP(B48,[7]Sheet1!A$6:B$360,2,0)</f>
        <v>1900</v>
      </c>
      <c r="J48" s="247" t="n">
        <f aca="false">VLOOKUP(B48,[8]Sheet1!A$6:B$360,2,0)</f>
        <v>1900</v>
      </c>
      <c r="K48" s="259" t="n">
        <f aca="false">VLOOKUP(B48,[9]Sheet1!A$6:B$360,2,0)</f>
        <v>1900</v>
      </c>
      <c r="L48" s="260" t="n">
        <f aca="false">VLOOKUP(B48,[10]Sheet1!A$1:B$1048576,2,0)</f>
        <v>1900</v>
      </c>
      <c r="M48" s="247" t="n">
        <f aca="false">VLOOKUP(B48,[11]Sheet1!A$6:B$360,2,0)</f>
        <v>1900</v>
      </c>
      <c r="N48" s="247" t="n">
        <f aca="false">VLOOKUP(B48,[12]Sheet1!A$6:B$360,2,0)</f>
        <v>1900</v>
      </c>
      <c r="O48" s="247" t="n">
        <f aca="false">VLOOKUP(B48,[13]Sheet1!A$6:B$360,2,0)</f>
        <v>1900</v>
      </c>
      <c r="P48" s="247" t="n">
        <f aca="false">VLOOKUP(B48,[14]Sheet1!A$6:B$360,2,0)</f>
        <v>1900</v>
      </c>
      <c r="Q48" s="261" t="n">
        <f aca="false">VLOOKUP(B48,[15]Sheet1!A$6:B$360,2,0)</f>
        <v>1900</v>
      </c>
      <c r="R48" s="259" t="n">
        <f aca="false">VLOOKUP(B48,[16]Sheet1!A$6:B$360,2,0)</f>
        <v>1900</v>
      </c>
      <c r="S48" s="247" t="n">
        <f aca="false">VLOOKUP(B48,[17]Sheet1!A$6:B$360,2,0)</f>
        <v>1900</v>
      </c>
      <c r="T48" s="247" t="n">
        <f aca="false">VLOOKUP(B48,[18]Sheet1!A$6:B$360,2,0)</f>
        <v>1900</v>
      </c>
      <c r="U48" s="247" t="n">
        <f aca="false">VLOOKUP(B48,[19]Sheet1!A$6:B$360,2,0)</f>
        <v>1900</v>
      </c>
      <c r="V48" s="247" t="n">
        <f aca="false">VLOOKUP(B48,[20]Sheet1!A$6:B$360,2,0)</f>
        <v>1900</v>
      </c>
      <c r="W48" s="247" t="n">
        <f aca="false">VLOOKUP(B48,[21]Sheet1!A$6:B$360,2,0)</f>
        <v>1900</v>
      </c>
      <c r="X48" s="247" t="n">
        <f aca="false">VLOOKUP(B48,[22]Sheet1!A$6:B$360,2,0)</f>
        <v>1900</v>
      </c>
      <c r="Y48" s="263" t="n">
        <f aca="false">VLOOKUP(B48,[23]Sheet1!A$6:B$360,2,0)</f>
        <v>1900</v>
      </c>
      <c r="Z48" s="259" t="n">
        <f aca="false">VLOOKUP(B48,[24]Sheet1!A$6:B$360,2,0)</f>
        <v>1860</v>
      </c>
      <c r="AA48" s="247" t="n">
        <f aca="false">VLOOKUP(B48,[25]Sheet1!A$6:B$360,2,0)</f>
        <v>1860</v>
      </c>
      <c r="AB48" s="247" t="n">
        <f aca="false">VLOOKUP(B48,[26]Sheet1!A$6:B$360,2,0)</f>
        <v>1860</v>
      </c>
      <c r="AC48" s="247" t="n">
        <f aca="false">VLOOKUP(B48,[27]Sheet1!A$6:B$360,2,0)</f>
        <v>1860</v>
      </c>
      <c r="AD48" s="263" t="n">
        <f aca="false">VLOOKUP(B48,[28]Sheet1!A$6:B$360,2,0)</f>
        <v>1860</v>
      </c>
      <c r="AE48" s="259" t="n">
        <f aca="false">VLOOKUP(B48,[29]Sheet1!A$6:B$360,2,0)</f>
        <v>1860</v>
      </c>
      <c r="AF48" s="247" t="n">
        <f aca="false">VLOOKUP(B48,[30]Sheet1!A$6:B$360,2,0)</f>
        <v>1860</v>
      </c>
      <c r="AG48" s="247" t="n">
        <f aca="false">VLOOKUP(B48,[31]Sheet1!A$6:B$360,2,0)</f>
        <v>1860</v>
      </c>
      <c r="AH48" s="247" t="n">
        <f aca="false">VLOOKUP(B48,[32]Sheet1!A$6:B$360,2,0)</f>
        <v>1250</v>
      </c>
      <c r="AI48" s="247" t="n">
        <f aca="false">VLOOKUP(B48,[33]Sheet1!A$6:B$360,2,0)</f>
        <v>1250</v>
      </c>
      <c r="AJ48" s="263" t="n">
        <f aca="false">VLOOKUP(B48,[34]Sheet1!A$6:B$360,2,0)</f>
        <v>1250</v>
      </c>
      <c r="AK48" s="259" t="n">
        <f aca="false">VLOOKUP(B48,[35]Sheet1!A$6:B$360,2,0)</f>
        <v>1250</v>
      </c>
      <c r="AL48" s="247" t="n">
        <f aca="false">VLOOKUP(B48,[36]Sheet1!A$6:B$360,2,0)</f>
        <v>1250</v>
      </c>
      <c r="AM48" s="247" t="n">
        <f aca="false">VLOOKUP(B48,[37]Sheet1!A$6:B$360,2,0)</f>
        <v>1250</v>
      </c>
      <c r="AN48" s="247" t="n">
        <f aca="false">VLOOKUP(B48,[38]Sheet1!A$6:B$360,2,0)</f>
        <v>1250</v>
      </c>
      <c r="AO48" s="263" t="n">
        <f aca="false">VLOOKUP(B48,[39]Sheet1!A$6:B$360,2,0)</f>
        <v>1250</v>
      </c>
      <c r="AP48" s="259" t="n">
        <f aca="false">VLOOKUP(B48,[40]Sheet1!A$6:B$360,2,0)</f>
        <v>1250</v>
      </c>
      <c r="AQ48" s="247" t="n">
        <f aca="false">VLOOKUP(B48,[41]Sheet1!A$6:B$360,2,0)</f>
        <v>1250</v>
      </c>
      <c r="AR48" s="247" t="n">
        <f aca="false">VLOOKUP(B48,[42]Sheet1!A$6:B$360,2,0)</f>
        <v>1250</v>
      </c>
    </row>
    <row r="49" customFormat="false" ht="12.8" hidden="false" customHeight="false" outlineLevel="0" collapsed="false">
      <c r="A49" s="267" t="s">
        <v>309</v>
      </c>
      <c r="B49" s="268" t="s">
        <v>397</v>
      </c>
      <c r="C49" s="247" t="n">
        <f aca="false">VLOOKUP(B49,[1]Sheet1!A$1:B$1048576,2,0)</f>
        <v>6000</v>
      </c>
      <c r="D49" s="247" t="n">
        <f aca="false">VLOOKUP(B49,[2]Sheet1!A$6:B$360,2,0)</f>
        <v>6000</v>
      </c>
      <c r="E49" s="247" t="n">
        <f aca="false">VLOOKUP(B49,[3]Sheet1!A$6:B$360,2,0)</f>
        <v>6000</v>
      </c>
      <c r="F49" s="247" t="n">
        <f aca="false">VLOOKUP(B49,[4]Sheet1!A$6:B$360,2,0)</f>
        <v>6000</v>
      </c>
      <c r="G49" s="247" t="n">
        <f aca="false">VLOOKUP(B49,[5]Sheet1!A$6:B$360,2,0)</f>
        <v>6000</v>
      </c>
      <c r="H49" s="247" t="n">
        <f aca="false">VLOOKUP(B49,[6]Sheet1!A$6:B$360,2,0)</f>
        <v>6000</v>
      </c>
      <c r="I49" s="247" t="n">
        <f aca="false">VLOOKUP(B49,[7]Sheet1!A$6:B$360,2,0)</f>
        <v>6000</v>
      </c>
      <c r="J49" s="247" t="n">
        <f aca="false">VLOOKUP(B49,[8]Sheet1!A$6:B$360,2,0)</f>
        <v>6000</v>
      </c>
      <c r="K49" s="259" t="n">
        <f aca="false">VLOOKUP(B49,[9]Sheet1!A$6:B$360,2,0)</f>
        <v>6000</v>
      </c>
      <c r="L49" s="260" t="n">
        <f aca="false">VLOOKUP(B49,[10]Sheet1!A$1:B$1048576,2,0)</f>
        <v>6000</v>
      </c>
      <c r="M49" s="247" t="n">
        <f aca="false">VLOOKUP(B49,[11]Sheet1!A$6:B$360,2,0)</f>
        <v>6000</v>
      </c>
      <c r="N49" s="247" t="n">
        <f aca="false">VLOOKUP(B49,[12]Sheet1!A$6:B$360,2,0)</f>
        <v>6000</v>
      </c>
      <c r="O49" s="247" t="n">
        <f aca="false">VLOOKUP(B49,[13]Sheet1!A$6:B$360,2,0)</f>
        <v>6000</v>
      </c>
      <c r="P49" s="247" t="n">
        <f aca="false">VLOOKUP(B49,[14]Sheet1!A$6:B$360,2,0)</f>
        <v>6000</v>
      </c>
      <c r="Q49" s="261" t="n">
        <f aca="false">VLOOKUP(B49,[15]Sheet1!A$6:B$360,2,0)</f>
        <v>6000</v>
      </c>
      <c r="R49" s="259" t="n">
        <f aca="false">VLOOKUP(B49,[16]Sheet1!A$6:B$360,2,0)</f>
        <v>6000</v>
      </c>
      <c r="S49" s="247" t="n">
        <f aca="false">VLOOKUP(B49,[17]Sheet1!A$6:B$360,2,0)</f>
        <v>6000</v>
      </c>
      <c r="T49" s="247" t="n">
        <f aca="false">VLOOKUP(B49,[18]Sheet1!A$6:B$360,2,0)</f>
        <v>6000</v>
      </c>
      <c r="U49" s="247" t="n">
        <f aca="false">VLOOKUP(B49,[19]Sheet1!A$6:B$360,2,0)</f>
        <v>6000</v>
      </c>
      <c r="V49" s="247" t="n">
        <f aca="false">VLOOKUP(B49,[20]Sheet1!A$6:B$360,2,0)</f>
        <v>6000</v>
      </c>
      <c r="W49" s="247" t="n">
        <f aca="false">VLOOKUP(B49,[21]Sheet1!A$6:B$360,2,0)</f>
        <v>6000</v>
      </c>
      <c r="X49" s="247" t="n">
        <f aca="false">VLOOKUP(B49,[22]Sheet1!A$6:B$360,2,0)</f>
        <v>6000</v>
      </c>
      <c r="Y49" s="263" t="n">
        <f aca="false">VLOOKUP(B49,[23]Sheet1!A$6:B$360,2,0)</f>
        <v>6000</v>
      </c>
      <c r="Z49" s="259" t="n">
        <f aca="false">VLOOKUP(B49,[24]Sheet1!A$6:B$360,2,0)</f>
        <v>6000</v>
      </c>
      <c r="AA49" s="247" t="n">
        <f aca="false">VLOOKUP(B49,[25]Sheet1!A$6:B$360,2,0)</f>
        <v>6000</v>
      </c>
      <c r="AB49" s="247" t="n">
        <f aca="false">VLOOKUP(B49,[26]Sheet1!A$6:B$360,2,0)</f>
        <v>6000</v>
      </c>
      <c r="AC49" s="247" t="n">
        <f aca="false">VLOOKUP(B49,[27]Sheet1!A$6:B$360,2,0)</f>
        <v>6000</v>
      </c>
      <c r="AD49" s="263" t="n">
        <f aca="false">VLOOKUP(B49,[28]Sheet1!A$6:B$360,2,0)</f>
        <v>6000</v>
      </c>
      <c r="AE49" s="259" t="n">
        <f aca="false">VLOOKUP(B49,[29]Sheet1!A$6:B$360,2,0)</f>
        <v>6000</v>
      </c>
      <c r="AF49" s="247" t="n">
        <f aca="false">VLOOKUP(B49,[30]Sheet1!A$6:B$360,2,0)</f>
        <v>6000</v>
      </c>
      <c r="AG49" s="247" t="n">
        <f aca="false">VLOOKUP(B49,[31]Sheet1!A$6:B$360,2,0)</f>
        <v>6000</v>
      </c>
      <c r="AH49" s="247" t="n">
        <f aca="false">VLOOKUP(B49,[32]Sheet1!A$6:B$360,2,0)</f>
        <v>6000</v>
      </c>
      <c r="AI49" s="247" t="n">
        <f aca="false">VLOOKUP(B49,[33]Sheet1!A$6:B$360,2,0)</f>
        <v>6000</v>
      </c>
      <c r="AJ49" s="263" t="n">
        <f aca="false">VLOOKUP(B49,[34]Sheet1!A$6:B$360,2,0)</f>
        <v>6000</v>
      </c>
      <c r="AK49" s="259" t="n">
        <f aca="false">VLOOKUP(B49,[35]Sheet1!A$6:B$360,2,0)</f>
        <v>6000</v>
      </c>
      <c r="AL49" s="247" t="n">
        <f aca="false">VLOOKUP(B49,[36]Sheet1!A$6:B$360,2,0)</f>
        <v>6000</v>
      </c>
      <c r="AM49" s="247" t="n">
        <f aca="false">VLOOKUP(B49,[37]Sheet1!A$6:B$360,2,0)</f>
        <v>6000</v>
      </c>
      <c r="AN49" s="247" t="n">
        <f aca="false">VLOOKUP(B49,[38]Sheet1!A$6:B$360,2,0)</f>
        <v>6000</v>
      </c>
      <c r="AO49" s="263" t="n">
        <f aca="false">VLOOKUP(B49,[39]Sheet1!A$6:B$360,2,0)</f>
        <v>6000</v>
      </c>
      <c r="AP49" s="259" t="n">
        <f aca="false">VLOOKUP(B49,[40]Sheet1!A$6:B$360,2,0)</f>
        <v>6000</v>
      </c>
      <c r="AQ49" s="247" t="n">
        <f aca="false">VLOOKUP(B49,[41]Sheet1!A$6:B$360,2,0)</f>
        <v>6000</v>
      </c>
      <c r="AR49" s="247" t="n">
        <f aca="false">VLOOKUP(B49,[42]Sheet1!A$6:B$360,2,0)</f>
        <v>6000</v>
      </c>
    </row>
    <row r="50" customFormat="false" ht="12.8" hidden="false" customHeight="false" outlineLevel="0" collapsed="false">
      <c r="A50" s="267" t="s">
        <v>31</v>
      </c>
      <c r="B50" s="268" t="s">
        <v>398</v>
      </c>
      <c r="C50" s="247" t="n">
        <f aca="false">VLOOKUP(B50,[1]Sheet1!A$1:B$1048576,2,0)</f>
        <v>5919</v>
      </c>
      <c r="D50" s="247" t="n">
        <f aca="false">VLOOKUP(B50,[2]Sheet1!A$6:B$360,2,0)</f>
        <v>5919</v>
      </c>
      <c r="E50" s="247" t="n">
        <f aca="false">VLOOKUP(B50,[3]Sheet1!A$6:B$360,2,0)</f>
        <v>5919</v>
      </c>
      <c r="F50" s="247" t="n">
        <f aca="false">VLOOKUP(B50,[4]Sheet1!A$6:B$360,2,0)</f>
        <v>5348.65</v>
      </c>
      <c r="G50" s="247" t="n">
        <f aca="false">VLOOKUP(B50,[5]Sheet1!A$6:B$360,2,0)</f>
        <v>4900</v>
      </c>
      <c r="H50" s="247" t="n">
        <f aca="false">VLOOKUP(B50,[6]Sheet1!A$6:B$360,2,0)</f>
        <v>5146</v>
      </c>
      <c r="I50" s="247" t="n">
        <f aca="false">VLOOKUP(B50,[7]Sheet1!A$6:B$360,2,0)</f>
        <v>5146</v>
      </c>
      <c r="J50" s="247" t="n">
        <f aca="false">VLOOKUP(B50,[8]Sheet1!A$6:B$360,2,0)</f>
        <v>4900</v>
      </c>
      <c r="K50" s="259" t="n">
        <f aca="false">VLOOKUP(B50,[9]Sheet1!A$6:B$360,2,0)</f>
        <v>4990</v>
      </c>
      <c r="L50" s="260" t="n">
        <f aca="false">VLOOKUP(B50,[10]Sheet1!A$1:B$1048576,2,0)</f>
        <v>6070.3</v>
      </c>
      <c r="M50" s="247" t="n">
        <f aca="false">VLOOKUP(B50,[11]Sheet1!A$6:B$360,2,0)</f>
        <v>6070.3</v>
      </c>
      <c r="N50" s="247" t="n">
        <f aca="false">VLOOKUP(B50,[12]Sheet1!A$6:B$360,2,0)</f>
        <v>6097.84</v>
      </c>
      <c r="O50" s="247" t="n">
        <f aca="false">VLOOKUP(B50,[13]Sheet1!A$6:B$360,2,0)</f>
        <v>5562.22</v>
      </c>
      <c r="P50" s="247" t="n">
        <f aca="false">VLOOKUP(B50,[14]Sheet1!A$6:B$360,2,0)</f>
        <v>3300</v>
      </c>
      <c r="Q50" s="261" t="n">
        <f aca="false">VLOOKUP(B50,[15]Sheet1!A$6:B$360,2,0)</f>
        <v>3350</v>
      </c>
      <c r="R50" s="259" t="n">
        <f aca="false">VLOOKUP(B50,[16]Sheet1!A$6:B$360,2,0)</f>
        <v>3500</v>
      </c>
      <c r="S50" s="247" t="n">
        <f aca="false">VLOOKUP(B50,[17]Sheet1!A$6:B$360,2,0)</f>
        <v>3303</v>
      </c>
      <c r="T50" s="247" t="n">
        <f aca="false">VLOOKUP(B50,[18]Sheet1!A$6:B$360,2,0)</f>
        <v>3630</v>
      </c>
      <c r="U50" s="247" t="n">
        <f aca="false">VLOOKUP(B50,[19]Sheet1!A$6:B$360,2,0)</f>
        <v>3263</v>
      </c>
      <c r="V50" s="247" t="n">
        <f aca="false">VLOOKUP(B50,[20]Sheet1!A$6:B$360,2,0)</f>
        <v>3638</v>
      </c>
      <c r="W50" s="247" t="n">
        <f aca="false">VLOOKUP(B50,[21]Sheet1!A$6:B$360,2,0)</f>
        <v>3651</v>
      </c>
      <c r="X50" s="247" t="n">
        <f aca="false">VLOOKUP(B50,[22]Sheet1!A$6:B$360,2,0)</f>
        <v>3651</v>
      </c>
      <c r="Y50" s="263" t="n">
        <f aca="false">VLOOKUP(B50,[23]Sheet1!A$6:B$360,2,0)</f>
        <v>3651</v>
      </c>
      <c r="Z50" s="259" t="n">
        <f aca="false">VLOOKUP(B50,[24]Sheet1!A$6:B$360,2,0)</f>
        <v>3593</v>
      </c>
      <c r="AA50" s="247" t="n">
        <f aca="false">VLOOKUP(B50,[25]Sheet1!A$6:B$360,2,0)</f>
        <v>3599.65</v>
      </c>
      <c r="AB50" s="247" t="n">
        <f aca="false">VLOOKUP(B50,[26]Sheet1!A$6:B$360,2,0)</f>
        <v>3745.35</v>
      </c>
      <c r="AC50" s="247" t="n">
        <f aca="false">VLOOKUP(B50,[27]Sheet1!A$6:B$360,2,0)</f>
        <v>3400</v>
      </c>
      <c r="AD50" s="263" t="n">
        <f aca="false">VLOOKUP(B50,[28]Sheet1!A$6:B$360,2,0)</f>
        <v>3400</v>
      </c>
      <c r="AE50" s="259" t="n">
        <f aca="false">VLOOKUP(B50,[29]Sheet1!A$6:B$360,2,0)</f>
        <v>3399.28</v>
      </c>
      <c r="AF50" s="247" t="n">
        <f aca="false">VLOOKUP(B50,[30]Sheet1!A$6:B$360,2,0)</f>
        <v>3592.46</v>
      </c>
      <c r="AG50" s="247" t="n">
        <f aca="false">VLOOKUP(B50,[31]Sheet1!A$6:B$360,2,0)</f>
        <v>3150.83</v>
      </c>
      <c r="AH50" s="247" t="n">
        <f aca="false">VLOOKUP(B50,[32]Sheet1!A$6:B$360,2,0)</f>
        <v>3300</v>
      </c>
      <c r="AI50" s="247" t="n">
        <f aca="false">VLOOKUP(B50,[33]Sheet1!A$6:B$360,2,0)</f>
        <v>3000</v>
      </c>
      <c r="AJ50" s="263" t="n">
        <f aca="false">VLOOKUP(B50,[34]Sheet1!A$6:B$360,2,0)</f>
        <v>4516</v>
      </c>
      <c r="AK50" s="259" t="n">
        <f aca="false">VLOOKUP(B50,[35]Sheet1!A$6:B$360,2,0)</f>
        <v>4800</v>
      </c>
      <c r="AL50" s="247" t="n">
        <f aca="false">VLOOKUP(B50,[36]Sheet1!A$6:B$360,2,0)</f>
        <v>4785.71</v>
      </c>
      <c r="AM50" s="247" t="n">
        <f aca="false">VLOOKUP(B50,[37]Sheet1!A$6:B$360,2,0)</f>
        <v>4509</v>
      </c>
      <c r="AN50" s="247" t="n">
        <f aca="false">VLOOKUP(B50,[38]Sheet1!A$6:B$360,2,0)</f>
        <v>4400</v>
      </c>
      <c r="AO50" s="263" t="n">
        <f aca="false">VLOOKUP(B50,[39]Sheet1!A$6:B$360,2,0)</f>
        <v>4221</v>
      </c>
      <c r="AP50" s="259" t="n">
        <f aca="false">VLOOKUP(B50,[40]Sheet1!A$6:B$360,2,0)</f>
        <v>4009</v>
      </c>
      <c r="AQ50" s="247" t="n">
        <f aca="false">VLOOKUP(B50,[41]Sheet1!A$6:B$360,2,0)</f>
        <v>4946.67</v>
      </c>
      <c r="AR50" s="247" t="n">
        <f aca="false">VLOOKUP(B50,[42]Sheet1!A$6:B$360,2,0)</f>
        <v>4400</v>
      </c>
    </row>
    <row r="51" customFormat="false" ht="12.8" hidden="false" customHeight="false" outlineLevel="0" collapsed="false">
      <c r="A51" s="23" t="s">
        <v>310</v>
      </c>
      <c r="B51" s="258" t="s">
        <v>399</v>
      </c>
      <c r="C51" s="247" t="n">
        <f aca="false">VLOOKUP(B51,[1]Sheet1!A$1:B$1048576,2,0)</f>
        <v>300</v>
      </c>
      <c r="D51" s="247" t="n">
        <f aca="false">VLOOKUP(B51,[2]Sheet1!A$6:B$360,2,0)</f>
        <v>300</v>
      </c>
      <c r="E51" s="247" t="n">
        <f aca="false">VLOOKUP(B51,[3]Sheet1!A$6:B$360,2,0)</f>
        <v>300</v>
      </c>
      <c r="F51" s="247" t="n">
        <f aca="false">VLOOKUP(B51,[4]Sheet1!A$6:B$360,2,0)</f>
        <v>300</v>
      </c>
      <c r="G51" s="247" t="n">
        <f aca="false">VLOOKUP(B51,[5]Sheet1!A$6:B$360,2,0)</f>
        <v>300</v>
      </c>
      <c r="H51" s="247" t="n">
        <f aca="false">VLOOKUP(B51,[6]Sheet1!A$6:B$360,2,0)</f>
        <v>300</v>
      </c>
      <c r="I51" s="247" t="n">
        <f aca="false">VLOOKUP(B51,[7]Sheet1!A$6:B$360,2,0)</f>
        <v>300</v>
      </c>
      <c r="J51" s="247" t="n">
        <f aca="false">VLOOKUP(B51,[8]Sheet1!A$6:B$360,2,0)</f>
        <v>308</v>
      </c>
      <c r="K51" s="259" t="n">
        <f aca="false">VLOOKUP(B51,[9]Sheet1!A$6:B$360,2,0)</f>
        <v>308</v>
      </c>
      <c r="L51" s="260" t="n">
        <f aca="false">VLOOKUP(B51,[10]Sheet1!A$1:B$1048576,2,0)</f>
        <v>201</v>
      </c>
      <c r="M51" s="247" t="n">
        <f aca="false">VLOOKUP(B51,[11]Sheet1!A$6:B$360,2,0)</f>
        <v>201</v>
      </c>
      <c r="N51" s="247" t="n">
        <f aca="false">VLOOKUP(B51,[12]Sheet1!A$6:B$360,2,0)</f>
        <v>201</v>
      </c>
      <c r="O51" s="247" t="n">
        <f aca="false">VLOOKUP(B51,[13]Sheet1!A$6:B$360,2,0)</f>
        <v>201</v>
      </c>
      <c r="P51" s="247" t="n">
        <f aca="false">VLOOKUP(B51,[14]Sheet1!A$6:B$360,2,0)</f>
        <v>201</v>
      </c>
      <c r="Q51" s="261" t="n">
        <f aca="false">VLOOKUP(B51,[15]Sheet1!A$6:B$360,2,0)</f>
        <v>201</v>
      </c>
      <c r="R51" s="259" t="n">
        <f aca="false">VLOOKUP(B51,[16]Sheet1!A$6:B$360,2,0)</f>
        <v>201</v>
      </c>
      <c r="S51" s="247" t="n">
        <f aca="false">VLOOKUP(B51,[17]Sheet1!A$6:B$360,2,0)</f>
        <v>100</v>
      </c>
      <c r="T51" s="247" t="n">
        <f aca="false">VLOOKUP(B51,[18]Sheet1!A$6:B$360,2,0)</f>
        <v>100</v>
      </c>
      <c r="U51" s="247" t="n">
        <f aca="false">VLOOKUP(B51,[19]Sheet1!A$6:B$360,2,0)</f>
        <v>100</v>
      </c>
      <c r="V51" s="247" t="n">
        <f aca="false">VLOOKUP(B51,[20]Sheet1!A$6:B$360,2,0)</f>
        <v>100</v>
      </c>
      <c r="W51" s="247" t="n">
        <f aca="false">VLOOKUP(B51,[21]Sheet1!A$6:B$360,2,0)</f>
        <v>100</v>
      </c>
      <c r="X51" s="247" t="n">
        <f aca="false">VLOOKUP(B51,[22]Sheet1!A$6:B$360,2,0)</f>
        <v>100</v>
      </c>
      <c r="Y51" s="263" t="n">
        <f aca="false">VLOOKUP(B51,[23]Sheet1!A$6:B$360,2,0)</f>
        <v>100</v>
      </c>
      <c r="Z51" s="259" t="n">
        <f aca="false">VLOOKUP(B51,[24]Sheet1!A$6:B$360,2,0)</f>
        <v>100</v>
      </c>
      <c r="AA51" s="247" t="n">
        <f aca="false">VLOOKUP(B51,[25]Sheet1!A$6:B$360,2,0)</f>
        <v>100</v>
      </c>
      <c r="AB51" s="247" t="n">
        <f aca="false">VLOOKUP(B51,[26]Sheet1!A$6:B$360,2,0)</f>
        <v>100</v>
      </c>
      <c r="AC51" s="247" t="n">
        <f aca="false">VLOOKUP(B51,[27]Sheet1!A$6:B$360,2,0)</f>
        <v>100</v>
      </c>
      <c r="AD51" s="263" t="n">
        <f aca="false">VLOOKUP(B51,[28]Sheet1!A$6:B$360,2,0)</f>
        <v>100</v>
      </c>
      <c r="AE51" s="259" t="n">
        <f aca="false">VLOOKUP(B51,[29]Sheet1!A$6:B$360,2,0)</f>
        <v>100</v>
      </c>
      <c r="AF51" s="247" t="n">
        <f aca="false">VLOOKUP(B51,[30]Sheet1!A$6:B$360,2,0)</f>
        <v>100</v>
      </c>
      <c r="AG51" s="247" t="n">
        <f aca="false">VLOOKUP(B51,[31]Sheet1!A$6:B$360,2,0)</f>
        <v>100</v>
      </c>
      <c r="AH51" s="247" t="n">
        <f aca="false">VLOOKUP(B51,[32]Sheet1!A$6:B$360,2,0)</f>
        <v>100</v>
      </c>
      <c r="AI51" s="247" t="n">
        <f aca="false">VLOOKUP(B51,[33]Sheet1!A$6:B$360,2,0)</f>
        <v>100</v>
      </c>
      <c r="AJ51" s="263" t="n">
        <f aca="false">VLOOKUP(B51,[34]Sheet1!A$6:B$360,2,0)</f>
        <v>100</v>
      </c>
      <c r="AK51" s="259" t="n">
        <f aca="false">VLOOKUP(B51,[35]Sheet1!A$6:B$360,2,0)</f>
        <v>77</v>
      </c>
      <c r="AL51" s="247" t="n">
        <f aca="false">VLOOKUP(B51,[36]Sheet1!A$6:B$360,2,0)</f>
        <v>77</v>
      </c>
      <c r="AM51" s="247" t="n">
        <f aca="false">VLOOKUP(B51,[37]Sheet1!A$6:B$360,2,0)</f>
        <v>77</v>
      </c>
      <c r="AN51" s="247" t="n">
        <f aca="false">VLOOKUP(B51,[38]Sheet1!A$6:B$360,2,0)</f>
        <v>77</v>
      </c>
      <c r="AO51" s="263" t="n">
        <f aca="false">VLOOKUP(B51,[39]Sheet1!A$6:B$360,2,0)</f>
        <v>77</v>
      </c>
      <c r="AP51" s="259" t="n">
        <f aca="false">VLOOKUP(B51,[40]Sheet1!A$6:B$360,2,0)</f>
        <v>77</v>
      </c>
      <c r="AQ51" s="247" t="n">
        <f aca="false">VLOOKUP(B51,[41]Sheet1!A$6:B$360,2,0)</f>
        <v>77</v>
      </c>
      <c r="AR51" s="247" t="n">
        <f aca="false">VLOOKUP(B51,[42]Sheet1!A$6:B$360,2,0)</f>
        <v>77</v>
      </c>
    </row>
    <row r="52" customFormat="false" ht="12.8" hidden="false" customHeight="false" outlineLevel="0" collapsed="false">
      <c r="A52" s="23" t="s">
        <v>311</v>
      </c>
      <c r="B52" s="258" t="s">
        <v>400</v>
      </c>
      <c r="C52" s="247" t="n">
        <f aca="false">VLOOKUP(B52,[1]Sheet1!A$1:B$1048576,2,0)</f>
        <v>17550</v>
      </c>
      <c r="D52" s="247" t="n">
        <f aca="false">VLOOKUP(B52,[2]Sheet1!A$6:B$360,2,0)</f>
        <v>16500</v>
      </c>
      <c r="E52" s="247" t="n">
        <f aca="false">VLOOKUP(B52,[3]Sheet1!A$6:B$360,2,0)</f>
        <v>16500</v>
      </c>
      <c r="F52" s="247" t="n">
        <f aca="false">VLOOKUP(B52,[4]Sheet1!A$6:B$360,2,0)</f>
        <v>16500</v>
      </c>
      <c r="G52" s="247" t="n">
        <f aca="false">VLOOKUP(B52,[5]Sheet1!A$6:B$360,2,0)</f>
        <v>16500</v>
      </c>
      <c r="H52" s="247" t="n">
        <f aca="false">VLOOKUP(B52,[6]Sheet1!A$6:B$360,2,0)</f>
        <v>16500</v>
      </c>
      <c r="I52" s="247" t="n">
        <f aca="false">VLOOKUP(B52,[7]Sheet1!A$6:B$360,2,0)</f>
        <v>16500</v>
      </c>
      <c r="J52" s="247" t="n">
        <f aca="false">VLOOKUP(B52,[8]Sheet1!A$6:B$360,2,0)</f>
        <v>16500</v>
      </c>
      <c r="K52" s="259" t="n">
        <f aca="false">VLOOKUP(B52,[9]Sheet1!A$6:B$360,2,0)</f>
        <v>16500</v>
      </c>
      <c r="L52" s="260" t="n">
        <f aca="false">VLOOKUP(B52,[10]Sheet1!A$1:B$1048576,2,0)</f>
        <v>16500</v>
      </c>
      <c r="M52" s="247" t="n">
        <f aca="false">VLOOKUP(B52,[11]Sheet1!A$6:B$360,2,0)</f>
        <v>16500</v>
      </c>
      <c r="N52" s="247" t="n">
        <f aca="false">VLOOKUP(B52,[12]Sheet1!A$6:B$360,2,0)</f>
        <v>16500</v>
      </c>
      <c r="O52" s="247" t="n">
        <f aca="false">VLOOKUP(B52,[13]Sheet1!A$6:B$360,2,0)</f>
        <v>16500</v>
      </c>
      <c r="P52" s="247" t="n">
        <f aca="false">VLOOKUP(B52,[14]Sheet1!A$6:B$360,2,0)</f>
        <v>16500</v>
      </c>
      <c r="Q52" s="261" t="n">
        <f aca="false">VLOOKUP(B52,[15]Sheet1!A$6:B$360,2,0)</f>
        <v>16500</v>
      </c>
      <c r="R52" s="259" t="n">
        <f aca="false">VLOOKUP(B52,[16]Sheet1!A$6:B$360,2,0)</f>
        <v>16500</v>
      </c>
      <c r="S52" s="247" t="n">
        <f aca="false">VLOOKUP(B52,[17]Sheet1!A$6:B$360,2,0)</f>
        <v>16500</v>
      </c>
      <c r="T52" s="247" t="n">
        <f aca="false">VLOOKUP(B52,[18]Sheet1!A$6:B$360,2,0)</f>
        <v>16500</v>
      </c>
      <c r="U52" s="247" t="n">
        <f aca="false">VLOOKUP(B52,[19]Sheet1!A$6:B$360,2,0)</f>
        <v>16464</v>
      </c>
      <c r="V52" s="247" t="n">
        <f aca="false">VLOOKUP(B52,[20]Sheet1!A$6:B$360,2,0)</f>
        <v>15000</v>
      </c>
      <c r="W52" s="247" t="n">
        <f aca="false">VLOOKUP(B52,[21]Sheet1!A$6:B$360,2,0)</f>
        <v>15000</v>
      </c>
      <c r="X52" s="247" t="n">
        <f aca="false">VLOOKUP(B52,[22]Sheet1!A$6:B$360,2,0)</f>
        <v>15000</v>
      </c>
      <c r="Y52" s="263" t="n">
        <f aca="false">VLOOKUP(B52,[23]Sheet1!A$6:B$360,2,0)</f>
        <v>15000</v>
      </c>
      <c r="Z52" s="259" t="n">
        <f aca="false">VLOOKUP(B52,[24]Sheet1!A$6:B$360,2,0)</f>
        <v>13600</v>
      </c>
      <c r="AA52" s="247" t="n">
        <f aca="false">VLOOKUP(B52,[25]Sheet1!A$6:B$360,2,0)</f>
        <v>14500</v>
      </c>
      <c r="AB52" s="247" t="n">
        <f aca="false">VLOOKUP(B52,[26]Sheet1!A$6:B$360,2,0)</f>
        <v>14000</v>
      </c>
      <c r="AC52" s="247" t="n">
        <f aca="false">VLOOKUP(B52,[27]Sheet1!A$6:B$360,2,0)</f>
        <v>14000</v>
      </c>
      <c r="AD52" s="263" t="n">
        <f aca="false">VLOOKUP(B52,[28]Sheet1!A$6:B$360,2,0)</f>
        <v>14000</v>
      </c>
      <c r="AE52" s="259" t="n">
        <f aca="false">VLOOKUP(B52,[29]Sheet1!A$6:B$360,2,0)</f>
        <v>14000</v>
      </c>
      <c r="AF52" s="247" t="n">
        <f aca="false">VLOOKUP(B52,[30]Sheet1!A$6:B$360,2,0)</f>
        <v>14000</v>
      </c>
      <c r="AG52" s="247" t="n">
        <f aca="false">VLOOKUP(B52,[31]Sheet1!A$6:B$360,2,0)</f>
        <v>14000</v>
      </c>
      <c r="AH52" s="247" t="n">
        <f aca="false">VLOOKUP(B52,[32]Sheet1!A$6:B$360,2,0)</f>
        <v>12730</v>
      </c>
      <c r="AI52" s="247" t="n">
        <f aca="false">VLOOKUP(B52,[33]Sheet1!A$6:B$360,2,0)</f>
        <v>11879</v>
      </c>
      <c r="AJ52" s="263" t="n">
        <f aca="false">VLOOKUP(B52,[34]Sheet1!A$6:B$360,2,0)</f>
        <v>12000</v>
      </c>
      <c r="AK52" s="259" t="n">
        <f aca="false">VLOOKUP(B52,[35]Sheet1!A$6:B$360,2,0)</f>
        <v>12300</v>
      </c>
      <c r="AL52" s="247" t="n">
        <f aca="false">VLOOKUP(B52,[36]Sheet1!A$6:B$360,2,0)</f>
        <v>12440</v>
      </c>
      <c r="AM52" s="247" t="n">
        <f aca="false">VLOOKUP(B52,[37]Sheet1!A$6:B$360,2,0)</f>
        <v>11000</v>
      </c>
      <c r="AN52" s="247" t="n">
        <f aca="false">VLOOKUP(B52,[38]Sheet1!A$6:B$360,2,0)</f>
        <v>10000</v>
      </c>
      <c r="AO52" s="263" t="e">
        <f aca="false">VLOOKUP(B52,[39]Sheet1!A$6:B$360,2,0)</f>
        <v>#N/A</v>
      </c>
      <c r="AP52" s="259" t="e">
        <f aca="false">VLOOKUP(B52,[40]Sheet1!A$6:B$360,2,0)</f>
        <v>#N/A</v>
      </c>
      <c r="AQ52" s="247" t="e">
        <f aca="false">VLOOKUP(B52,[41]Sheet1!A$6:B$360,2,0)</f>
        <v>#N/A</v>
      </c>
      <c r="AR52" s="247" t="e">
        <f aca="false">VLOOKUP(B52,[42]Sheet1!A$6:B$360,2,0)</f>
        <v>#N/A</v>
      </c>
    </row>
    <row r="53" customFormat="false" ht="12.8" hidden="false" customHeight="false" outlineLevel="0" collapsed="false">
      <c r="A53" s="23" t="s">
        <v>312</v>
      </c>
      <c r="B53" s="258" t="s">
        <v>401</v>
      </c>
      <c r="C53" s="247" t="n">
        <f aca="false">VLOOKUP(B53,[1]Sheet1!A$1:B$1048576,2,0)</f>
        <v>2619</v>
      </c>
      <c r="D53" s="247" t="n">
        <f aca="false">VLOOKUP(B53,[2]Sheet1!A$6:B$360,2,0)</f>
        <v>2619</v>
      </c>
      <c r="E53" s="247" t="n">
        <f aca="false">VLOOKUP(B53,[3]Sheet1!A$6:B$360,2,0)</f>
        <v>2619</v>
      </c>
      <c r="F53" s="247" t="n">
        <f aca="false">VLOOKUP(B53,[4]Sheet1!A$6:B$360,2,0)</f>
        <v>2619</v>
      </c>
      <c r="G53" s="247" t="n">
        <f aca="false">VLOOKUP(B53,[5]Sheet1!A$6:B$360,2,0)</f>
        <v>2619</v>
      </c>
      <c r="H53" s="247" t="n">
        <f aca="false">VLOOKUP(B53,[6]Sheet1!A$6:B$360,2,0)</f>
        <v>2619</v>
      </c>
      <c r="I53" s="247" t="n">
        <f aca="false">VLOOKUP(B53,[7]Sheet1!A$6:B$360,2,0)</f>
        <v>2619</v>
      </c>
      <c r="J53" s="247" t="n">
        <f aca="false">VLOOKUP(B53,[8]Sheet1!A$6:B$360,2,0)</f>
        <v>2619</v>
      </c>
      <c r="K53" s="259" t="n">
        <f aca="false">VLOOKUP(B53,[9]Sheet1!A$6:B$360,2,0)</f>
        <v>2619</v>
      </c>
      <c r="L53" s="260" t="n">
        <f aca="false">VLOOKUP(B53,[10]Sheet1!A$1:B$1048576,2,0)</f>
        <v>2619</v>
      </c>
      <c r="M53" s="247" t="n">
        <f aca="false">VLOOKUP(B53,[11]Sheet1!A$6:B$360,2,0)</f>
        <v>2619</v>
      </c>
      <c r="N53" s="247" t="n">
        <f aca="false">VLOOKUP(B53,[12]Sheet1!A$6:B$360,2,0)</f>
        <v>2619</v>
      </c>
      <c r="O53" s="247" t="n">
        <f aca="false">VLOOKUP(B53,[13]Sheet1!A$6:B$360,2,0)</f>
        <v>2619</v>
      </c>
      <c r="P53" s="247" t="n">
        <f aca="false">VLOOKUP(B53,[14]Sheet1!A$6:B$360,2,0)</f>
        <v>2619</v>
      </c>
      <c r="Q53" s="261" t="n">
        <f aca="false">VLOOKUP(B53,[15]Sheet1!A$6:B$360,2,0)</f>
        <v>2619</v>
      </c>
      <c r="R53" s="259" t="n">
        <f aca="false">VLOOKUP(B53,[16]Sheet1!A$6:B$360,2,0)</f>
        <v>2619</v>
      </c>
      <c r="S53" s="247" t="n">
        <f aca="false">VLOOKUP(B53,[17]Sheet1!A$6:B$360,2,0)</f>
        <v>2400</v>
      </c>
      <c r="T53" s="247" t="n">
        <f aca="false">VLOOKUP(B53,[18]Sheet1!A$6:B$360,2,0)</f>
        <v>2472</v>
      </c>
      <c r="U53" s="247" t="n">
        <f aca="false">VLOOKUP(B53,[19]Sheet1!A$6:B$360,2,0)</f>
        <v>2472</v>
      </c>
      <c r="V53" s="247" t="n">
        <f aca="false">VLOOKUP(B53,[20]Sheet1!A$6:B$360,2,0)</f>
        <v>2400</v>
      </c>
      <c r="W53" s="247" t="n">
        <f aca="false">VLOOKUP(B53,[21]Sheet1!A$6:B$360,2,0)</f>
        <v>2400</v>
      </c>
      <c r="X53" s="247" t="n">
        <f aca="false">VLOOKUP(B53,[22]Sheet1!A$6:B$360,2,0)</f>
        <v>2400</v>
      </c>
      <c r="Y53" s="263" t="n">
        <f aca="false">VLOOKUP(B53,[23]Sheet1!A$6:B$360,2,0)</f>
        <v>2400</v>
      </c>
      <c r="Z53" s="259" t="n">
        <f aca="false">VLOOKUP(B53,[24]Sheet1!A$6:B$360,2,0)</f>
        <v>2400</v>
      </c>
      <c r="AA53" s="247" t="n">
        <f aca="false">VLOOKUP(B53,[25]Sheet1!A$6:B$360,2,0)</f>
        <v>2400</v>
      </c>
      <c r="AB53" s="247" t="n">
        <f aca="false">VLOOKUP(B53,[26]Sheet1!A$6:B$360,2,0)</f>
        <v>2400</v>
      </c>
      <c r="AC53" s="247" t="n">
        <f aca="false">VLOOKUP(B53,[27]Sheet1!A$6:B$360,2,0)</f>
        <v>2400</v>
      </c>
      <c r="AD53" s="263" t="n">
        <f aca="false">VLOOKUP(B53,[28]Sheet1!A$6:B$360,2,0)</f>
        <v>2400</v>
      </c>
      <c r="AE53" s="259" t="n">
        <f aca="false">VLOOKUP(B53,[29]Sheet1!A$6:B$360,2,0)</f>
        <v>2400</v>
      </c>
      <c r="AF53" s="247" t="n">
        <f aca="false">VLOOKUP(B53,[30]Sheet1!A$6:B$360,2,0)</f>
        <v>2400</v>
      </c>
      <c r="AG53" s="247" t="n">
        <f aca="false">VLOOKUP(B53,[31]Sheet1!A$6:B$360,2,0)</f>
        <v>2400</v>
      </c>
      <c r="AH53" s="247" t="n">
        <f aca="false">VLOOKUP(B53,[32]Sheet1!A$6:B$360,2,0)</f>
        <v>2400</v>
      </c>
      <c r="AI53" s="247" t="n">
        <f aca="false">VLOOKUP(B53,[33]Sheet1!A$6:B$360,2,0)</f>
        <v>2400</v>
      </c>
      <c r="AJ53" s="263" t="n">
        <f aca="false">VLOOKUP(B53,[34]Sheet1!A$6:B$360,2,0)</f>
        <v>2400</v>
      </c>
      <c r="AK53" s="259" t="n">
        <f aca="false">VLOOKUP(B53,[35]Sheet1!A$6:B$360,2,0)</f>
        <v>2400</v>
      </c>
      <c r="AL53" s="247" t="n">
        <f aca="false">VLOOKUP(B53,[36]Sheet1!A$6:B$360,2,0)</f>
        <v>2400</v>
      </c>
      <c r="AM53" s="247" t="n">
        <f aca="false">VLOOKUP(B53,[37]Sheet1!A$6:B$360,2,0)</f>
        <v>2400</v>
      </c>
      <c r="AN53" s="247" t="n">
        <f aca="false">VLOOKUP(B53,[38]Sheet1!A$6:B$360,2,0)</f>
        <v>2400</v>
      </c>
      <c r="AO53" s="263" t="n">
        <f aca="false">VLOOKUP(B53,[39]Sheet1!A$6:B$360,2,0)</f>
        <v>2400</v>
      </c>
      <c r="AP53" s="259" t="n">
        <f aca="false">VLOOKUP(B53,[40]Sheet1!A$6:B$360,2,0)</f>
        <v>2400</v>
      </c>
      <c r="AQ53" s="247" t="n">
        <f aca="false">VLOOKUP(B53,[41]Sheet1!A$6:B$360,2,0)</f>
        <v>2400</v>
      </c>
      <c r="AR53" s="247" t="n">
        <f aca="false">VLOOKUP(B53,[42]Sheet1!A$6:B$360,2,0)</f>
        <v>2400</v>
      </c>
    </row>
    <row r="54" customFormat="false" ht="12.8" hidden="false" customHeight="false" outlineLevel="0" collapsed="false">
      <c r="A54" s="23" t="s">
        <v>190</v>
      </c>
      <c r="B54" s="258" t="s">
        <v>402</v>
      </c>
      <c r="C54" s="247" t="n">
        <f aca="false">VLOOKUP(B54,[1]Sheet1!A$1:B$1048576,2,0)</f>
        <v>34490</v>
      </c>
      <c r="D54" s="247" t="n">
        <f aca="false">VLOOKUP(B54,[2]Sheet1!A$6:B$360,2,0)</f>
        <v>34500</v>
      </c>
      <c r="E54" s="247" t="n">
        <f aca="false">VLOOKUP(B54,[3]Sheet1!A$6:B$360,2,0)</f>
        <v>34500</v>
      </c>
      <c r="F54" s="247" t="n">
        <f aca="false">VLOOKUP(B54,[4]Sheet1!A$6:B$360,2,0)</f>
        <v>34500</v>
      </c>
      <c r="G54" s="247" t="n">
        <f aca="false">VLOOKUP(B54,[5]Sheet1!A$6:B$360,2,0)</f>
        <v>34500</v>
      </c>
      <c r="H54" s="247" t="n">
        <f aca="false">VLOOKUP(B54,[6]Sheet1!A$6:B$360,2,0)</f>
        <v>34300</v>
      </c>
      <c r="I54" s="247" t="n">
        <f aca="false">VLOOKUP(B54,[7]Sheet1!A$6:B$360,2,0)</f>
        <v>33301</v>
      </c>
      <c r="J54" s="247" t="n">
        <f aca="false">VLOOKUP(B54,[8]Sheet1!A$6:B$360,2,0)</f>
        <v>33301</v>
      </c>
      <c r="K54" s="259" t="n">
        <f aca="false">VLOOKUP(B54,[9]Sheet1!A$6:B$360,2,0)</f>
        <v>30101</v>
      </c>
      <c r="L54" s="260" t="n">
        <f aca="false">VLOOKUP(B54,[10]Sheet1!A$1:B$1048576,2,0)</f>
        <v>30101</v>
      </c>
      <c r="M54" s="247" t="n">
        <f aca="false">VLOOKUP(B54,[11]Sheet1!A$6:B$360,2,0)</f>
        <v>30101</v>
      </c>
      <c r="N54" s="247" t="n">
        <f aca="false">VLOOKUP(B54,[12]Sheet1!A$6:B$360,2,0)</f>
        <v>30101</v>
      </c>
      <c r="O54" s="247" t="n">
        <f aca="false">VLOOKUP(B54,[13]Sheet1!A$6:B$360,2,0)</f>
        <v>30101</v>
      </c>
      <c r="P54" s="247" t="n">
        <f aca="false">VLOOKUP(B54,[14]Sheet1!A$6:B$360,2,0)</f>
        <v>30000</v>
      </c>
      <c r="Q54" s="261" t="n">
        <f aca="false">VLOOKUP(B54,[15]Sheet1!A$6:B$360,2,0)</f>
        <v>32000</v>
      </c>
      <c r="R54" s="259" t="n">
        <f aca="false">VLOOKUP(B54,[16]Sheet1!A$6:B$360,2,0)</f>
        <v>32000</v>
      </c>
      <c r="S54" s="247" t="n">
        <f aca="false">VLOOKUP(B54,[17]Sheet1!A$6:B$360,2,0)</f>
        <v>32998</v>
      </c>
      <c r="T54" s="247" t="n">
        <f aca="false">VLOOKUP(B54,[18]Sheet1!A$6:B$360,2,0)</f>
        <v>33000</v>
      </c>
      <c r="U54" s="247" t="n">
        <f aca="false">VLOOKUP(B54,[19]Sheet1!A$6:B$360,2,0)</f>
        <v>33000</v>
      </c>
      <c r="V54" s="247" t="n">
        <f aca="false">VLOOKUP(B54,[20]Sheet1!A$6:B$360,2,0)</f>
        <v>33000</v>
      </c>
      <c r="W54" s="247" t="n">
        <f aca="false">VLOOKUP(B54,[21]Sheet1!A$6:B$360,2,0)</f>
        <v>37000</v>
      </c>
      <c r="X54" s="247" t="n">
        <f aca="false">VLOOKUP(B54,[22]Sheet1!A$6:B$360,2,0)</f>
        <v>37000</v>
      </c>
      <c r="Y54" s="263" t="n">
        <f aca="false">VLOOKUP(B54,[23]Sheet1!A$6:B$360,2,0)</f>
        <v>37000</v>
      </c>
      <c r="Z54" s="259" t="n">
        <f aca="false">VLOOKUP(B54,[24]Sheet1!A$6:B$360,2,0)</f>
        <v>36990</v>
      </c>
      <c r="AA54" s="247" t="n">
        <f aca="false">VLOOKUP(B54,[25]Sheet1!A$6:B$360,2,0)</f>
        <v>37898</v>
      </c>
      <c r="AB54" s="247" t="n">
        <f aca="false">VLOOKUP(B54,[26]Sheet1!A$6:B$360,2,0)</f>
        <v>34501</v>
      </c>
      <c r="AC54" s="247" t="n">
        <f aca="false">VLOOKUP(B54,[27]Sheet1!A$6:B$360,2,0)</f>
        <v>34500</v>
      </c>
      <c r="AD54" s="263" t="n">
        <f aca="false">VLOOKUP(B54,[28]Sheet1!A$6:B$360,2,0)</f>
        <v>34500</v>
      </c>
      <c r="AE54" s="259" t="n">
        <f aca="false">VLOOKUP(B54,[29]Sheet1!A$6:B$360,2,0)</f>
        <v>33000</v>
      </c>
      <c r="AF54" s="247" t="n">
        <f aca="false">VLOOKUP(B54,[30]Sheet1!A$6:B$360,2,0)</f>
        <v>32445</v>
      </c>
      <c r="AG54" s="247" t="n">
        <f aca="false">VLOOKUP(B54,[31]Sheet1!A$6:B$360,2,0)</f>
        <v>32445</v>
      </c>
      <c r="AH54" s="247" t="n">
        <f aca="false">VLOOKUP(B54,[32]Sheet1!A$6:B$360,2,0)</f>
        <v>31500</v>
      </c>
      <c r="AI54" s="247" t="n">
        <f aca="false">VLOOKUP(B54,[33]Sheet1!A$6:B$360,2,0)</f>
        <v>37830</v>
      </c>
      <c r="AJ54" s="263" t="n">
        <f aca="false">VLOOKUP(B54,[34]Sheet1!A$6:B$360,2,0)</f>
        <v>37830</v>
      </c>
      <c r="AK54" s="259" t="n">
        <f aca="false">VLOOKUP(B54,[35]Sheet1!A$6:B$360,2,0)</f>
        <v>41000</v>
      </c>
      <c r="AL54" s="247" t="n">
        <f aca="false">VLOOKUP(B54,[36]Sheet1!A$6:B$360,2,0)</f>
        <v>39500</v>
      </c>
      <c r="AM54" s="247" t="n">
        <f aca="false">VLOOKUP(B54,[37]Sheet1!A$6:B$360,2,0)</f>
        <v>39500</v>
      </c>
      <c r="AN54" s="247" t="n">
        <f aca="false">VLOOKUP(B54,[38]Sheet1!A$6:B$360,2,0)</f>
        <v>41102</v>
      </c>
      <c r="AO54" s="263" t="n">
        <f aca="false">VLOOKUP(B54,[39]Sheet1!A$6:B$360,2,0)</f>
        <v>44500</v>
      </c>
      <c r="AP54" s="259" t="n">
        <f aca="false">VLOOKUP(B54,[40]Sheet1!A$6:B$360,2,0)</f>
        <v>46020</v>
      </c>
      <c r="AQ54" s="247" t="n">
        <f aca="false">VLOOKUP(B54,[41]Sheet1!A$6:B$360,2,0)</f>
        <v>46500</v>
      </c>
      <c r="AR54" s="247" t="n">
        <f aca="false">VLOOKUP(B54,[42]Sheet1!A$6:B$360,2,0)</f>
        <v>44500</v>
      </c>
    </row>
    <row r="55" customFormat="false" ht="12.8" hidden="false" customHeight="false" outlineLevel="0" collapsed="false">
      <c r="A55" s="23" t="s">
        <v>198</v>
      </c>
      <c r="B55" s="258" t="s">
        <v>403</v>
      </c>
      <c r="C55" s="247" t="n">
        <f aca="false">VLOOKUP(B55,[1]Sheet1!A$1:B$1048576,2,0)</f>
        <v>2000</v>
      </c>
      <c r="D55" s="247" t="n">
        <f aca="false">VLOOKUP(B55,[2]Sheet1!A$6:B$360,2,0)</f>
        <v>2000</v>
      </c>
      <c r="E55" s="247" t="n">
        <f aca="false">VLOOKUP(B55,[3]Sheet1!A$6:B$360,2,0)</f>
        <v>2000</v>
      </c>
      <c r="F55" s="247" t="n">
        <f aca="false">VLOOKUP(B55,[4]Sheet1!A$6:B$360,2,0)</f>
        <v>2000</v>
      </c>
      <c r="G55" s="247" t="n">
        <f aca="false">VLOOKUP(B55,[5]Sheet1!A$6:B$360,2,0)</f>
        <v>2000</v>
      </c>
      <c r="H55" s="247" t="n">
        <f aca="false">VLOOKUP(B55,[6]Sheet1!A$6:B$360,2,0)</f>
        <v>2000</v>
      </c>
      <c r="I55" s="247" t="n">
        <f aca="false">VLOOKUP(B55,[7]Sheet1!A$6:B$360,2,0)</f>
        <v>2000</v>
      </c>
      <c r="J55" s="247" t="n">
        <f aca="false">VLOOKUP(B55,[8]Sheet1!A$6:B$360,2,0)</f>
        <v>2000</v>
      </c>
      <c r="K55" s="259" t="n">
        <f aca="false">VLOOKUP(B55,[9]Sheet1!A$6:B$360,2,0)</f>
        <v>1400</v>
      </c>
      <c r="L55" s="260" t="n">
        <f aca="false">VLOOKUP(B55,[10]Sheet1!A$1:B$1048576,2,0)</f>
        <v>2000</v>
      </c>
      <c r="M55" s="247" t="n">
        <f aca="false">VLOOKUP(B55,[11]Sheet1!A$6:B$360,2,0)</f>
        <v>2000</v>
      </c>
      <c r="N55" s="247" t="n">
        <f aca="false">VLOOKUP(B55,[12]Sheet1!A$6:B$360,2,0)</f>
        <v>2000</v>
      </c>
      <c r="O55" s="247" t="n">
        <f aca="false">VLOOKUP(B55,[13]Sheet1!A$6:B$360,2,0)</f>
        <v>2000</v>
      </c>
      <c r="P55" s="247" t="n">
        <f aca="false">VLOOKUP(B55,[14]Sheet1!A$6:B$360,2,0)</f>
        <v>2000</v>
      </c>
      <c r="Q55" s="261" t="n">
        <f aca="false">VLOOKUP(B55,[15]Sheet1!A$6:B$360,2,0)</f>
        <v>2100</v>
      </c>
      <c r="R55" s="259" t="n">
        <f aca="false">VLOOKUP(B55,[16]Sheet1!A$6:B$360,2,0)</f>
        <v>2100</v>
      </c>
      <c r="S55" s="247" t="n">
        <f aca="false">VLOOKUP(B55,[17]Sheet1!A$6:B$360,2,0)</f>
        <v>2100</v>
      </c>
      <c r="T55" s="247" t="n">
        <f aca="false">VLOOKUP(B55,[18]Sheet1!A$6:B$360,2,0)</f>
        <v>2100</v>
      </c>
      <c r="U55" s="247" t="n">
        <f aca="false">VLOOKUP(B55,[19]Sheet1!A$6:B$360,2,0)</f>
        <v>2150</v>
      </c>
      <c r="V55" s="247" t="n">
        <f aca="false">VLOOKUP(B55,[20]Sheet1!A$6:B$360,2,0)</f>
        <v>2150</v>
      </c>
      <c r="W55" s="247" t="n">
        <f aca="false">VLOOKUP(B55,[21]Sheet1!A$6:B$360,2,0)</f>
        <v>2150</v>
      </c>
      <c r="X55" s="247" t="n">
        <f aca="false">VLOOKUP(B55,[22]Sheet1!A$6:B$360,2,0)</f>
        <v>2150</v>
      </c>
      <c r="Y55" s="263" t="n">
        <f aca="false">VLOOKUP(B55,[23]Sheet1!A$6:B$360,2,0)</f>
        <v>2150</v>
      </c>
      <c r="Z55" s="259" t="n">
        <f aca="false">VLOOKUP(B55,[24]Sheet1!A$6:B$360,2,0)</f>
        <v>2000</v>
      </c>
      <c r="AA55" s="247" t="n">
        <f aca="false">VLOOKUP(B55,[25]Sheet1!A$6:B$360,2,0)</f>
        <v>2000</v>
      </c>
      <c r="AB55" s="247" t="n">
        <f aca="false">VLOOKUP(B55,[26]Sheet1!A$6:B$360,2,0)</f>
        <v>2001</v>
      </c>
      <c r="AC55" s="247" t="n">
        <f aca="false">VLOOKUP(B55,[27]Sheet1!A$6:B$360,2,0)</f>
        <v>2001</v>
      </c>
      <c r="AD55" s="263" t="n">
        <f aca="false">VLOOKUP(B55,[28]Sheet1!A$6:B$360,2,0)</f>
        <v>2001</v>
      </c>
      <c r="AE55" s="259" t="n">
        <f aca="false">VLOOKUP(B55,[29]Sheet1!A$6:B$360,2,0)</f>
        <v>1900</v>
      </c>
      <c r="AF55" s="247" t="n">
        <f aca="false">VLOOKUP(B55,[30]Sheet1!A$6:B$360,2,0)</f>
        <v>1801</v>
      </c>
      <c r="AG55" s="247" t="n">
        <f aca="false">VLOOKUP(B55,[31]Sheet1!A$6:B$360,2,0)</f>
        <v>1801</v>
      </c>
      <c r="AH55" s="247" t="n">
        <f aca="false">VLOOKUP(B55,[32]Sheet1!A$6:B$360,2,0)</f>
        <v>1801</v>
      </c>
      <c r="AI55" s="247" t="n">
        <f aca="false">VLOOKUP(B55,[33]Sheet1!A$6:B$360,2,0)</f>
        <v>1801</v>
      </c>
      <c r="AJ55" s="263" t="n">
        <f aca="false">VLOOKUP(B55,[34]Sheet1!A$6:B$360,2,0)</f>
        <v>1801</v>
      </c>
      <c r="AK55" s="259" t="n">
        <f aca="false">VLOOKUP(B55,[35]Sheet1!A$6:B$360,2,0)</f>
        <v>1801</v>
      </c>
      <c r="AL55" s="247" t="n">
        <f aca="false">VLOOKUP(B55,[36]Sheet1!A$6:B$360,2,0)</f>
        <v>1801</v>
      </c>
      <c r="AM55" s="247" t="n">
        <f aca="false">VLOOKUP(B55,[37]Sheet1!A$6:B$360,2,0)</f>
        <v>1801</v>
      </c>
      <c r="AN55" s="247" t="n">
        <f aca="false">VLOOKUP(B55,[38]Sheet1!A$6:B$360,2,0)</f>
        <v>1801</v>
      </c>
      <c r="AO55" s="263" t="n">
        <f aca="false">VLOOKUP(B55,[39]Sheet1!A$6:B$360,2,0)</f>
        <v>1801</v>
      </c>
      <c r="AP55" s="259" t="n">
        <f aca="false">VLOOKUP(B55,[40]Sheet1!A$6:B$360,2,0)</f>
        <v>1801</v>
      </c>
      <c r="AQ55" s="247" t="n">
        <f aca="false">VLOOKUP(B55,[41]Sheet1!A$6:B$360,2,0)</f>
        <v>1700</v>
      </c>
      <c r="AR55" s="247" t="n">
        <f aca="false">VLOOKUP(B55,[42]Sheet1!A$6:B$360,2,0)</f>
        <v>1700</v>
      </c>
    </row>
    <row r="56" customFormat="false" ht="12.8" hidden="false" customHeight="false" outlineLevel="0" collapsed="false">
      <c r="A56" s="267" t="s">
        <v>29</v>
      </c>
      <c r="B56" s="268" t="s">
        <v>404</v>
      </c>
      <c r="C56" s="247" t="n">
        <f aca="false">VLOOKUP(B56,[1]Sheet1!A$1:B$1048576,2,0)*10</f>
        <v>149728.8</v>
      </c>
      <c r="D56" s="247" t="n">
        <f aca="false">VLOOKUP(B56,[2]Sheet1!A$6:B$360,2,0)*10</f>
        <v>142865</v>
      </c>
      <c r="E56" s="247" t="n">
        <f aca="false">VLOOKUP(B56,[3]Sheet1!A$6:B$360,2,0)*10</f>
        <v>142865</v>
      </c>
      <c r="F56" s="247" t="n">
        <f aca="false">VLOOKUP(B56,[4]Sheet1!A$6:B$360,2,0)*10</f>
        <v>148624.5</v>
      </c>
      <c r="G56" s="247" t="n">
        <f aca="false">VLOOKUP(B56,[5]Sheet1!A$6:B$360,2,0)</f>
        <v>116000</v>
      </c>
      <c r="H56" s="247" t="n">
        <f aca="false">VLOOKUP(B56,[6]Sheet1!A$6:B$360,2,0)</f>
        <v>109000</v>
      </c>
      <c r="I56" s="247" t="n">
        <f aca="false">VLOOKUP(B56,[7]Sheet1!A$6:B$360,2,0)</f>
        <v>103581.12</v>
      </c>
      <c r="J56" s="247" t="n">
        <f aca="false">VLOOKUP(B56,[8]Sheet1!A$6:B$360,2,0)</f>
        <v>98590.91</v>
      </c>
      <c r="K56" s="259" t="n">
        <f aca="false">VLOOKUP(B56,[9]Sheet1!A$6:B$360,2,0)</f>
        <v>93000</v>
      </c>
      <c r="L56" s="260" t="n">
        <f aca="false">VLOOKUP(B56,[10]Sheet1!A$1:B$1048576,2,0)</f>
        <v>87000</v>
      </c>
      <c r="M56" s="247" t="n">
        <f aca="false">VLOOKUP(B56,[11]Sheet1!A$6:B$360,2,0)</f>
        <v>85000</v>
      </c>
      <c r="N56" s="247" t="n">
        <f aca="false">VLOOKUP(B56,[12]Sheet1!A$6:B$360,2,0)</f>
        <v>85000</v>
      </c>
      <c r="O56" s="247" t="n">
        <f aca="false">VLOOKUP(B56,[13]Sheet1!A$6:B$360,2,0)</f>
        <v>80000</v>
      </c>
      <c r="P56" s="247" t="n">
        <f aca="false">VLOOKUP(B56,[14]Sheet1!A$6:B$360,2,0)</f>
        <v>79970.14</v>
      </c>
      <c r="Q56" s="261" t="n">
        <f aca="false">VLOOKUP(B56,[15]Sheet1!A$6:B$360,2,0)</f>
        <v>82000</v>
      </c>
      <c r="R56" s="259" t="n">
        <f aca="false">VLOOKUP(B56,[16]Sheet1!A$6:B$360,2,0)</f>
        <v>87550</v>
      </c>
      <c r="S56" s="247" t="n">
        <f aca="false">VLOOKUP(B56,[17]Sheet1!A$6:B$360,2,0)</f>
        <v>91000</v>
      </c>
      <c r="T56" s="247" t="n">
        <f aca="false">VLOOKUP(B56,[18]Sheet1!A$6:B$360,2,0)</f>
        <v>91000</v>
      </c>
      <c r="U56" s="247" t="n">
        <f aca="false">VLOOKUP(B56,[19]Sheet1!A$6:B$360,2,0)</f>
        <v>86010</v>
      </c>
      <c r="V56" s="247" t="n">
        <f aca="false">VLOOKUP(B56,[20]Sheet1!A$6:B$360,2,0)</f>
        <v>83005</v>
      </c>
      <c r="W56" s="247" t="n">
        <f aca="false">VLOOKUP(B56,[21]Sheet1!A$6:B$360,2,0)</f>
        <v>92001</v>
      </c>
      <c r="X56" s="247" t="n">
        <f aca="false">VLOOKUP(B56,[22]Sheet1!A$6:B$360,2,0)</f>
        <v>92001</v>
      </c>
      <c r="Y56" s="263" t="n">
        <f aca="false">VLOOKUP(B56,[23]Sheet1!A$6:B$360,2,0)</f>
        <v>92001</v>
      </c>
      <c r="Z56" s="259" t="n">
        <f aca="false">VLOOKUP(B56,[24]Sheet1!A$6:B$360,2,0)</f>
        <v>101850</v>
      </c>
      <c r="AA56" s="247" t="n">
        <f aca="false">VLOOKUP(B56,[25]Sheet1!A$6:B$360,2,0)</f>
        <v>106000</v>
      </c>
      <c r="AB56" s="247" t="n">
        <f aca="false">VLOOKUP(B56,[26]Sheet1!A$6:B$360,2,0)</f>
        <v>104333.33</v>
      </c>
      <c r="AC56" s="247" t="n">
        <f aca="false">VLOOKUP(B56,[27]Sheet1!A$6:B$360,2,0)</f>
        <v>108000</v>
      </c>
      <c r="AD56" s="263" t="n">
        <f aca="false">VLOOKUP(B56,[28]Sheet1!A$6:B$360,2,0)</f>
        <v>99900</v>
      </c>
      <c r="AE56" s="259" t="n">
        <f aca="false">VLOOKUP(B56,[29]Sheet1!A$6:B$360,2,0)</f>
        <v>104000</v>
      </c>
      <c r="AF56" s="247" t="n">
        <f aca="false">VLOOKUP(B56,[30]Sheet1!A$6:B$360,2,0)</f>
        <v>89000</v>
      </c>
      <c r="AG56" s="247" t="n">
        <f aca="false">VLOOKUP(B56,[31]Sheet1!A$6:B$360,2,0)</f>
        <v>84777.78</v>
      </c>
      <c r="AH56" s="247" t="n">
        <f aca="false">VLOOKUP(B56,[32]Sheet1!A$6:B$360,2,0)</f>
        <v>81999.75</v>
      </c>
      <c r="AI56" s="247" t="n">
        <f aca="false">VLOOKUP(B56,[33]Sheet1!A$6:B$360,2,0)</f>
        <v>83500</v>
      </c>
      <c r="AJ56" s="263" t="n">
        <f aca="false">VLOOKUP(B56,[34]Sheet1!A$6:B$360,2,0)</f>
        <v>83000</v>
      </c>
      <c r="AK56" s="259" t="n">
        <f aca="false">VLOOKUP(B56,[35]Sheet1!A$6:B$360,2,0)</f>
        <v>76727.27</v>
      </c>
      <c r="AL56" s="247" t="n">
        <f aca="false">VLOOKUP(B56,[36]Sheet1!A$6:B$360,2,0)</f>
        <v>77510</v>
      </c>
      <c r="AM56" s="247" t="n">
        <f aca="false">VLOOKUP(B56,[37]Sheet1!A$6:B$360,2,0)</f>
        <v>77350</v>
      </c>
      <c r="AN56" s="247" t="n">
        <f aca="false">VLOOKUP(B56,[38]Sheet1!A$6:B$360,2,0)</f>
        <v>74000</v>
      </c>
      <c r="AO56" s="263" t="n">
        <f aca="false">VLOOKUP(B56,[39]Sheet1!A$6:B$360,2,0)</f>
        <v>76000</v>
      </c>
      <c r="AP56" s="259" t="n">
        <f aca="false">VLOOKUP(B56,[40]Sheet1!A$6:B$360,2,0)</f>
        <v>70040</v>
      </c>
      <c r="AQ56" s="247" t="n">
        <f aca="false">VLOOKUP(B56,[41]Sheet1!A$6:B$360,2,0)</f>
        <v>67000</v>
      </c>
      <c r="AR56" s="247" t="n">
        <f aca="false">VLOOKUP(B56,[42]Sheet1!A$6:B$360,2,0)</f>
        <v>65500</v>
      </c>
    </row>
    <row r="57" customFormat="false" ht="12.8" hidden="false" customHeight="false" outlineLevel="0" collapsed="false">
      <c r="A57" s="23" t="s">
        <v>313</v>
      </c>
      <c r="B57" s="258" t="s">
        <v>405</v>
      </c>
      <c r="C57" s="247" t="n">
        <f aca="false">VLOOKUP(B57,[1]Sheet1!A$1:B$1048576,2,0)</f>
        <v>50</v>
      </c>
      <c r="D57" s="247" t="n">
        <f aca="false">VLOOKUP(B57,[2]Sheet1!A$6:B$360,2,0)</f>
        <v>50</v>
      </c>
      <c r="E57" s="247" t="n">
        <f aca="false">VLOOKUP(B57,[3]Sheet1!A$6:B$360,2,0)</f>
        <v>50</v>
      </c>
      <c r="F57" s="247" t="n">
        <f aca="false">VLOOKUP(B57,[4]Sheet1!A$6:B$360,2,0)</f>
        <v>50</v>
      </c>
      <c r="G57" s="247" t="n">
        <f aca="false">VLOOKUP(B57,[5]Sheet1!A$6:B$360,2,0)</f>
        <v>50</v>
      </c>
      <c r="H57" s="247" t="n">
        <f aca="false">VLOOKUP(B57,[6]Sheet1!A$6:B$360,2,0)</f>
        <v>50</v>
      </c>
      <c r="I57" s="247" t="n">
        <f aca="false">VLOOKUP(B57,[7]Sheet1!A$6:B$360,2,0)</f>
        <v>50</v>
      </c>
      <c r="J57" s="247" t="n">
        <f aca="false">VLOOKUP(B57,[8]Sheet1!A$6:B$360,2,0)</f>
        <v>50</v>
      </c>
      <c r="K57" s="259" t="n">
        <f aca="false">VLOOKUP(B57,[9]Sheet1!A$6:B$360,2,0)</f>
        <v>50</v>
      </c>
      <c r="L57" s="260" t="n">
        <f aca="false">VLOOKUP(B57,[10]Sheet1!A$1:B$1048576,2,0)</f>
        <v>50</v>
      </c>
      <c r="M57" s="247" t="n">
        <f aca="false">VLOOKUP(B57,[11]Sheet1!A$6:B$360,2,0)</f>
        <v>50</v>
      </c>
      <c r="N57" s="247" t="n">
        <f aca="false">VLOOKUP(B57,[12]Sheet1!A$6:B$360,2,0)</f>
        <v>50</v>
      </c>
      <c r="O57" s="247" t="n">
        <f aca="false">VLOOKUP(B57,[13]Sheet1!A$6:B$360,2,0)</f>
        <v>50</v>
      </c>
      <c r="P57" s="247" t="n">
        <f aca="false">VLOOKUP(B57,[14]Sheet1!A$6:B$360,2,0)</f>
        <v>50</v>
      </c>
      <c r="Q57" s="261" t="n">
        <f aca="false">VLOOKUP(B57,[15]Sheet1!A$6:B$360,2,0)</f>
        <v>50</v>
      </c>
      <c r="R57" s="259" t="n">
        <f aca="false">VLOOKUP(B57,[16]Sheet1!A$6:B$360,2,0)</f>
        <v>50</v>
      </c>
      <c r="S57" s="247" t="n">
        <f aca="false">VLOOKUP(B57,[17]Sheet1!A$6:B$360,2,0)</f>
        <v>50</v>
      </c>
      <c r="T57" s="247" t="n">
        <f aca="false">VLOOKUP(B57,[18]Sheet1!A$6:B$360,2,0)</f>
        <v>50</v>
      </c>
      <c r="U57" s="247" t="n">
        <f aca="false">VLOOKUP(B57,[19]Sheet1!A$6:B$360,2,0)</f>
        <v>50</v>
      </c>
      <c r="V57" s="247" t="n">
        <f aca="false">VLOOKUP(B57,[20]Sheet1!A$6:B$360,2,0)</f>
        <v>50</v>
      </c>
      <c r="W57" s="247" t="n">
        <f aca="false">VLOOKUP(B57,[21]Sheet1!A$6:B$360,2,0)</f>
        <v>50</v>
      </c>
      <c r="X57" s="247" t="n">
        <f aca="false">VLOOKUP(B57,[22]Sheet1!A$6:B$360,2,0)</f>
        <v>50</v>
      </c>
      <c r="Y57" s="263" t="n">
        <f aca="false">VLOOKUP(B57,[23]Sheet1!A$6:B$360,2,0)</f>
        <v>50</v>
      </c>
      <c r="Z57" s="259" t="n">
        <f aca="false">VLOOKUP(B57,[24]Sheet1!A$6:B$360,2,0)</f>
        <v>50</v>
      </c>
      <c r="AA57" s="247" t="n">
        <f aca="false">VLOOKUP(B57,[25]Sheet1!A$6:B$360,2,0)</f>
        <v>50</v>
      </c>
      <c r="AB57" s="247" t="n">
        <f aca="false">VLOOKUP(B57,[26]Sheet1!A$6:B$360,2,0)</f>
        <v>50</v>
      </c>
      <c r="AC57" s="247" t="n">
        <f aca="false">VLOOKUP(B57,[27]Sheet1!A$6:B$360,2,0)</f>
        <v>50</v>
      </c>
      <c r="AD57" s="263" t="n">
        <f aca="false">VLOOKUP(B57,[28]Sheet1!A$6:B$360,2,0)</f>
        <v>50</v>
      </c>
      <c r="AE57" s="259" t="n">
        <f aca="false">VLOOKUP(B57,[29]Sheet1!A$6:B$360,2,0)</f>
        <v>70</v>
      </c>
      <c r="AF57" s="247" t="n">
        <f aca="false">VLOOKUP(B57,[30]Sheet1!A$6:B$360,2,0)</f>
        <v>68</v>
      </c>
      <c r="AG57" s="247" t="n">
        <f aca="false">VLOOKUP(B57,[31]Sheet1!A$6:B$360,2,0)</f>
        <v>68</v>
      </c>
      <c r="AH57" s="247" t="n">
        <f aca="false">VLOOKUP(B57,[32]Sheet1!A$6:B$360,2,0)</f>
        <v>68</v>
      </c>
      <c r="AI57" s="247" t="n">
        <f aca="false">VLOOKUP(B57,[33]Sheet1!A$6:B$360,2,0)</f>
        <v>48</v>
      </c>
      <c r="AJ57" s="263" t="n">
        <f aca="false">VLOOKUP(B57,[34]Sheet1!A$6:B$360,2,0)</f>
        <v>48</v>
      </c>
      <c r="AK57" s="259" t="n">
        <f aca="false">VLOOKUP(B57,[35]Sheet1!A$6:B$360,2,0)</f>
        <v>48</v>
      </c>
      <c r="AL57" s="247" t="n">
        <f aca="false">VLOOKUP(B57,[36]Sheet1!A$6:B$360,2,0)</f>
        <v>84</v>
      </c>
      <c r="AM57" s="247" t="n">
        <f aca="false">VLOOKUP(B57,[37]Sheet1!A$6:B$360,2,0)</f>
        <v>84</v>
      </c>
      <c r="AN57" s="247" t="n">
        <f aca="false">VLOOKUP(B57,[38]Sheet1!A$6:B$360,2,0)</f>
        <v>30</v>
      </c>
      <c r="AO57" s="263" t="n">
        <f aca="false">VLOOKUP(B57,[39]Sheet1!A$6:B$360,2,0)</f>
        <v>30</v>
      </c>
      <c r="AP57" s="259" t="n">
        <f aca="false">VLOOKUP(B57,[40]Sheet1!A$6:B$360,2,0)</f>
        <v>30</v>
      </c>
      <c r="AQ57" s="247" t="n">
        <f aca="false">VLOOKUP(B57,[41]Sheet1!A$6:B$360,2,0)</f>
        <v>30</v>
      </c>
      <c r="AR57" s="247" t="n">
        <f aca="false">VLOOKUP(B57,[42]Sheet1!A$6:B$360,2,0)</f>
        <v>30</v>
      </c>
    </row>
    <row r="58" customFormat="false" ht="12.8" hidden="false" customHeight="false" outlineLevel="0" collapsed="false">
      <c r="A58" s="23" t="s">
        <v>314</v>
      </c>
      <c r="B58" s="258" t="s">
        <v>406</v>
      </c>
      <c r="C58" s="247" t="n">
        <f aca="false">VLOOKUP(B58,[1]Sheet1!A$1:B$1048576,2,0)</f>
        <v>20</v>
      </c>
      <c r="D58" s="247" t="n">
        <f aca="false">VLOOKUP(B58,[2]Sheet1!A$6:B$360,2,0)</f>
        <v>20</v>
      </c>
      <c r="E58" s="247" t="n">
        <f aca="false">VLOOKUP(B58,[3]Sheet1!A$6:B$360,2,0)</f>
        <v>20</v>
      </c>
      <c r="F58" s="247" t="n">
        <f aca="false">VLOOKUP(B58,[4]Sheet1!A$6:B$360,2,0)</f>
        <v>20</v>
      </c>
      <c r="G58" s="247" t="n">
        <f aca="false">VLOOKUP(B58,[5]Sheet1!A$6:B$360,2,0)</f>
        <v>20</v>
      </c>
      <c r="H58" s="247" t="n">
        <f aca="false">VLOOKUP(B58,[6]Sheet1!A$6:B$360,2,0)</f>
        <v>20</v>
      </c>
      <c r="I58" s="247" t="n">
        <f aca="false">VLOOKUP(B58,[7]Sheet1!A$6:B$360,2,0)</f>
        <v>20</v>
      </c>
      <c r="J58" s="247" t="n">
        <f aca="false">VLOOKUP(B58,[8]Sheet1!A$6:B$360,2,0)</f>
        <v>20</v>
      </c>
      <c r="K58" s="259" t="n">
        <f aca="false">VLOOKUP(B58,[9]Sheet1!A$6:B$360,2,0)</f>
        <v>20</v>
      </c>
      <c r="L58" s="260" t="n">
        <f aca="false">VLOOKUP(B58,[10]Sheet1!A$1:B$1048576,2,0)</f>
        <v>20</v>
      </c>
      <c r="M58" s="247" t="n">
        <f aca="false">VLOOKUP(B58,[11]Sheet1!A$6:B$360,2,0)</f>
        <v>20</v>
      </c>
      <c r="N58" s="247" t="n">
        <f aca="false">VLOOKUP(B58,[12]Sheet1!A$6:B$360,2,0)</f>
        <v>20</v>
      </c>
      <c r="O58" s="247" t="n">
        <f aca="false">VLOOKUP(B58,[13]Sheet1!A$6:B$360,2,0)</f>
        <v>20</v>
      </c>
      <c r="P58" s="247" t="n">
        <f aca="false">VLOOKUP(B58,[14]Sheet1!A$6:B$360,2,0)</f>
        <v>20</v>
      </c>
      <c r="Q58" s="261" t="n">
        <f aca="false">VLOOKUP(B58,[15]Sheet1!A$6:B$360,2,0)</f>
        <v>20</v>
      </c>
      <c r="R58" s="259" t="n">
        <f aca="false">VLOOKUP(B58,[16]Sheet1!A$6:B$360,2,0)</f>
        <v>20</v>
      </c>
      <c r="S58" s="247" t="n">
        <f aca="false">VLOOKUP(B58,[17]Sheet1!A$6:B$360,2,0)</f>
        <v>20</v>
      </c>
      <c r="T58" s="247" t="n">
        <f aca="false">VLOOKUP(B58,[18]Sheet1!A$6:B$360,2,0)</f>
        <v>20</v>
      </c>
      <c r="U58" s="247" t="n">
        <f aca="false">VLOOKUP(B58,[19]Sheet1!A$6:B$360,2,0)</f>
        <v>20</v>
      </c>
      <c r="V58" s="247" t="n">
        <f aca="false">VLOOKUP(B58,[20]Sheet1!A$6:B$360,2,0)</f>
        <v>20</v>
      </c>
      <c r="W58" s="247" t="n">
        <f aca="false">VLOOKUP(B58,[21]Sheet1!A$6:B$360,2,0)</f>
        <v>20</v>
      </c>
      <c r="X58" s="247" t="n">
        <f aca="false">VLOOKUP(B58,[22]Sheet1!A$6:B$360,2,0)</f>
        <v>20</v>
      </c>
      <c r="Y58" s="263" t="n">
        <f aca="false">VLOOKUP(B58,[23]Sheet1!A$6:B$360,2,0)</f>
        <v>20</v>
      </c>
      <c r="Z58" s="259" t="n">
        <f aca="false">VLOOKUP(B58,[24]Sheet1!A$6:B$360,2,0)</f>
        <v>20</v>
      </c>
      <c r="AA58" s="247" t="n">
        <f aca="false">VLOOKUP(B58,[25]Sheet1!A$6:B$360,2,0)</f>
        <v>20</v>
      </c>
      <c r="AB58" s="247" t="n">
        <f aca="false">VLOOKUP(B58,[26]Sheet1!A$6:B$360,2,0)</f>
        <v>20</v>
      </c>
      <c r="AC58" s="247" t="n">
        <f aca="false">VLOOKUP(B58,[27]Sheet1!A$6:B$360,2,0)</f>
        <v>20</v>
      </c>
      <c r="AD58" s="263" t="n">
        <f aca="false">VLOOKUP(B58,[28]Sheet1!A$6:B$360,2,0)</f>
        <v>20</v>
      </c>
      <c r="AE58" s="259" t="n">
        <f aca="false">VLOOKUP(B58,[29]Sheet1!A$6:B$360,2,0)</f>
        <v>20</v>
      </c>
      <c r="AF58" s="247" t="n">
        <f aca="false">VLOOKUP(B58,[30]Sheet1!A$6:B$360,2,0)</f>
        <v>20</v>
      </c>
      <c r="AG58" s="247" t="n">
        <f aca="false">VLOOKUP(B58,[31]Sheet1!A$6:B$360,2,0)</f>
        <v>20</v>
      </c>
      <c r="AH58" s="247" t="n">
        <f aca="false">VLOOKUP(B58,[32]Sheet1!A$6:B$360,2,0)</f>
        <v>20</v>
      </c>
      <c r="AI58" s="247" t="n">
        <f aca="false">VLOOKUP(B58,[33]Sheet1!A$6:B$360,2,0)</f>
        <v>20</v>
      </c>
      <c r="AJ58" s="263" t="n">
        <f aca="false">VLOOKUP(B58,[34]Sheet1!A$6:B$360,2,0)</f>
        <v>20</v>
      </c>
      <c r="AK58" s="259" t="n">
        <f aca="false">VLOOKUP(B58,[35]Sheet1!A$6:B$360,2,0)</f>
        <v>20</v>
      </c>
      <c r="AL58" s="247" t="n">
        <f aca="false">VLOOKUP(B58,[36]Sheet1!A$6:B$360,2,0)</f>
        <v>20</v>
      </c>
      <c r="AM58" s="247" t="n">
        <f aca="false">VLOOKUP(B58,[37]Sheet1!A$6:B$360,2,0)</f>
        <v>20</v>
      </c>
      <c r="AN58" s="247" t="n">
        <f aca="false">VLOOKUP(B58,[38]Sheet1!A$6:B$360,2,0)</f>
        <v>20</v>
      </c>
      <c r="AO58" s="263" t="n">
        <f aca="false">VLOOKUP(B58,[39]Sheet1!A$6:B$360,2,0)</f>
        <v>25</v>
      </c>
      <c r="AP58" s="259" t="n">
        <f aca="false">VLOOKUP(B58,[40]Sheet1!A$6:B$360,2,0)</f>
        <v>25</v>
      </c>
      <c r="AQ58" s="247" t="n">
        <f aca="false">VLOOKUP(B58,[41]Sheet1!A$6:B$360,2,0)</f>
        <v>25</v>
      </c>
      <c r="AR58" s="247" t="n">
        <f aca="false">VLOOKUP(B58,[42]Sheet1!A$6:B$360,2,0)</f>
        <v>25</v>
      </c>
    </row>
    <row r="59" customFormat="false" ht="12.8" hidden="false" customHeight="false" outlineLevel="0" collapsed="false">
      <c r="A59" s="23" t="s">
        <v>315</v>
      </c>
      <c r="B59" s="258" t="s">
        <v>407</v>
      </c>
      <c r="C59" s="247" t="n">
        <f aca="false">VLOOKUP(B59,[1]Sheet1!A$1:B$1048576,2,0)</f>
        <v>560</v>
      </c>
      <c r="D59" s="247" t="n">
        <f aca="false">VLOOKUP(B59,[2]Sheet1!A$6:B$360,2,0)</f>
        <v>515</v>
      </c>
      <c r="E59" s="247" t="n">
        <f aca="false">VLOOKUP(B59,[3]Sheet1!A$6:B$360,2,0)</f>
        <v>515</v>
      </c>
      <c r="F59" s="247" t="n">
        <f aca="false">VLOOKUP(B59,[4]Sheet1!A$6:B$360,2,0)</f>
        <v>500</v>
      </c>
      <c r="G59" s="247" t="n">
        <f aca="false">VLOOKUP(B59,[5]Sheet1!A$6:B$360,2,0)</f>
        <v>500</v>
      </c>
      <c r="H59" s="247" t="n">
        <f aca="false">VLOOKUP(B59,[6]Sheet1!A$6:B$360,2,0)</f>
        <v>367</v>
      </c>
      <c r="I59" s="247" t="n">
        <f aca="false">VLOOKUP(B59,[7]Sheet1!A$6:B$360,2,0)</f>
        <v>367</v>
      </c>
      <c r="J59" s="247" t="n">
        <f aca="false">VLOOKUP(B59,[8]Sheet1!A$6:B$360,2,0)</f>
        <v>367</v>
      </c>
      <c r="K59" s="259" t="n">
        <f aca="false">VLOOKUP(B59,[9]Sheet1!A$6:B$360,2,0)</f>
        <v>367</v>
      </c>
      <c r="L59" s="260" t="n">
        <f aca="false">VLOOKUP(B59,[10]Sheet1!A$1:B$1048576,2,0)</f>
        <v>366</v>
      </c>
      <c r="M59" s="247" t="n">
        <f aca="false">VLOOKUP(B59,[11]Sheet1!A$6:B$360,2,0)</f>
        <v>366</v>
      </c>
      <c r="N59" s="247" t="n">
        <f aca="false">VLOOKUP(B59,[12]Sheet1!A$6:B$360,2,0)</f>
        <v>366</v>
      </c>
      <c r="O59" s="247" t="n">
        <f aca="false">VLOOKUP(B59,[13]Sheet1!A$6:B$360,2,0)</f>
        <v>366</v>
      </c>
      <c r="P59" s="247" t="n">
        <f aca="false">VLOOKUP(B59,[14]Sheet1!A$6:B$360,2,0)</f>
        <v>365</v>
      </c>
      <c r="Q59" s="261" t="n">
        <f aca="false">VLOOKUP(B59,[15]Sheet1!A$6:B$360,2,0)</f>
        <v>301</v>
      </c>
      <c r="R59" s="259" t="n">
        <f aca="false">VLOOKUP(B59,[16]Sheet1!A$6:B$360,2,0)</f>
        <v>450</v>
      </c>
      <c r="S59" s="247" t="n">
        <f aca="false">VLOOKUP(B59,[17]Sheet1!A$6:B$360,2,0)</f>
        <v>430</v>
      </c>
      <c r="T59" s="247" t="n">
        <f aca="false">VLOOKUP(B59,[18]Sheet1!A$6:B$360,2,0)</f>
        <v>430</v>
      </c>
      <c r="U59" s="247" t="n">
        <f aca="false">VLOOKUP(B59,[19]Sheet1!A$6:B$360,2,0)</f>
        <v>521</v>
      </c>
      <c r="V59" s="247" t="n">
        <f aca="false">VLOOKUP(B59,[20]Sheet1!A$6:B$360,2,0)</f>
        <v>518</v>
      </c>
      <c r="W59" s="247" t="n">
        <f aca="false">VLOOKUP(B59,[21]Sheet1!A$6:B$360,2,0)</f>
        <v>500</v>
      </c>
      <c r="X59" s="247" t="n">
        <f aca="false">VLOOKUP(B59,[22]Sheet1!A$6:B$360,2,0)</f>
        <v>500</v>
      </c>
      <c r="Y59" s="263" t="n">
        <f aca="false">VLOOKUP(B59,[23]Sheet1!A$6:B$360,2,0)</f>
        <v>500</v>
      </c>
      <c r="Z59" s="259" t="n">
        <f aca="false">VLOOKUP(B59,[24]Sheet1!A$6:B$360,2,0)</f>
        <v>500</v>
      </c>
      <c r="AA59" s="247" t="n">
        <f aca="false">VLOOKUP(B59,[25]Sheet1!A$6:B$360,2,0)</f>
        <v>601</v>
      </c>
      <c r="AB59" s="247" t="n">
        <f aca="false">VLOOKUP(B59,[26]Sheet1!A$6:B$360,2,0)</f>
        <v>601</v>
      </c>
      <c r="AC59" s="247" t="n">
        <f aca="false">VLOOKUP(B59,[27]Sheet1!A$6:B$360,2,0)</f>
        <v>650</v>
      </c>
      <c r="AD59" s="263" t="n">
        <f aca="false">VLOOKUP(B59,[28]Sheet1!A$6:B$360,2,0)</f>
        <v>650</v>
      </c>
      <c r="AE59" s="259" t="n">
        <f aca="false">VLOOKUP(B59,[29]Sheet1!A$6:B$360,2,0)</f>
        <v>583</v>
      </c>
      <c r="AF59" s="247" t="n">
        <f aca="false">VLOOKUP(B59,[30]Sheet1!A$6:B$360,2,0)</f>
        <v>701</v>
      </c>
      <c r="AG59" s="247" t="n">
        <f aca="false">VLOOKUP(B59,[31]Sheet1!A$6:B$360,2,0)</f>
        <v>701</v>
      </c>
      <c r="AH59" s="247" t="n">
        <f aca="false">VLOOKUP(B59,[32]Sheet1!A$6:B$360,2,0)</f>
        <v>701</v>
      </c>
      <c r="AI59" s="247" t="n">
        <f aca="false">VLOOKUP(B59,[33]Sheet1!A$6:B$360,2,0)</f>
        <v>701</v>
      </c>
      <c r="AJ59" s="263" t="n">
        <f aca="false">VLOOKUP(B59,[34]Sheet1!A$6:B$360,2,0)</f>
        <v>701</v>
      </c>
      <c r="AK59" s="259" t="n">
        <f aca="false">VLOOKUP(B59,[35]Sheet1!A$6:B$360,2,0)</f>
        <v>700</v>
      </c>
      <c r="AL59" s="247" t="n">
        <f aca="false">VLOOKUP(B59,[36]Sheet1!A$6:B$360,2,0)</f>
        <v>650</v>
      </c>
      <c r="AM59" s="247" t="n">
        <f aca="false">VLOOKUP(B59,[37]Sheet1!A$6:B$360,2,0)</f>
        <v>570</v>
      </c>
      <c r="AN59" s="247" t="n">
        <f aca="false">VLOOKUP(B59,[38]Sheet1!A$6:B$360,2,0)</f>
        <v>600</v>
      </c>
      <c r="AO59" s="263" t="n">
        <f aca="false">VLOOKUP(B59,[39]Sheet1!A$6:B$360,2,0)</f>
        <v>570</v>
      </c>
      <c r="AP59" s="259" t="n">
        <f aca="false">VLOOKUP(B59,[40]Sheet1!A$6:B$360,2,0)</f>
        <v>555</v>
      </c>
      <c r="AQ59" s="247" t="n">
        <f aca="false">VLOOKUP(B59,[41]Sheet1!A$6:B$360,2,0)</f>
        <v>526</v>
      </c>
      <c r="AR59" s="247" t="n">
        <f aca="false">VLOOKUP(B59,[42]Sheet1!A$6:B$360,2,0)</f>
        <v>526</v>
      </c>
    </row>
    <row r="60" customFormat="false" ht="12.8" hidden="false" customHeight="false" outlineLevel="0" collapsed="false">
      <c r="A60" s="23" t="s">
        <v>316</v>
      </c>
      <c r="B60" s="258" t="s">
        <v>408</v>
      </c>
      <c r="C60" s="247" t="n">
        <f aca="false">VLOOKUP(B60,[1]Sheet1!A$1:B$1048576,2,0)</f>
        <v>20</v>
      </c>
      <c r="D60" s="247" t="n">
        <f aca="false">VLOOKUP(B60,[2]Sheet1!A$6:B$360,2,0)</f>
        <v>20</v>
      </c>
      <c r="E60" s="247" t="n">
        <f aca="false">VLOOKUP(B60,[3]Sheet1!A$6:B$360,2,0)</f>
        <v>20</v>
      </c>
      <c r="F60" s="247" t="n">
        <f aca="false">VLOOKUP(B60,[4]Sheet1!A$6:B$360,2,0)</f>
        <v>20</v>
      </c>
      <c r="G60" s="247" t="n">
        <f aca="false">VLOOKUP(B60,[5]Sheet1!A$6:B$360,2,0)</f>
        <v>20</v>
      </c>
      <c r="H60" s="247" t="n">
        <f aca="false">VLOOKUP(B60,[6]Sheet1!A$6:B$360,2,0)</f>
        <v>20</v>
      </c>
      <c r="I60" s="247" t="n">
        <f aca="false">VLOOKUP(B60,[7]Sheet1!A$6:B$360,2,0)</f>
        <v>20</v>
      </c>
      <c r="J60" s="247" t="n">
        <f aca="false">VLOOKUP(B60,[8]Sheet1!A$6:B$360,2,0)</f>
        <v>20</v>
      </c>
      <c r="K60" s="259" t="n">
        <f aca="false">VLOOKUP(B60,[9]Sheet1!A$6:B$360,2,0)</f>
        <v>20</v>
      </c>
      <c r="L60" s="260" t="n">
        <f aca="false">VLOOKUP(B60,[10]Sheet1!A$1:B$1048576,2,0)</f>
        <v>20</v>
      </c>
      <c r="M60" s="247" t="n">
        <f aca="false">VLOOKUP(B60,[11]Sheet1!A$6:B$360,2,0)</f>
        <v>20</v>
      </c>
      <c r="N60" s="247" t="n">
        <f aca="false">VLOOKUP(B60,[12]Sheet1!A$6:B$360,2,0)</f>
        <v>20</v>
      </c>
      <c r="O60" s="247" t="n">
        <f aca="false">VLOOKUP(B60,[13]Sheet1!A$6:B$360,2,0)</f>
        <v>20</v>
      </c>
      <c r="P60" s="247" t="n">
        <f aca="false">VLOOKUP(B60,[14]Sheet1!A$6:B$360,2,0)</f>
        <v>20</v>
      </c>
      <c r="Q60" s="261" t="n">
        <f aca="false">VLOOKUP(B60,[15]Sheet1!A$6:B$360,2,0)</f>
        <v>20</v>
      </c>
      <c r="R60" s="259" t="n">
        <f aca="false">VLOOKUP(B60,[16]Sheet1!A$6:B$360,2,0)</f>
        <v>20</v>
      </c>
      <c r="S60" s="247" t="n">
        <f aca="false">VLOOKUP(B60,[17]Sheet1!A$6:B$360,2,0)</f>
        <v>28</v>
      </c>
      <c r="T60" s="247" t="n">
        <f aca="false">VLOOKUP(B60,[18]Sheet1!A$6:B$360,2,0)</f>
        <v>28</v>
      </c>
      <c r="U60" s="247" t="n">
        <f aca="false">VLOOKUP(B60,[19]Sheet1!A$6:B$360,2,0)</f>
        <v>28</v>
      </c>
      <c r="V60" s="247" t="n">
        <f aca="false">VLOOKUP(B60,[20]Sheet1!A$6:B$360,2,0)</f>
        <v>28</v>
      </c>
      <c r="W60" s="247" t="n">
        <f aca="false">VLOOKUP(B60,[21]Sheet1!A$6:B$360,2,0)</f>
        <v>28</v>
      </c>
      <c r="X60" s="247" t="n">
        <f aca="false">VLOOKUP(B60,[22]Sheet1!A$6:B$360,2,0)</f>
        <v>28</v>
      </c>
      <c r="Y60" s="263" t="n">
        <f aca="false">VLOOKUP(B60,[23]Sheet1!A$6:B$360,2,0)</f>
        <v>28</v>
      </c>
      <c r="Z60" s="259" t="n">
        <f aca="false">VLOOKUP(B60,[24]Sheet1!A$6:B$360,2,0)</f>
        <v>28</v>
      </c>
      <c r="AA60" s="247" t="n">
        <f aca="false">VLOOKUP(B60,[25]Sheet1!A$6:B$360,2,0)</f>
        <v>28</v>
      </c>
      <c r="AB60" s="247" t="n">
        <f aca="false">VLOOKUP(B60,[26]Sheet1!A$6:B$360,2,0)</f>
        <v>28</v>
      </c>
      <c r="AC60" s="247" t="n">
        <f aca="false">VLOOKUP(B60,[27]Sheet1!A$6:B$360,2,0)</f>
        <v>28</v>
      </c>
      <c r="AD60" s="263" t="n">
        <f aca="false">VLOOKUP(B60,[28]Sheet1!A$6:B$360,2,0)</f>
        <v>28</v>
      </c>
      <c r="AE60" s="259" t="n">
        <f aca="false">VLOOKUP(B60,[29]Sheet1!A$6:B$360,2,0)</f>
        <v>28</v>
      </c>
      <c r="AF60" s="247" t="n">
        <f aca="false">VLOOKUP(B60,[30]Sheet1!A$6:B$360,2,0)</f>
        <v>28</v>
      </c>
      <c r="AG60" s="247" t="n">
        <f aca="false">VLOOKUP(B60,[31]Sheet1!A$6:B$360,2,0)</f>
        <v>28</v>
      </c>
      <c r="AH60" s="247" t="n">
        <f aca="false">VLOOKUP(B60,[32]Sheet1!A$6:B$360,2,0)</f>
        <v>24</v>
      </c>
      <c r="AI60" s="247" t="n">
        <f aca="false">VLOOKUP(B60,[33]Sheet1!A$6:B$360,2,0)</f>
        <v>17</v>
      </c>
      <c r="AJ60" s="263" t="n">
        <f aca="false">VLOOKUP(B60,[34]Sheet1!A$6:B$360,2,0)</f>
        <v>20</v>
      </c>
      <c r="AK60" s="259" t="n">
        <f aca="false">VLOOKUP(B60,[35]Sheet1!A$6:B$360,2,0)</f>
        <v>20</v>
      </c>
      <c r="AL60" s="247" t="n">
        <f aca="false">VLOOKUP(B60,[36]Sheet1!A$6:B$360,2,0)</f>
        <v>12</v>
      </c>
      <c r="AM60" s="247" t="n">
        <f aca="false">VLOOKUP(B60,[37]Sheet1!A$6:B$360,2,0)</f>
        <v>12</v>
      </c>
      <c r="AN60" s="247" t="n">
        <f aca="false">VLOOKUP(B60,[38]Sheet1!A$6:B$360,2,0)</f>
        <v>12</v>
      </c>
      <c r="AO60" s="263" t="n">
        <f aca="false">VLOOKUP(B60,[39]Sheet1!A$6:B$360,2,0)</f>
        <v>12</v>
      </c>
      <c r="AP60" s="259" t="n">
        <f aca="false">VLOOKUP(B60,[40]Sheet1!A$6:B$360,2,0)</f>
        <v>10</v>
      </c>
      <c r="AQ60" s="247" t="n">
        <f aca="false">VLOOKUP(B60,[41]Sheet1!A$6:B$360,2,0)</f>
        <v>10</v>
      </c>
      <c r="AR60" s="247" t="n">
        <f aca="false">VLOOKUP(B60,[42]Sheet1!A$6:B$360,2,0)</f>
        <v>10</v>
      </c>
    </row>
    <row r="61" customFormat="false" ht="12.8" hidden="false" customHeight="false" outlineLevel="0" collapsed="false">
      <c r="A61" s="23" t="s">
        <v>317</v>
      </c>
      <c r="B61" s="258" t="s">
        <v>409</v>
      </c>
      <c r="C61" s="247" t="n">
        <f aca="false">VLOOKUP(B61,[1]Sheet1!A$1:B$1048576,2,0)</f>
        <v>45</v>
      </c>
      <c r="D61" s="247" t="n">
        <f aca="false">VLOOKUP(B61,[2]Sheet1!A$6:B$360,2,0)</f>
        <v>45</v>
      </c>
      <c r="E61" s="247" t="n">
        <f aca="false">VLOOKUP(B61,[3]Sheet1!A$6:B$360,2,0)</f>
        <v>45</v>
      </c>
      <c r="F61" s="247" t="n">
        <f aca="false">VLOOKUP(B61,[4]Sheet1!A$6:B$360,2,0)</f>
        <v>45</v>
      </c>
      <c r="G61" s="247" t="n">
        <f aca="false">VLOOKUP(B61,[5]Sheet1!A$6:B$360,2,0)</f>
        <v>51</v>
      </c>
      <c r="H61" s="247" t="n">
        <f aca="false">VLOOKUP(B61,[6]Sheet1!A$6:B$360,2,0)</f>
        <v>51</v>
      </c>
      <c r="I61" s="247" t="n">
        <f aca="false">VLOOKUP(B61,[7]Sheet1!A$6:B$360,2,0)</f>
        <v>52</v>
      </c>
      <c r="J61" s="247" t="n">
        <f aca="false">VLOOKUP(B61,[8]Sheet1!A$6:B$360,2,0)</f>
        <v>51</v>
      </c>
      <c r="K61" s="259" t="n">
        <f aca="false">VLOOKUP(B61,[9]Sheet1!A$6:B$360,2,0)</f>
        <v>50</v>
      </c>
      <c r="L61" s="260" t="n">
        <f aca="false">VLOOKUP(B61,[10]Sheet1!A$1:B$1048576,2,0)</f>
        <v>50</v>
      </c>
      <c r="M61" s="247" t="n">
        <f aca="false">VLOOKUP(B61,[11]Sheet1!A$6:B$360,2,0)</f>
        <v>50</v>
      </c>
      <c r="N61" s="247" t="n">
        <f aca="false">VLOOKUP(B61,[12]Sheet1!A$6:B$360,2,0)</f>
        <v>50</v>
      </c>
      <c r="O61" s="247" t="n">
        <f aca="false">VLOOKUP(B61,[13]Sheet1!A$6:B$360,2,0)</f>
        <v>50</v>
      </c>
      <c r="P61" s="247" t="n">
        <f aca="false">VLOOKUP(B61,[14]Sheet1!A$6:B$360,2,0)</f>
        <v>50</v>
      </c>
      <c r="Q61" s="261" t="n">
        <f aca="false">VLOOKUP(B61,[15]Sheet1!A$6:B$360,2,0)</f>
        <v>52</v>
      </c>
      <c r="R61" s="259" t="n">
        <f aca="false">VLOOKUP(B61,[16]Sheet1!A$6:B$360,2,0)</f>
        <v>51.85</v>
      </c>
      <c r="S61" s="247" t="n">
        <f aca="false">VLOOKUP(B61,[17]Sheet1!A$6:B$360,2,0)</f>
        <v>55</v>
      </c>
      <c r="T61" s="247" t="n">
        <f aca="false">VLOOKUP(B61,[18]Sheet1!A$6:B$360,2,0)</f>
        <v>54</v>
      </c>
      <c r="U61" s="247" t="n">
        <f aca="false">VLOOKUP(B61,[19]Sheet1!A$6:B$360,2,0)</f>
        <v>51</v>
      </c>
      <c r="V61" s="247" t="n">
        <f aca="false">VLOOKUP(B61,[20]Sheet1!A$6:B$360,2,0)</f>
        <v>51</v>
      </c>
      <c r="W61" s="247" t="n">
        <f aca="false">VLOOKUP(B61,[21]Sheet1!A$6:B$360,2,0)</f>
        <v>51</v>
      </c>
      <c r="X61" s="247" t="n">
        <f aca="false">VLOOKUP(B61,[22]Sheet1!A$6:B$360,2,0)</f>
        <v>51</v>
      </c>
      <c r="Y61" s="263" t="n">
        <f aca="false">VLOOKUP(B61,[23]Sheet1!A$6:B$360,2,0)</f>
        <v>51</v>
      </c>
      <c r="Z61" s="259" t="n">
        <f aca="false">VLOOKUP(B61,[24]Sheet1!A$6:B$360,2,0)</f>
        <v>50</v>
      </c>
      <c r="AA61" s="247" t="n">
        <f aca="false">VLOOKUP(B61,[25]Sheet1!A$6:B$360,2,0)</f>
        <v>53</v>
      </c>
      <c r="AB61" s="247" t="n">
        <f aca="false">VLOOKUP(B61,[26]Sheet1!A$6:B$360,2,0)</f>
        <v>60</v>
      </c>
      <c r="AC61" s="247" t="n">
        <f aca="false">VLOOKUP(B61,[27]Sheet1!A$6:B$360,2,0)</f>
        <v>59</v>
      </c>
      <c r="AD61" s="263" t="n">
        <f aca="false">VLOOKUP(B61,[28]Sheet1!A$6:B$360,2,0)</f>
        <v>52</v>
      </c>
      <c r="AE61" s="259" t="n">
        <f aca="false">VLOOKUP(B61,[29]Sheet1!A$6:B$360,2,0)</f>
        <v>52</v>
      </c>
      <c r="AF61" s="247" t="n">
        <f aca="false">VLOOKUP(B61,[30]Sheet1!A$6:B$360,2,0)</f>
        <v>56</v>
      </c>
      <c r="AG61" s="247" t="n">
        <f aca="false">VLOOKUP(B61,[31]Sheet1!A$6:B$360,2,0)</f>
        <v>56</v>
      </c>
      <c r="AH61" s="247" t="n">
        <f aca="false">VLOOKUP(B61,[32]Sheet1!A$6:B$360,2,0)</f>
        <v>50</v>
      </c>
      <c r="AI61" s="247" t="n">
        <f aca="false">VLOOKUP(B61,[33]Sheet1!A$6:B$360,2,0)</f>
        <v>54</v>
      </c>
      <c r="AJ61" s="263" t="n">
        <f aca="false">VLOOKUP(B61,[34]Sheet1!A$6:B$360,2,0)</f>
        <v>68</v>
      </c>
      <c r="AK61" s="259" t="n">
        <f aca="false">VLOOKUP(B61,[35]Sheet1!A$6:B$360,2,0)</f>
        <v>70</v>
      </c>
      <c r="AL61" s="247" t="n">
        <f aca="false">VLOOKUP(B61,[36]Sheet1!A$6:B$360,2,0)</f>
        <v>87</v>
      </c>
      <c r="AM61" s="247" t="n">
        <f aca="false">VLOOKUP(B61,[37]Sheet1!A$6:B$360,2,0)</f>
        <v>86</v>
      </c>
      <c r="AN61" s="247" t="n">
        <f aca="false">VLOOKUP(B61,[38]Sheet1!A$6:B$360,2,0)</f>
        <v>90</v>
      </c>
      <c r="AO61" s="263" t="n">
        <f aca="false">VLOOKUP(B61,[39]Sheet1!A$6:B$360,2,0)</f>
        <v>105</v>
      </c>
      <c r="AP61" s="259" t="n">
        <f aca="false">VLOOKUP(B61,[40]Sheet1!A$6:B$360,2,0)</f>
        <v>108</v>
      </c>
      <c r="AQ61" s="247" t="n">
        <f aca="false">VLOOKUP(B61,[41]Sheet1!A$6:B$360,2,0)</f>
        <v>118.25</v>
      </c>
      <c r="AR61" s="247" t="n">
        <f aca="false">VLOOKUP(B61,[42]Sheet1!A$6:B$360,2,0)</f>
        <v>110.33</v>
      </c>
    </row>
    <row r="62" customFormat="false" ht="12.8" hidden="false" customHeight="false" outlineLevel="0" collapsed="false">
      <c r="A62" s="23" t="s">
        <v>318</v>
      </c>
      <c r="B62" s="258" t="s">
        <v>410</v>
      </c>
      <c r="C62" s="247" t="n">
        <f aca="false">VLOOKUP(B62,[1]Sheet1!A$1:B$1048576,2,0)</f>
        <v>603</v>
      </c>
      <c r="D62" s="247" t="n">
        <f aca="false">VLOOKUP(B62,[2]Sheet1!A$6:B$360,2,0)</f>
        <v>603</v>
      </c>
      <c r="E62" s="247" t="n">
        <f aca="false">VLOOKUP(B62,[3]Sheet1!A$6:B$360,2,0)</f>
        <v>603</v>
      </c>
      <c r="F62" s="247" t="n">
        <f aca="false">VLOOKUP(B62,[4]Sheet1!A$6:B$360,2,0)</f>
        <v>603</v>
      </c>
      <c r="G62" s="247" t="n">
        <f aca="false">VLOOKUP(B62,[5]Sheet1!A$6:B$360,2,0)</f>
        <v>603</v>
      </c>
      <c r="H62" s="247" t="n">
        <f aca="false">VLOOKUP(B62,[6]Sheet1!A$6:B$360,2,0)</f>
        <v>603</v>
      </c>
      <c r="I62" s="247" t="n">
        <f aca="false">VLOOKUP(B62,[7]Sheet1!A$6:B$360,2,0)</f>
        <v>603</v>
      </c>
      <c r="J62" s="247" t="n">
        <f aca="false">VLOOKUP(B62,[8]Sheet1!A$6:B$360,2,0)</f>
        <v>603</v>
      </c>
      <c r="K62" s="259" t="n">
        <f aca="false">VLOOKUP(B62,[9]Sheet1!A$6:B$360,2,0)</f>
        <v>603</v>
      </c>
      <c r="L62" s="260" t="n">
        <f aca="false">VLOOKUP(B62,[10]Sheet1!A$1:B$1048576,2,0)</f>
        <v>603</v>
      </c>
      <c r="M62" s="247" t="n">
        <f aca="false">VLOOKUP(B62,[11]Sheet1!A$6:B$360,2,0)</f>
        <v>603</v>
      </c>
      <c r="N62" s="247" t="n">
        <f aca="false">VLOOKUP(B62,[12]Sheet1!A$6:B$360,2,0)</f>
        <v>603</v>
      </c>
      <c r="O62" s="247" t="n">
        <f aca="false">VLOOKUP(B62,[13]Sheet1!A$6:B$360,2,0)</f>
        <v>603</v>
      </c>
      <c r="P62" s="247" t="n">
        <f aca="false">VLOOKUP(B62,[14]Sheet1!A$6:B$360,2,0)</f>
        <v>603</v>
      </c>
      <c r="Q62" s="261" t="n">
        <f aca="false">VLOOKUP(B62,[15]Sheet1!A$6:B$360,2,0)</f>
        <v>603</v>
      </c>
      <c r="R62" s="259" t="n">
        <f aca="false">VLOOKUP(B62,[16]Sheet1!A$6:B$360,2,0)</f>
        <v>603</v>
      </c>
      <c r="S62" s="247" t="n">
        <f aca="false">VLOOKUP(B62,[17]Sheet1!A$6:B$360,2,0)</f>
        <v>603</v>
      </c>
      <c r="T62" s="247" t="n">
        <f aca="false">VLOOKUP(B62,[18]Sheet1!A$6:B$360,2,0)</f>
        <v>603</v>
      </c>
      <c r="U62" s="247" t="n">
        <f aca="false">VLOOKUP(B62,[19]Sheet1!A$6:B$360,2,0)</f>
        <v>603</v>
      </c>
      <c r="V62" s="247" t="n">
        <f aca="false">VLOOKUP(B62,[20]Sheet1!A$6:B$360,2,0)</f>
        <v>603</v>
      </c>
      <c r="W62" s="247" t="n">
        <f aca="false">VLOOKUP(B62,[21]Sheet1!A$6:B$360,2,0)</f>
        <v>603</v>
      </c>
      <c r="X62" s="247" t="n">
        <f aca="false">VLOOKUP(B62,[22]Sheet1!A$6:B$360,2,0)</f>
        <v>603</v>
      </c>
      <c r="Y62" s="263" t="n">
        <f aca="false">VLOOKUP(B62,[23]Sheet1!A$6:B$360,2,0)</f>
        <v>603</v>
      </c>
      <c r="Z62" s="259" t="n">
        <f aca="false">VLOOKUP(B62,[24]Sheet1!A$6:B$360,2,0)</f>
        <v>603</v>
      </c>
      <c r="AA62" s="247" t="n">
        <f aca="false">VLOOKUP(B62,[25]Sheet1!A$6:B$360,2,0)</f>
        <v>603</v>
      </c>
      <c r="AB62" s="247" t="n">
        <f aca="false">VLOOKUP(B62,[26]Sheet1!A$6:B$360,2,0)</f>
        <v>603</v>
      </c>
      <c r="AC62" s="247" t="n">
        <f aca="false">VLOOKUP(B62,[27]Sheet1!A$6:B$360,2,0)</f>
        <v>603</v>
      </c>
      <c r="AD62" s="263" t="n">
        <f aca="false">VLOOKUP(B62,[28]Sheet1!A$6:B$360,2,0)</f>
        <v>603</v>
      </c>
      <c r="AE62" s="259" t="n">
        <f aca="false">VLOOKUP(B62,[29]Sheet1!A$6:B$360,2,0)</f>
        <v>603</v>
      </c>
      <c r="AF62" s="247" t="n">
        <f aca="false">VLOOKUP(B62,[30]Sheet1!A$6:B$360,2,0)</f>
        <v>603</v>
      </c>
      <c r="AG62" s="247" t="n">
        <f aca="false">VLOOKUP(B62,[31]Sheet1!A$6:B$360,2,0)</f>
        <v>603</v>
      </c>
      <c r="AH62" s="247" t="n">
        <f aca="false">VLOOKUP(B62,[32]Sheet1!A$6:B$360,2,0)</f>
        <v>603</v>
      </c>
      <c r="AI62" s="247" t="n">
        <f aca="false">VLOOKUP(B62,[33]Sheet1!A$6:B$360,2,0)</f>
        <v>603</v>
      </c>
      <c r="AJ62" s="263" t="n">
        <f aca="false">VLOOKUP(B62,[34]Sheet1!A$6:B$360,2,0)</f>
        <v>603</v>
      </c>
      <c r="AK62" s="259" t="n">
        <f aca="false">VLOOKUP(B62,[35]Sheet1!A$6:B$360,2,0)</f>
        <v>603</v>
      </c>
      <c r="AL62" s="247" t="n">
        <f aca="false">VLOOKUP(B62,[36]Sheet1!A$6:B$360,2,0)</f>
        <v>603</v>
      </c>
      <c r="AM62" s="247" t="n">
        <f aca="false">VLOOKUP(B62,[37]Sheet1!A$6:B$360,2,0)</f>
        <v>603</v>
      </c>
      <c r="AN62" s="247" t="n">
        <f aca="false">VLOOKUP(B62,[38]Sheet1!A$6:B$360,2,0)</f>
        <v>603</v>
      </c>
      <c r="AO62" s="263" t="n">
        <f aca="false">VLOOKUP(B62,[39]Sheet1!A$6:B$360,2,0)</f>
        <v>603</v>
      </c>
      <c r="AP62" s="259" t="n">
        <f aca="false">VLOOKUP(B62,[40]Sheet1!A$6:B$360,2,0)</f>
        <v>603</v>
      </c>
      <c r="AQ62" s="247" t="n">
        <f aca="false">VLOOKUP(B62,[41]Sheet1!A$6:B$360,2,0)</f>
        <v>603</v>
      </c>
      <c r="AR62" s="247" t="n">
        <f aca="false">VLOOKUP(B62,[42]Sheet1!A$6:B$360,2,0)</f>
        <v>603</v>
      </c>
    </row>
    <row r="63" customFormat="false" ht="12.8" hidden="false" customHeight="false" outlineLevel="0" collapsed="false">
      <c r="A63" s="23" t="s">
        <v>319</v>
      </c>
      <c r="B63" s="258" t="s">
        <v>411</v>
      </c>
      <c r="C63" s="247" t="n">
        <f aca="false">VLOOKUP(B63,[1]Sheet1!A$1:B$1048576,2,0)</f>
        <v>360</v>
      </c>
      <c r="D63" s="247" t="n">
        <f aca="false">VLOOKUP(B63,[2]Sheet1!A$6:B$360,2,0)</f>
        <v>360</v>
      </c>
      <c r="E63" s="247" t="n">
        <f aca="false">VLOOKUP(B63,[3]Sheet1!A$6:B$360,2,0)</f>
        <v>360</v>
      </c>
      <c r="F63" s="247" t="n">
        <f aca="false">VLOOKUP(B63,[4]Sheet1!A$6:B$360,2,0)</f>
        <v>360</v>
      </c>
      <c r="G63" s="247" t="n">
        <f aca="false">VLOOKUP(B63,[5]Sheet1!A$6:B$360,2,0)</f>
        <v>360</v>
      </c>
      <c r="H63" s="247" t="n">
        <f aca="false">VLOOKUP(B63,[6]Sheet1!A$6:B$360,2,0)</f>
        <v>360</v>
      </c>
      <c r="I63" s="247" t="n">
        <f aca="false">VLOOKUP(B63,[7]Sheet1!A$6:B$360,2,0)</f>
        <v>360</v>
      </c>
      <c r="J63" s="247" t="n">
        <f aca="false">VLOOKUP(B63,[8]Sheet1!A$6:B$360,2,0)</f>
        <v>360</v>
      </c>
      <c r="K63" s="259" t="n">
        <f aca="false">VLOOKUP(B63,[9]Sheet1!A$6:B$360,2,0)</f>
        <v>360</v>
      </c>
      <c r="L63" s="260" t="n">
        <f aca="false">VLOOKUP(B63,[10]Sheet1!A$1:B$1048576,2,0)</f>
        <v>360</v>
      </c>
      <c r="M63" s="247" t="n">
        <f aca="false">VLOOKUP(B63,[11]Sheet1!A$6:B$360,2,0)</f>
        <v>360</v>
      </c>
      <c r="N63" s="247" t="n">
        <f aca="false">VLOOKUP(B63,[12]Sheet1!A$6:B$360,2,0)</f>
        <v>360</v>
      </c>
      <c r="O63" s="247" t="n">
        <f aca="false">VLOOKUP(B63,[13]Sheet1!A$6:B$360,2,0)</f>
        <v>360</v>
      </c>
      <c r="P63" s="247" t="n">
        <f aca="false">VLOOKUP(B63,[14]Sheet1!A$6:B$360,2,0)</f>
        <v>360</v>
      </c>
      <c r="Q63" s="261" t="n">
        <f aca="false">VLOOKUP(B63,[15]Sheet1!A$6:B$360,2,0)</f>
        <v>360</v>
      </c>
      <c r="R63" s="259" t="n">
        <f aca="false">VLOOKUP(B63,[16]Sheet1!A$6:B$360,2,0)</f>
        <v>360</v>
      </c>
      <c r="S63" s="247" t="n">
        <f aca="false">VLOOKUP(B63,[17]Sheet1!A$6:B$360,2,0)</f>
        <v>360</v>
      </c>
      <c r="T63" s="247" t="n">
        <f aca="false">VLOOKUP(B63,[18]Sheet1!A$6:B$360,2,0)</f>
        <v>360</v>
      </c>
      <c r="U63" s="247" t="n">
        <f aca="false">VLOOKUP(B63,[19]Sheet1!A$6:B$360,2,0)</f>
        <v>360</v>
      </c>
      <c r="V63" s="247" t="n">
        <f aca="false">VLOOKUP(B63,[20]Sheet1!A$6:B$360,2,0)</f>
        <v>360</v>
      </c>
      <c r="W63" s="247" t="n">
        <f aca="false">VLOOKUP(B63,[21]Sheet1!A$6:B$360,2,0)</f>
        <v>360</v>
      </c>
      <c r="X63" s="247" t="n">
        <f aca="false">VLOOKUP(B63,[22]Sheet1!A$6:B$360,2,0)</f>
        <v>360</v>
      </c>
      <c r="Y63" s="263" t="n">
        <f aca="false">VLOOKUP(B63,[23]Sheet1!A$6:B$360,2,0)</f>
        <v>360</v>
      </c>
      <c r="Z63" s="259" t="n">
        <f aca="false">VLOOKUP(B63,[24]Sheet1!A$6:B$360,2,0)</f>
        <v>360</v>
      </c>
      <c r="AA63" s="247" t="n">
        <f aca="false">VLOOKUP(B63,[25]Sheet1!A$6:B$360,2,0)</f>
        <v>360</v>
      </c>
      <c r="AB63" s="247" t="n">
        <f aca="false">VLOOKUP(B63,[26]Sheet1!A$6:B$360,2,0)</f>
        <v>360</v>
      </c>
      <c r="AC63" s="247" t="n">
        <f aca="false">VLOOKUP(B63,[27]Sheet1!A$6:B$360,2,0)</f>
        <v>360</v>
      </c>
      <c r="AD63" s="263" t="n">
        <f aca="false">VLOOKUP(B63,[28]Sheet1!A$6:B$360,2,0)</f>
        <v>360</v>
      </c>
      <c r="AE63" s="259" t="n">
        <f aca="false">VLOOKUP(B63,[29]Sheet1!A$6:B$360,2,0)</f>
        <v>360</v>
      </c>
      <c r="AF63" s="247" t="n">
        <f aca="false">VLOOKUP(B63,[30]Sheet1!A$6:B$360,2,0)</f>
        <v>360</v>
      </c>
      <c r="AG63" s="247" t="n">
        <f aca="false">VLOOKUP(B63,[31]Sheet1!A$6:B$360,2,0)</f>
        <v>360</v>
      </c>
      <c r="AH63" s="247" t="n">
        <f aca="false">VLOOKUP(B63,[32]Sheet1!A$6:B$360,2,0)</f>
        <v>360</v>
      </c>
      <c r="AI63" s="247" t="n">
        <f aca="false">VLOOKUP(B63,[33]Sheet1!A$6:B$360,2,0)</f>
        <v>360</v>
      </c>
      <c r="AJ63" s="263" t="n">
        <f aca="false">VLOOKUP(B63,[34]Sheet1!A$6:B$360,2,0)</f>
        <v>360</v>
      </c>
      <c r="AK63" s="259" t="n">
        <f aca="false">VLOOKUP(B63,[35]Sheet1!A$6:B$360,2,0)</f>
        <v>360</v>
      </c>
      <c r="AL63" s="247" t="n">
        <f aca="false">VLOOKUP(B63,[36]Sheet1!A$6:B$360,2,0)</f>
        <v>350</v>
      </c>
      <c r="AM63" s="247" t="n">
        <f aca="false">VLOOKUP(B63,[37]Sheet1!A$6:B$360,2,0)</f>
        <v>350</v>
      </c>
      <c r="AN63" s="247" t="n">
        <f aca="false">VLOOKUP(B63,[38]Sheet1!A$6:B$360,2,0)</f>
        <v>350</v>
      </c>
      <c r="AO63" s="263" t="n">
        <f aca="false">VLOOKUP(B63,[39]Sheet1!A$6:B$360,2,0)</f>
        <v>350</v>
      </c>
      <c r="AP63" s="259" t="n">
        <f aca="false">VLOOKUP(B63,[40]Sheet1!A$6:B$360,2,0)</f>
        <v>350</v>
      </c>
      <c r="AQ63" s="247" t="n">
        <f aca="false">VLOOKUP(B63,[41]Sheet1!A$6:B$360,2,0)</f>
        <v>350</v>
      </c>
      <c r="AR63" s="247" t="n">
        <f aca="false">VLOOKUP(B63,[42]Sheet1!A$6:B$360,2,0)</f>
        <v>350</v>
      </c>
    </row>
    <row r="64" customFormat="false" ht="12.8" hidden="false" customHeight="false" outlineLevel="0" collapsed="false">
      <c r="A64" s="23" t="s">
        <v>320</v>
      </c>
      <c r="B64" s="258" t="s">
        <v>412</v>
      </c>
      <c r="C64" s="247" t="n">
        <f aca="false">VLOOKUP(B64,[1]Sheet1!A$1:B$1048576,2,0)</f>
        <v>70</v>
      </c>
      <c r="D64" s="247" t="n">
        <f aca="false">VLOOKUP(B64,[2]Sheet1!A$6:B$360,2,0)</f>
        <v>70</v>
      </c>
      <c r="E64" s="247" t="n">
        <f aca="false">VLOOKUP(B64,[3]Sheet1!A$6:B$360,2,0)</f>
        <v>70</v>
      </c>
      <c r="F64" s="247" t="n">
        <f aca="false">VLOOKUP(B64,[4]Sheet1!A$6:B$360,2,0)</f>
        <v>70</v>
      </c>
      <c r="G64" s="247" t="n">
        <f aca="false">VLOOKUP(B64,[5]Sheet1!A$6:B$360,2,0)</f>
        <v>70</v>
      </c>
      <c r="H64" s="247" t="n">
        <f aca="false">VLOOKUP(B64,[6]Sheet1!A$6:B$360,2,0)</f>
        <v>70</v>
      </c>
      <c r="I64" s="247" t="n">
        <f aca="false">VLOOKUP(B64,[7]Sheet1!A$6:B$360,2,0)</f>
        <v>70</v>
      </c>
      <c r="J64" s="247" t="n">
        <f aca="false">VLOOKUP(B64,[8]Sheet1!A$6:B$360,2,0)</f>
        <v>70</v>
      </c>
      <c r="K64" s="259" t="n">
        <f aca="false">VLOOKUP(B64,[9]Sheet1!A$6:B$360,2,0)</f>
        <v>70</v>
      </c>
      <c r="L64" s="260" t="n">
        <f aca="false">VLOOKUP(B64,[10]Sheet1!A$1:B$1048576,2,0)</f>
        <v>70</v>
      </c>
      <c r="M64" s="247" t="n">
        <f aca="false">VLOOKUP(B64,[11]Sheet1!A$6:B$360,2,0)</f>
        <v>70</v>
      </c>
      <c r="N64" s="247" t="n">
        <f aca="false">VLOOKUP(B64,[12]Sheet1!A$6:B$360,2,0)</f>
        <v>70</v>
      </c>
      <c r="O64" s="247" t="n">
        <f aca="false">VLOOKUP(B64,[13]Sheet1!A$6:B$360,2,0)</f>
        <v>70</v>
      </c>
      <c r="P64" s="247" t="n">
        <f aca="false">VLOOKUP(B64,[14]Sheet1!A$6:B$360,2,0)</f>
        <v>70</v>
      </c>
      <c r="Q64" s="261" t="n">
        <f aca="false">VLOOKUP(B64,[15]Sheet1!A$6:B$360,2,0)</f>
        <v>70</v>
      </c>
      <c r="R64" s="259" t="n">
        <f aca="false">VLOOKUP(B64,[16]Sheet1!A$6:B$360,2,0)</f>
        <v>70</v>
      </c>
      <c r="S64" s="247" t="n">
        <f aca="false">VLOOKUP(B64,[17]Sheet1!A$6:B$360,2,0)</f>
        <v>70</v>
      </c>
      <c r="T64" s="247" t="n">
        <f aca="false">VLOOKUP(B64,[18]Sheet1!A$6:B$360,2,0)</f>
        <v>70</v>
      </c>
      <c r="U64" s="247" t="n">
        <f aca="false">VLOOKUP(B64,[19]Sheet1!A$6:B$360,2,0)</f>
        <v>70</v>
      </c>
      <c r="V64" s="247" t="n">
        <f aca="false">VLOOKUP(B64,[20]Sheet1!A$6:B$360,2,0)</f>
        <v>70</v>
      </c>
      <c r="W64" s="247" t="n">
        <f aca="false">VLOOKUP(B64,[21]Sheet1!A$6:B$360,2,0)</f>
        <v>70</v>
      </c>
      <c r="X64" s="247" t="n">
        <f aca="false">VLOOKUP(B64,[22]Sheet1!A$6:B$360,2,0)</f>
        <v>70</v>
      </c>
      <c r="Y64" s="263" t="n">
        <f aca="false">VLOOKUP(B64,[23]Sheet1!A$6:B$360,2,0)</f>
        <v>70</v>
      </c>
      <c r="Z64" s="259" t="n">
        <f aca="false">VLOOKUP(B64,[24]Sheet1!A$6:B$360,2,0)</f>
        <v>70</v>
      </c>
      <c r="AA64" s="247" t="n">
        <f aca="false">VLOOKUP(B64,[25]Sheet1!A$6:B$360,2,0)</f>
        <v>70</v>
      </c>
      <c r="AB64" s="247" t="n">
        <f aca="false">VLOOKUP(B64,[26]Sheet1!A$6:B$360,2,0)</f>
        <v>70</v>
      </c>
      <c r="AC64" s="247" t="n">
        <f aca="false">VLOOKUP(B64,[27]Sheet1!A$6:B$360,2,0)</f>
        <v>70</v>
      </c>
      <c r="AD64" s="263" t="n">
        <f aca="false">VLOOKUP(B64,[28]Sheet1!A$6:B$360,2,0)</f>
        <v>70</v>
      </c>
      <c r="AE64" s="259" t="n">
        <f aca="false">VLOOKUP(B64,[29]Sheet1!A$6:B$360,2,0)</f>
        <v>70</v>
      </c>
      <c r="AF64" s="247" t="n">
        <f aca="false">VLOOKUP(B64,[30]Sheet1!A$6:B$360,2,0)</f>
        <v>70</v>
      </c>
      <c r="AG64" s="247" t="n">
        <f aca="false">VLOOKUP(B64,[31]Sheet1!A$6:B$360,2,0)</f>
        <v>70</v>
      </c>
      <c r="AH64" s="247" t="n">
        <f aca="false">VLOOKUP(B64,[32]Sheet1!A$6:B$360,2,0)</f>
        <v>70</v>
      </c>
      <c r="AI64" s="247" t="n">
        <f aca="false">VLOOKUP(B64,[33]Sheet1!A$6:B$360,2,0)</f>
        <v>70</v>
      </c>
      <c r="AJ64" s="263" t="n">
        <f aca="false">VLOOKUP(B64,[34]Sheet1!A$6:B$360,2,0)</f>
        <v>70</v>
      </c>
      <c r="AK64" s="259" t="n">
        <f aca="false">VLOOKUP(B64,[35]Sheet1!A$6:B$360,2,0)</f>
        <v>70</v>
      </c>
      <c r="AL64" s="247" t="n">
        <f aca="false">VLOOKUP(B64,[36]Sheet1!A$6:B$360,2,0)</f>
        <v>70</v>
      </c>
      <c r="AM64" s="247" t="n">
        <f aca="false">VLOOKUP(B64,[37]Sheet1!A$6:B$360,2,0)</f>
        <v>70</v>
      </c>
      <c r="AN64" s="247" t="n">
        <f aca="false">VLOOKUP(B64,[38]Sheet1!A$6:B$360,2,0)</f>
        <v>70</v>
      </c>
      <c r="AO64" s="263" t="n">
        <f aca="false">VLOOKUP(B64,[39]Sheet1!A$6:B$360,2,0)</f>
        <v>70</v>
      </c>
      <c r="AP64" s="259" t="n">
        <f aca="false">VLOOKUP(B64,[40]Sheet1!A$6:B$360,2,0)</f>
        <v>70</v>
      </c>
      <c r="AQ64" s="247" t="n">
        <f aca="false">VLOOKUP(B64,[41]Sheet1!A$6:B$360,2,0)</f>
        <v>70</v>
      </c>
      <c r="AR64" s="247" t="n">
        <f aca="false">VLOOKUP(B64,[42]Sheet1!A$6:B$360,2,0)</f>
        <v>70</v>
      </c>
    </row>
    <row r="65" customFormat="false" ht="12.8" hidden="false" customHeight="false" outlineLevel="0" collapsed="false">
      <c r="A65" s="23" t="s">
        <v>321</v>
      </c>
      <c r="B65" s="258" t="s">
        <v>413</v>
      </c>
      <c r="C65" s="247" t="n">
        <f aca="false">VLOOKUP(B65,[1]Sheet1!A$1:B$1048576,2,0)</f>
        <v>7051</v>
      </c>
      <c r="D65" s="247" t="n">
        <f aca="false">VLOOKUP(B65,[2]Sheet1!A$6:B$360,2,0)</f>
        <v>7051</v>
      </c>
      <c r="E65" s="247" t="n">
        <f aca="false">VLOOKUP(B65,[3]Sheet1!A$6:B$360,2,0)</f>
        <v>7051</v>
      </c>
      <c r="F65" s="247" t="n">
        <f aca="false">VLOOKUP(B65,[4]Sheet1!A$6:B$360,2,0)</f>
        <v>7051</v>
      </c>
      <c r="G65" s="247" t="n">
        <f aca="false">VLOOKUP(B65,[5]Sheet1!A$6:B$360,2,0)</f>
        <v>7051</v>
      </c>
      <c r="H65" s="247" t="n">
        <f aca="false">VLOOKUP(B65,[6]Sheet1!A$6:B$360,2,0)</f>
        <v>7000</v>
      </c>
      <c r="I65" s="247" t="n">
        <f aca="false">VLOOKUP(B65,[7]Sheet1!A$6:B$360,2,0)</f>
        <v>7000</v>
      </c>
      <c r="J65" s="247" t="n">
        <f aca="false">VLOOKUP(B65,[8]Sheet1!A$6:B$360,2,0)</f>
        <v>7000</v>
      </c>
      <c r="K65" s="259" t="n">
        <f aca="false">VLOOKUP(B65,[9]Sheet1!A$6:B$360,2,0)</f>
        <v>7000</v>
      </c>
      <c r="L65" s="260" t="n">
        <f aca="false">VLOOKUP(B65,[10]Sheet1!A$1:B$1048576,2,0)</f>
        <v>7209</v>
      </c>
      <c r="M65" s="247" t="n">
        <f aca="false">VLOOKUP(B65,[11]Sheet1!A$6:B$360,2,0)</f>
        <v>7209</v>
      </c>
      <c r="N65" s="247" t="n">
        <f aca="false">VLOOKUP(B65,[12]Sheet1!A$6:B$360,2,0)</f>
        <v>7209</v>
      </c>
      <c r="O65" s="247" t="n">
        <f aca="false">VLOOKUP(B65,[13]Sheet1!A$6:B$360,2,0)</f>
        <v>7209</v>
      </c>
      <c r="P65" s="247" t="n">
        <f aca="false">VLOOKUP(B65,[14]Sheet1!A$6:B$360,2,0)</f>
        <v>7209</v>
      </c>
      <c r="Q65" s="261" t="n">
        <f aca="false">VLOOKUP(B65,[15]Sheet1!A$6:B$360,2,0)</f>
        <v>7000</v>
      </c>
      <c r="R65" s="259" t="n">
        <f aca="false">VLOOKUP(B65,[16]Sheet1!A$6:B$360,2,0)</f>
        <v>7000</v>
      </c>
      <c r="S65" s="247" t="n">
        <f aca="false">VLOOKUP(B65,[17]Sheet1!A$6:B$360,2,0)</f>
        <v>7000</v>
      </c>
      <c r="T65" s="247" t="n">
        <f aca="false">VLOOKUP(B65,[18]Sheet1!A$6:B$360,2,0)</f>
        <v>7000</v>
      </c>
      <c r="U65" s="247" t="n">
        <f aca="false">VLOOKUP(B65,[19]Sheet1!A$6:B$360,2,0)</f>
        <v>7000</v>
      </c>
      <c r="V65" s="247" t="n">
        <f aca="false">VLOOKUP(B65,[20]Sheet1!A$6:B$360,2,0)</f>
        <v>5300</v>
      </c>
      <c r="W65" s="247" t="n">
        <f aca="false">VLOOKUP(B65,[21]Sheet1!A$6:B$360,2,0)</f>
        <v>5300</v>
      </c>
      <c r="X65" s="247" t="n">
        <f aca="false">VLOOKUP(B65,[22]Sheet1!A$6:B$360,2,0)</f>
        <v>5300</v>
      </c>
      <c r="Y65" s="263" t="n">
        <f aca="false">VLOOKUP(B65,[23]Sheet1!A$6:B$360,2,0)</f>
        <v>5300</v>
      </c>
      <c r="Z65" s="259" t="n">
        <f aca="false">VLOOKUP(B65,[24]Sheet1!A$6:B$360,2,0)</f>
        <v>5300</v>
      </c>
      <c r="AA65" s="247" t="n">
        <f aca="false">VLOOKUP(B65,[25]Sheet1!A$6:B$360,2,0)</f>
        <v>5300</v>
      </c>
      <c r="AB65" s="247" t="n">
        <f aca="false">VLOOKUP(B65,[26]Sheet1!A$6:B$360,2,0)</f>
        <v>5300</v>
      </c>
      <c r="AC65" s="247" t="n">
        <f aca="false">VLOOKUP(B65,[27]Sheet1!A$6:B$360,2,0)</f>
        <v>5300</v>
      </c>
      <c r="AD65" s="263" t="n">
        <f aca="false">VLOOKUP(B65,[28]Sheet1!A$6:B$360,2,0)</f>
        <v>6330</v>
      </c>
      <c r="AE65" s="259" t="n">
        <f aca="false">VLOOKUP(B65,[29]Sheet1!A$6:B$360,2,0)</f>
        <v>5000</v>
      </c>
      <c r="AF65" s="247" t="n">
        <f aca="false">VLOOKUP(B65,[30]Sheet1!A$6:B$360,2,0)</f>
        <v>18999</v>
      </c>
      <c r="AG65" s="247" t="n">
        <f aca="false">VLOOKUP(B65,[31]Sheet1!A$6:B$360,2,0)</f>
        <v>18999</v>
      </c>
      <c r="AH65" s="247" t="n">
        <f aca="false">VLOOKUP(B65,[32]Sheet1!A$6:B$360,2,0)</f>
        <v>18999</v>
      </c>
      <c r="AI65" s="247" t="n">
        <f aca="false">VLOOKUP(B65,[33]Sheet1!A$6:B$360,2,0)</f>
        <v>18999</v>
      </c>
      <c r="AJ65" s="263" t="n">
        <f aca="false">VLOOKUP(B65,[34]Sheet1!A$6:B$360,2,0)</f>
        <v>18999</v>
      </c>
      <c r="AK65" s="259" t="n">
        <f aca="false">VLOOKUP(B65,[35]Sheet1!A$6:B$360,2,0)</f>
        <v>18999</v>
      </c>
      <c r="AL65" s="247" t="n">
        <f aca="false">VLOOKUP(B65,[36]Sheet1!A$6:B$360,2,0)</f>
        <v>18525</v>
      </c>
      <c r="AM65" s="247" t="n">
        <f aca="false">VLOOKUP(B65,[37]Sheet1!A$6:B$360,2,0)</f>
        <v>18525</v>
      </c>
      <c r="AN65" s="247" t="n">
        <f aca="false">VLOOKUP(B65,[38]Sheet1!A$6:B$360,2,0)</f>
        <v>17986</v>
      </c>
      <c r="AO65" s="263" t="n">
        <f aca="false">VLOOKUP(B65,[39]Sheet1!A$6:B$360,2,0)</f>
        <v>16314</v>
      </c>
      <c r="AP65" s="259" t="n">
        <f aca="false">VLOOKUP(B65,[40]Sheet1!A$6:B$360,2,0)</f>
        <v>16818</v>
      </c>
      <c r="AQ65" s="247" t="n">
        <f aca="false">VLOOKUP(B65,[41]Sheet1!A$6:B$360,2,0)</f>
        <v>16818</v>
      </c>
      <c r="AR65" s="247" t="n">
        <f aca="false">VLOOKUP(B65,[42]Sheet1!A$6:B$360,2,0)</f>
        <v>16818</v>
      </c>
    </row>
    <row r="66" customFormat="false" ht="12.8" hidden="false" customHeight="false" outlineLevel="0" collapsed="false">
      <c r="A66" s="23" t="s">
        <v>322</v>
      </c>
      <c r="B66" s="258" t="s">
        <v>414</v>
      </c>
      <c r="C66" s="247" t="n">
        <f aca="false">VLOOKUP(B66,[1]Sheet1!A$1:B$1048576,2,0)</f>
        <v>3100</v>
      </c>
      <c r="D66" s="247" t="n">
        <f aca="false">VLOOKUP(B66,[2]Sheet1!A$6:B$360,2,0)</f>
        <v>3100</v>
      </c>
      <c r="E66" s="247" t="n">
        <f aca="false">VLOOKUP(B66,[3]Sheet1!A$6:B$360,2,0)</f>
        <v>3100</v>
      </c>
      <c r="F66" s="247" t="n">
        <f aca="false">VLOOKUP(B66,[4]Sheet1!A$6:B$360,2,0)</f>
        <v>3100</v>
      </c>
      <c r="G66" s="247" t="n">
        <f aca="false">VLOOKUP(B66,[5]Sheet1!A$6:B$360,2,0)</f>
        <v>3100</v>
      </c>
      <c r="H66" s="247" t="n">
        <f aca="false">VLOOKUP(B66,[6]Sheet1!A$6:B$360,2,0)</f>
        <v>3100</v>
      </c>
      <c r="I66" s="247" t="n">
        <f aca="false">VLOOKUP(B66,[7]Sheet1!A$6:B$360,2,0)</f>
        <v>3100</v>
      </c>
      <c r="J66" s="247" t="n">
        <f aca="false">VLOOKUP(B66,[8]Sheet1!A$6:B$360,2,0)</f>
        <v>3100</v>
      </c>
      <c r="K66" s="259" t="n">
        <f aca="false">VLOOKUP(B66,[9]Sheet1!A$6:B$360,2,0)</f>
        <v>3100</v>
      </c>
      <c r="L66" s="260" t="n">
        <f aca="false">VLOOKUP(B66,[10]Sheet1!A$1:B$1048576,2,0)</f>
        <v>3100</v>
      </c>
      <c r="M66" s="247" t="n">
        <f aca="false">VLOOKUP(B66,[11]Sheet1!A$6:B$360,2,0)</f>
        <v>3100</v>
      </c>
      <c r="N66" s="247" t="n">
        <f aca="false">VLOOKUP(B66,[12]Sheet1!A$6:B$360,2,0)</f>
        <v>3100</v>
      </c>
      <c r="O66" s="247" t="n">
        <f aca="false">VLOOKUP(B66,[13]Sheet1!A$6:B$360,2,0)</f>
        <v>3100</v>
      </c>
      <c r="P66" s="247" t="n">
        <f aca="false">VLOOKUP(B66,[14]Sheet1!A$6:B$360,2,0)</f>
        <v>3106</v>
      </c>
      <c r="Q66" s="261" t="n">
        <f aca="false">VLOOKUP(B66,[15]Sheet1!A$6:B$360,2,0)</f>
        <v>3100</v>
      </c>
      <c r="R66" s="259" t="n">
        <f aca="false">VLOOKUP(B66,[16]Sheet1!A$6:B$360,2,0)</f>
        <v>3100</v>
      </c>
      <c r="S66" s="247" t="n">
        <f aca="false">VLOOKUP(B66,[17]Sheet1!A$6:B$360,2,0)</f>
        <v>3100</v>
      </c>
      <c r="T66" s="247" t="n">
        <f aca="false">VLOOKUP(B66,[18]Sheet1!A$6:B$360,2,0)</f>
        <v>3100</v>
      </c>
      <c r="U66" s="247" t="n">
        <f aca="false">VLOOKUP(B66,[19]Sheet1!A$6:B$360,2,0)</f>
        <v>3100</v>
      </c>
      <c r="V66" s="247" t="n">
        <f aca="false">VLOOKUP(B66,[20]Sheet1!A$6:B$360,2,0)</f>
        <v>3100</v>
      </c>
      <c r="W66" s="247" t="n">
        <f aca="false">VLOOKUP(B66,[21]Sheet1!A$6:B$360,2,0)</f>
        <v>3100</v>
      </c>
      <c r="X66" s="247" t="n">
        <f aca="false">VLOOKUP(B66,[22]Sheet1!A$6:B$360,2,0)</f>
        <v>3100</v>
      </c>
      <c r="Y66" s="263" t="n">
        <f aca="false">VLOOKUP(B66,[23]Sheet1!A$6:B$360,2,0)</f>
        <v>3100</v>
      </c>
      <c r="Z66" s="259" t="n">
        <f aca="false">VLOOKUP(B66,[24]Sheet1!A$6:B$360,2,0)</f>
        <v>3100</v>
      </c>
      <c r="AA66" s="247" t="n">
        <f aca="false">VLOOKUP(B66,[25]Sheet1!A$6:B$360,2,0)</f>
        <v>3100</v>
      </c>
      <c r="AB66" s="247" t="n">
        <f aca="false">VLOOKUP(B66,[26]Sheet1!A$6:B$360,2,0)</f>
        <v>3100</v>
      </c>
      <c r="AC66" s="247" t="n">
        <f aca="false">VLOOKUP(B66,[27]Sheet1!A$6:B$360,2,0)</f>
        <v>3100</v>
      </c>
      <c r="AD66" s="263" t="n">
        <f aca="false">VLOOKUP(B66,[28]Sheet1!A$6:B$360,2,0)</f>
        <v>3011</v>
      </c>
      <c r="AE66" s="259" t="n">
        <f aca="false">VLOOKUP(B66,[29]Sheet1!A$6:B$360,2,0)</f>
        <v>3200</v>
      </c>
      <c r="AF66" s="247" t="n">
        <f aca="false">VLOOKUP(B66,[30]Sheet1!A$6:B$360,2,0)</f>
        <v>3200</v>
      </c>
      <c r="AG66" s="247" t="n">
        <f aca="false">VLOOKUP(B66,[31]Sheet1!A$6:B$360,2,0)</f>
        <v>3200</v>
      </c>
      <c r="AH66" s="247" t="n">
        <f aca="false">VLOOKUP(B66,[32]Sheet1!A$6:B$360,2,0)</f>
        <v>3200</v>
      </c>
      <c r="AI66" s="247" t="n">
        <f aca="false">VLOOKUP(B66,[33]Sheet1!A$6:B$360,2,0)</f>
        <v>3200</v>
      </c>
      <c r="AJ66" s="263" t="n">
        <f aca="false">VLOOKUP(B66,[34]Sheet1!A$6:B$360,2,0)</f>
        <v>3200</v>
      </c>
      <c r="AK66" s="259" t="n">
        <f aca="false">VLOOKUP(B66,[35]Sheet1!A$6:B$360,2,0)</f>
        <v>3200</v>
      </c>
      <c r="AL66" s="247" t="n">
        <f aca="false">VLOOKUP(B66,[36]Sheet1!A$6:B$360,2,0)</f>
        <v>3201</v>
      </c>
      <c r="AM66" s="247" t="n">
        <f aca="false">VLOOKUP(B66,[37]Sheet1!A$6:B$360,2,0)</f>
        <v>3300</v>
      </c>
      <c r="AN66" s="247" t="n">
        <f aca="false">VLOOKUP(B66,[38]Sheet1!A$6:B$360,2,0)</f>
        <v>3400</v>
      </c>
      <c r="AO66" s="263" t="n">
        <f aca="false">VLOOKUP(B66,[39]Sheet1!A$6:B$360,2,0)</f>
        <v>3500</v>
      </c>
      <c r="AP66" s="259" t="n">
        <f aca="false">VLOOKUP(B66,[40]Sheet1!A$6:B$360,2,0)</f>
        <v>3600</v>
      </c>
      <c r="AQ66" s="247" t="n">
        <f aca="false">VLOOKUP(B66,[41]Sheet1!A$6:B$360,2,0)</f>
        <v>3600</v>
      </c>
      <c r="AR66" s="247" t="n">
        <f aca="false">VLOOKUP(B66,[42]Sheet1!A$6:B$360,2,0)</f>
        <v>3600</v>
      </c>
    </row>
    <row r="67" customFormat="false" ht="12.8" hidden="false" customHeight="false" outlineLevel="0" collapsed="false">
      <c r="A67" s="23" t="s">
        <v>323</v>
      </c>
      <c r="B67" s="258" t="s">
        <v>415</v>
      </c>
      <c r="C67" s="247" t="n">
        <f aca="false">VLOOKUP(B67,[1]Sheet1!A$1:B$1048576,2,0)</f>
        <v>30</v>
      </c>
      <c r="D67" s="247" t="n">
        <f aca="false">VLOOKUP(B67,[2]Sheet1!A$6:B$360,2,0)</f>
        <v>30</v>
      </c>
      <c r="E67" s="247" t="n">
        <f aca="false">VLOOKUP(B67,[3]Sheet1!A$6:B$360,2,0)</f>
        <v>30</v>
      </c>
      <c r="F67" s="247" t="n">
        <f aca="false">VLOOKUP(B67,[4]Sheet1!A$6:B$360,2,0)</f>
        <v>30</v>
      </c>
      <c r="G67" s="247" t="n">
        <f aca="false">VLOOKUP(B67,[5]Sheet1!A$6:B$360,2,0)</f>
        <v>30</v>
      </c>
      <c r="H67" s="247" t="n">
        <f aca="false">VLOOKUP(B67,[6]Sheet1!A$6:B$360,2,0)</f>
        <v>30</v>
      </c>
      <c r="I67" s="247" t="n">
        <f aca="false">VLOOKUP(B67,[7]Sheet1!A$6:B$360,2,0)</f>
        <v>30</v>
      </c>
      <c r="J67" s="247" t="n">
        <f aca="false">VLOOKUP(B67,[8]Sheet1!A$6:B$360,2,0)</f>
        <v>30</v>
      </c>
      <c r="K67" s="259" t="n">
        <f aca="false">VLOOKUP(B67,[9]Sheet1!A$6:B$360,2,0)</f>
        <v>30</v>
      </c>
      <c r="L67" s="260" t="n">
        <f aca="false">VLOOKUP(B67,[10]Sheet1!A$1:B$1048576,2,0)</f>
        <v>30</v>
      </c>
      <c r="M67" s="247" t="n">
        <f aca="false">VLOOKUP(B67,[11]Sheet1!A$6:B$360,2,0)</f>
        <v>30</v>
      </c>
      <c r="N67" s="247" t="n">
        <f aca="false">VLOOKUP(B67,[12]Sheet1!A$6:B$360,2,0)</f>
        <v>30</v>
      </c>
      <c r="O67" s="247" t="n">
        <f aca="false">VLOOKUP(B67,[13]Sheet1!A$6:B$360,2,0)</f>
        <v>30</v>
      </c>
      <c r="P67" s="247" t="n">
        <f aca="false">VLOOKUP(B67,[14]Sheet1!A$6:B$360,2,0)</f>
        <v>30</v>
      </c>
      <c r="Q67" s="261" t="n">
        <f aca="false">VLOOKUP(B67,[15]Sheet1!A$6:B$360,2,0)</f>
        <v>30</v>
      </c>
      <c r="R67" s="259" t="n">
        <f aca="false">VLOOKUP(B67,[16]Sheet1!A$6:B$360,2,0)</f>
        <v>30</v>
      </c>
      <c r="S67" s="247" t="n">
        <f aca="false">VLOOKUP(B67,[17]Sheet1!A$6:B$360,2,0)</f>
        <v>30</v>
      </c>
      <c r="T67" s="247" t="n">
        <f aca="false">VLOOKUP(B67,[18]Sheet1!A$6:B$360,2,0)</f>
        <v>30</v>
      </c>
      <c r="U67" s="247" t="n">
        <f aca="false">VLOOKUP(B67,[19]Sheet1!A$6:B$360,2,0)</f>
        <v>30</v>
      </c>
      <c r="V67" s="247" t="n">
        <f aca="false">VLOOKUP(B67,[20]Sheet1!A$6:B$360,2,0)</f>
        <v>30</v>
      </c>
      <c r="W67" s="247" t="n">
        <f aca="false">VLOOKUP(B67,[21]Sheet1!A$6:B$360,2,0)</f>
        <v>30</v>
      </c>
      <c r="X67" s="247" t="n">
        <f aca="false">VLOOKUP(B67,[22]Sheet1!A$6:B$360,2,0)</f>
        <v>30</v>
      </c>
      <c r="Y67" s="263" t="n">
        <f aca="false">VLOOKUP(B67,[23]Sheet1!A$6:B$360,2,0)</f>
        <v>30</v>
      </c>
      <c r="Z67" s="259" t="n">
        <f aca="false">VLOOKUP(B67,[24]Sheet1!A$6:B$360,2,0)</f>
        <v>30</v>
      </c>
      <c r="AA67" s="247" t="n">
        <f aca="false">VLOOKUP(B67,[25]Sheet1!A$6:B$360,2,0)</f>
        <v>30</v>
      </c>
      <c r="AB67" s="247" t="n">
        <f aca="false">VLOOKUP(B67,[26]Sheet1!A$6:B$360,2,0)</f>
        <v>30</v>
      </c>
      <c r="AC67" s="247" t="n">
        <f aca="false">VLOOKUP(B67,[27]Sheet1!A$6:B$360,2,0)</f>
        <v>30</v>
      </c>
      <c r="AD67" s="263" t="n">
        <f aca="false">VLOOKUP(B67,[28]Sheet1!A$6:B$360,2,0)</f>
        <v>30</v>
      </c>
      <c r="AE67" s="259" t="n">
        <f aca="false">VLOOKUP(B67,[29]Sheet1!A$6:B$360,2,0)</f>
        <v>30</v>
      </c>
      <c r="AF67" s="247" t="n">
        <f aca="false">VLOOKUP(B67,[30]Sheet1!A$6:B$360,2,0)</f>
        <v>30</v>
      </c>
      <c r="AG67" s="247" t="n">
        <f aca="false">VLOOKUP(B67,[31]Sheet1!A$6:B$360,2,0)</f>
        <v>30</v>
      </c>
      <c r="AH67" s="247" t="n">
        <f aca="false">VLOOKUP(B67,[32]Sheet1!A$6:B$360,2,0)</f>
        <v>30</v>
      </c>
      <c r="AI67" s="247" t="n">
        <f aca="false">VLOOKUP(B67,[33]Sheet1!A$6:B$360,2,0)</f>
        <v>30</v>
      </c>
      <c r="AJ67" s="263" t="n">
        <f aca="false">VLOOKUP(B67,[34]Sheet1!A$6:B$360,2,0)</f>
        <v>30</v>
      </c>
      <c r="AK67" s="259" t="n">
        <f aca="false">VLOOKUP(B67,[35]Sheet1!A$6:B$360,2,0)</f>
        <v>30</v>
      </c>
      <c r="AL67" s="247" t="n">
        <f aca="false">VLOOKUP(B67,[36]Sheet1!A$6:B$360,2,0)</f>
        <v>30</v>
      </c>
      <c r="AM67" s="247" t="n">
        <f aca="false">VLOOKUP(B67,[37]Sheet1!A$6:B$360,2,0)</f>
        <v>30</v>
      </c>
      <c r="AN67" s="247" t="n">
        <f aca="false">VLOOKUP(B67,[38]Sheet1!A$6:B$360,2,0)</f>
        <v>30</v>
      </c>
      <c r="AO67" s="263" t="n">
        <f aca="false">VLOOKUP(B67,[39]Sheet1!A$6:B$360,2,0)</f>
        <v>30</v>
      </c>
      <c r="AP67" s="259" t="n">
        <f aca="false">VLOOKUP(B67,[40]Sheet1!A$6:B$360,2,0)</f>
        <v>30</v>
      </c>
      <c r="AQ67" s="247" t="n">
        <f aca="false">VLOOKUP(B67,[41]Sheet1!A$6:B$360,2,0)</f>
        <v>30</v>
      </c>
      <c r="AR67" s="247" t="n">
        <f aca="false">VLOOKUP(B67,[42]Sheet1!A$6:B$360,2,0)</f>
        <v>30</v>
      </c>
    </row>
    <row r="68" customFormat="false" ht="12.8" hidden="false" customHeight="false" outlineLevel="0" collapsed="false">
      <c r="A68" s="23" t="s">
        <v>324</v>
      </c>
      <c r="B68" s="258" t="s">
        <v>416</v>
      </c>
      <c r="C68" s="247" t="n">
        <f aca="false">VLOOKUP(B68,[1]Sheet1!A$1:B$1048576,2,0)</f>
        <v>1200</v>
      </c>
      <c r="D68" s="247" t="n">
        <f aca="false">VLOOKUP(B68,[2]Sheet1!A$6:B$360,2,0)</f>
        <v>1200</v>
      </c>
      <c r="E68" s="247" t="n">
        <f aca="false">VLOOKUP(B68,[3]Sheet1!A$6:B$360,2,0)</f>
        <v>1200</v>
      </c>
      <c r="F68" s="247" t="n">
        <f aca="false">VLOOKUP(B68,[4]Sheet1!A$6:B$360,2,0)</f>
        <v>1200</v>
      </c>
      <c r="G68" s="247" t="n">
        <f aca="false">VLOOKUP(B68,[5]Sheet1!A$6:B$360,2,0)</f>
        <v>1200</v>
      </c>
      <c r="H68" s="247" t="n">
        <f aca="false">VLOOKUP(B68,[6]Sheet1!A$6:B$360,2,0)</f>
        <v>1200</v>
      </c>
      <c r="I68" s="247" t="n">
        <f aca="false">VLOOKUP(B68,[7]Sheet1!A$6:B$360,2,0)</f>
        <v>1200</v>
      </c>
      <c r="J68" s="247" t="n">
        <f aca="false">VLOOKUP(B68,[8]Sheet1!A$6:B$360,2,0)</f>
        <v>1200</v>
      </c>
      <c r="K68" s="259" t="n">
        <f aca="false">VLOOKUP(B68,[9]Sheet1!A$6:B$360,2,0)</f>
        <v>1200</v>
      </c>
      <c r="L68" s="260" t="n">
        <f aca="false">VLOOKUP(B68,[10]Sheet1!A$1:B$1048576,2,0)</f>
        <v>1200</v>
      </c>
      <c r="M68" s="247" t="n">
        <f aca="false">VLOOKUP(B68,[11]Sheet1!A$6:B$360,2,0)</f>
        <v>1200</v>
      </c>
      <c r="N68" s="247" t="n">
        <f aca="false">VLOOKUP(B68,[12]Sheet1!A$6:B$360,2,0)</f>
        <v>1200</v>
      </c>
      <c r="O68" s="247" t="n">
        <f aca="false">VLOOKUP(B68,[13]Sheet1!A$6:B$360,2,0)</f>
        <v>1200</v>
      </c>
      <c r="P68" s="247" t="n">
        <f aca="false">VLOOKUP(B68,[14]Sheet1!A$6:B$360,2,0)</f>
        <v>1200</v>
      </c>
      <c r="Q68" s="261" t="n">
        <f aca="false">VLOOKUP(B68,[15]Sheet1!A$6:B$360,2,0)</f>
        <v>1200</v>
      </c>
      <c r="R68" s="259" t="n">
        <f aca="false">VLOOKUP(B68,[16]Sheet1!A$6:B$360,2,0)</f>
        <v>1200</v>
      </c>
      <c r="S68" s="247" t="n">
        <f aca="false">VLOOKUP(B68,[17]Sheet1!A$6:B$360,2,0)</f>
        <v>1200</v>
      </c>
      <c r="T68" s="247" t="n">
        <f aca="false">VLOOKUP(B68,[18]Sheet1!A$6:B$360,2,0)</f>
        <v>1200</v>
      </c>
      <c r="U68" s="247" t="n">
        <f aca="false">VLOOKUP(B68,[19]Sheet1!A$6:B$360,2,0)</f>
        <v>1200</v>
      </c>
      <c r="V68" s="247" t="n">
        <f aca="false">VLOOKUP(B68,[20]Sheet1!A$6:B$360,2,0)</f>
        <v>1200</v>
      </c>
      <c r="W68" s="247" t="n">
        <f aca="false">VLOOKUP(B68,[21]Sheet1!A$6:B$360,2,0)</f>
        <v>1200</v>
      </c>
      <c r="X68" s="247" t="n">
        <f aca="false">VLOOKUP(B68,[22]Sheet1!A$6:B$360,2,0)</f>
        <v>1200</v>
      </c>
      <c r="Y68" s="263" t="n">
        <f aca="false">VLOOKUP(B68,[23]Sheet1!A$6:B$360,2,0)</f>
        <v>1200</v>
      </c>
      <c r="Z68" s="259" t="n">
        <f aca="false">VLOOKUP(B68,[24]Sheet1!A$6:B$360,2,0)</f>
        <v>1200</v>
      </c>
      <c r="AA68" s="247" t="n">
        <f aca="false">VLOOKUP(B68,[25]Sheet1!A$6:B$360,2,0)</f>
        <v>1200</v>
      </c>
      <c r="AB68" s="247" t="n">
        <f aca="false">VLOOKUP(B68,[26]Sheet1!A$6:B$360,2,0)</f>
        <v>1200</v>
      </c>
      <c r="AC68" s="247" t="n">
        <f aca="false">VLOOKUP(B68,[27]Sheet1!A$6:B$360,2,0)</f>
        <v>1200</v>
      </c>
      <c r="AD68" s="263" t="n">
        <f aca="false">VLOOKUP(B68,[28]Sheet1!A$6:B$360,2,0)</f>
        <v>1200</v>
      </c>
      <c r="AE68" s="259" t="n">
        <f aca="false">VLOOKUP(B68,[29]Sheet1!A$6:B$360,2,0)</f>
        <v>1200</v>
      </c>
      <c r="AF68" s="247" t="n">
        <f aca="false">VLOOKUP(B68,[30]Sheet1!A$6:B$360,2,0)</f>
        <v>1200</v>
      </c>
      <c r="AG68" s="247" t="n">
        <f aca="false">VLOOKUP(B68,[31]Sheet1!A$6:B$360,2,0)</f>
        <v>1200</v>
      </c>
      <c r="AH68" s="247" t="n">
        <f aca="false">VLOOKUP(B68,[32]Sheet1!A$6:B$360,2,0)</f>
        <v>1200</v>
      </c>
      <c r="AI68" s="247" t="n">
        <f aca="false">VLOOKUP(B68,[33]Sheet1!A$6:B$360,2,0)</f>
        <v>1200</v>
      </c>
      <c r="AJ68" s="263" t="n">
        <f aca="false">VLOOKUP(B68,[34]Sheet1!A$6:B$360,2,0)</f>
        <v>1200</v>
      </c>
      <c r="AK68" s="259" t="n">
        <f aca="false">VLOOKUP(B68,[35]Sheet1!A$6:B$360,2,0)</f>
        <v>1200</v>
      </c>
      <c r="AL68" s="247" t="n">
        <f aca="false">VLOOKUP(B68,[36]Sheet1!A$6:B$360,2,0)</f>
        <v>1200</v>
      </c>
      <c r="AM68" s="247" t="n">
        <f aca="false">VLOOKUP(B68,[37]Sheet1!A$6:B$360,2,0)</f>
        <v>1200</v>
      </c>
      <c r="AN68" s="247" t="n">
        <f aca="false">VLOOKUP(B68,[38]Sheet1!A$6:B$360,2,0)</f>
        <v>1200</v>
      </c>
      <c r="AO68" s="263" t="n">
        <f aca="false">VLOOKUP(B68,[39]Sheet1!A$6:B$360,2,0)</f>
        <v>1200</v>
      </c>
      <c r="AP68" s="259" t="n">
        <f aca="false">VLOOKUP(B68,[40]Sheet1!A$6:B$360,2,0)</f>
        <v>1200</v>
      </c>
      <c r="AQ68" s="247" t="n">
        <f aca="false">VLOOKUP(B68,[41]Sheet1!A$6:B$360,2,0)</f>
        <v>179</v>
      </c>
      <c r="AR68" s="247" t="n">
        <f aca="false">VLOOKUP(B68,[42]Sheet1!A$6:B$360,2,0)</f>
        <v>179</v>
      </c>
    </row>
    <row r="69" customFormat="false" ht="12.8" hidden="false" customHeight="false" outlineLevel="0" collapsed="false">
      <c r="A69" s="267" t="s">
        <v>26</v>
      </c>
      <c r="B69" s="268" t="s">
        <v>417</v>
      </c>
      <c r="C69" s="247" t="n">
        <f aca="false">VLOOKUP(B69,[1]Sheet1!A$1:B$1048576,2,0)</f>
        <v>3200.05</v>
      </c>
      <c r="D69" s="247" t="n">
        <f aca="false">VLOOKUP(B69,[2]Sheet1!A$6:B$360,2,0)</f>
        <v>3350</v>
      </c>
      <c r="E69" s="247" t="n">
        <f aca="false">VLOOKUP(B69,[3]Sheet1!A$6:B$360,2,0)</f>
        <v>3080.43</v>
      </c>
      <c r="F69" s="247" t="n">
        <f aca="false">VLOOKUP(B69,[4]Sheet1!A$6:B$360,2,0)</f>
        <v>3100</v>
      </c>
      <c r="G69" s="247" t="n">
        <f aca="false">VLOOKUP(B69,[5]Sheet1!A$6:B$360,2,0)</f>
        <v>3000</v>
      </c>
      <c r="H69" s="247" t="n">
        <f aca="false">VLOOKUP(B69,[6]Sheet1!A$6:B$360,2,0)</f>
        <v>2900</v>
      </c>
      <c r="I69" s="247" t="n">
        <f aca="false">VLOOKUP(B69,[7]Sheet1!A$6:B$360,2,0)</f>
        <v>2647</v>
      </c>
      <c r="J69" s="247" t="n">
        <f aca="false">VLOOKUP(B69,[8]Sheet1!A$6:B$360,2,0)</f>
        <v>2550</v>
      </c>
      <c r="K69" s="259" t="n">
        <f aca="false">VLOOKUP(B69,[9]Sheet1!A$6:B$360,2,0)</f>
        <v>2400</v>
      </c>
      <c r="L69" s="260" t="n">
        <f aca="false">VLOOKUP(B69,[10]Sheet1!A$1:B$1048576,2,0)</f>
        <v>2782</v>
      </c>
      <c r="M69" s="247" t="n">
        <f aca="false">VLOOKUP(B69,[11]Sheet1!A$6:B$360,2,0)</f>
        <v>2701</v>
      </c>
      <c r="N69" s="247" t="n">
        <f aca="false">VLOOKUP(B69,[12]Sheet1!A$6:B$360,2,0)</f>
        <v>2400</v>
      </c>
      <c r="O69" s="247" t="n">
        <f aca="false">VLOOKUP(B69,[13]Sheet1!A$6:B$360,2,0)</f>
        <v>2400</v>
      </c>
      <c r="P69" s="247" t="n">
        <f aca="false">VLOOKUP(B69,[14]Sheet1!A$6:B$360,2,0)</f>
        <v>2390</v>
      </c>
      <c r="Q69" s="261" t="n">
        <f aca="false">VLOOKUP(B69,[15]Sheet1!A$6:B$360,2,0)</f>
        <v>2600</v>
      </c>
      <c r="R69" s="259" t="n">
        <f aca="false">VLOOKUP(B69,[16]Sheet1!A$6:B$360,2,0)</f>
        <v>2430</v>
      </c>
      <c r="S69" s="247" t="n">
        <f aca="false">VLOOKUP(B69,[17]Sheet1!A$6:B$360,2,0)</f>
        <v>2699</v>
      </c>
      <c r="T69" s="247" t="n">
        <f aca="false">VLOOKUP(B69,[18]Sheet1!A$6:B$360,2,0)</f>
        <v>2699</v>
      </c>
      <c r="U69" s="247" t="n">
        <f aca="false">VLOOKUP(B69,[19]Sheet1!A$6:B$360,2,0)</f>
        <v>2999.33</v>
      </c>
      <c r="V69" s="247" t="n">
        <f aca="false">VLOOKUP(B69,[20]Sheet1!A$6:B$360,2,0)</f>
        <v>3050</v>
      </c>
      <c r="W69" s="247" t="n">
        <f aca="false">VLOOKUP(B69,[21]Sheet1!A$6:B$360,2,0)</f>
        <v>3006.73</v>
      </c>
      <c r="X69" s="247" t="n">
        <f aca="false">VLOOKUP(B69,[22]Sheet1!A$6:B$360,2,0)</f>
        <v>3006.73</v>
      </c>
      <c r="Y69" s="263" t="n">
        <f aca="false">VLOOKUP(B69,[23]Sheet1!A$6:B$360,2,0)</f>
        <v>3300</v>
      </c>
      <c r="Z69" s="259" t="n">
        <f aca="false">VLOOKUP(B69,[24]Sheet1!A$6:B$360,2,0)</f>
        <v>3100</v>
      </c>
      <c r="AA69" s="247" t="n">
        <f aca="false">VLOOKUP(B69,[25]Sheet1!A$6:B$360,2,0)</f>
        <v>3000</v>
      </c>
      <c r="AB69" s="247" t="n">
        <f aca="false">VLOOKUP(B69,[26]Sheet1!A$6:B$360,2,0)</f>
        <v>3000</v>
      </c>
      <c r="AC69" s="247" t="n">
        <f aca="false">VLOOKUP(B69,[27]Sheet1!A$6:B$360,2,0)</f>
        <v>3150</v>
      </c>
      <c r="AD69" s="263" t="n">
        <f aca="false">VLOOKUP(B69,[28]Sheet1!A$6:B$360,2,0)</f>
        <v>2986</v>
      </c>
      <c r="AE69" s="259" t="n">
        <f aca="false">VLOOKUP(B69,[29]Sheet1!A$6:B$360,2,0)</f>
        <v>2890</v>
      </c>
      <c r="AF69" s="247" t="n">
        <f aca="false">VLOOKUP(B69,[30]Sheet1!A$6:B$360,2,0)</f>
        <v>2922</v>
      </c>
      <c r="AG69" s="247" t="n">
        <f aca="false">VLOOKUP(B69,[31]Sheet1!A$6:B$360,2,0)</f>
        <v>2754.51</v>
      </c>
      <c r="AH69" s="247" t="n">
        <f aca="false">VLOOKUP(B69,[32]Sheet1!A$6:B$360,2,0)</f>
        <v>2600.62</v>
      </c>
      <c r="AI69" s="247" t="n">
        <f aca="false">VLOOKUP(B69,[33]Sheet1!A$6:B$360,2,0)</f>
        <v>2300</v>
      </c>
      <c r="AJ69" s="263" t="n">
        <f aca="false">VLOOKUP(B69,[34]Sheet1!A$6:B$360,2,0)</f>
        <v>3216.91</v>
      </c>
      <c r="AK69" s="259" t="n">
        <f aca="false">VLOOKUP(B69,[35]Sheet1!A$6:B$360,2,0)</f>
        <v>3100</v>
      </c>
      <c r="AL69" s="247" t="n">
        <f aca="false">VLOOKUP(B69,[36]Sheet1!A$6:B$360,2,0)</f>
        <v>2652.59</v>
      </c>
      <c r="AM69" s="247" t="n">
        <f aca="false">VLOOKUP(B69,[37]Sheet1!A$6:B$360,2,0)</f>
        <v>2534.95</v>
      </c>
      <c r="AN69" s="247" t="n">
        <f aca="false">VLOOKUP(B69,[38]Sheet1!A$6:B$360,2,0)</f>
        <v>2380.62</v>
      </c>
      <c r="AO69" s="263" t="n">
        <f aca="false">VLOOKUP(B69,[39]Sheet1!A$6:B$360,2,0)</f>
        <v>2648.4</v>
      </c>
      <c r="AP69" s="259" t="n">
        <f aca="false">VLOOKUP(B69,[40]Sheet1!A$6:B$360,2,0)</f>
        <v>2140</v>
      </c>
      <c r="AQ69" s="247" t="n">
        <f aca="false">VLOOKUP(B69,[41]Sheet1!A$6:B$360,2,0)</f>
        <v>2441</v>
      </c>
      <c r="AR69" s="247" t="n">
        <f aca="false">VLOOKUP(B69,[42]Sheet1!A$6:B$360,2,0)</f>
        <v>2300</v>
      </c>
    </row>
    <row r="70" customFormat="false" ht="12.8" hidden="false" customHeight="false" outlineLevel="0" collapsed="false">
      <c r="A70" s="264" t="s">
        <v>182</v>
      </c>
      <c r="B70" s="265" t="s">
        <v>418</v>
      </c>
      <c r="C70" s="247" t="n">
        <f aca="false">VLOOKUP(B70,[1]Sheet1!A$1:B$1048576,2,0)</f>
        <v>1982.33</v>
      </c>
      <c r="D70" s="247" t="n">
        <f aca="false">VLOOKUP(B70,[2]Sheet1!A$6:B$360,2,0)</f>
        <v>1800</v>
      </c>
      <c r="E70" s="247" t="n">
        <f aca="false">VLOOKUP(B70,[3]Sheet1!A$6:B$360,2,0)</f>
        <v>1800</v>
      </c>
      <c r="F70" s="247" t="n">
        <f aca="false">VLOOKUP(B70,[4]Sheet1!A$6:B$360,2,0)</f>
        <v>1569.09</v>
      </c>
      <c r="G70" s="247" t="n">
        <f aca="false">VLOOKUP(B70,[5]Sheet1!A$6:B$360,2,0)</f>
        <v>1560</v>
      </c>
      <c r="H70" s="247" t="n">
        <f aca="false">VLOOKUP(B70,[6]Sheet1!A$6:B$360,2,0)</f>
        <v>1592.24</v>
      </c>
      <c r="I70" s="247" t="n">
        <f aca="false">VLOOKUP(B70,[7]Sheet1!A$6:B$360,2,0)</f>
        <v>1512.34</v>
      </c>
      <c r="J70" s="247" t="n">
        <f aca="false">VLOOKUP(B70,[8]Sheet1!A$6:B$360,2,0)</f>
        <v>1410</v>
      </c>
      <c r="K70" s="259" t="n">
        <f aca="false">VLOOKUP(B70,[9]Sheet1!A$6:B$360,2,0)</f>
        <v>1317.78</v>
      </c>
      <c r="L70" s="260" t="n">
        <f aca="false">VLOOKUP(B70,[10]Sheet1!A$1:B$1048576,2,0)</f>
        <v>1339.25</v>
      </c>
      <c r="M70" s="247" t="n">
        <f aca="false">VLOOKUP(B70,[11]Sheet1!A$6:B$360,2,0)</f>
        <v>1296.8</v>
      </c>
      <c r="N70" s="247" t="n">
        <f aca="false">VLOOKUP(B70,[12]Sheet1!A$6:B$360,2,0)</f>
        <v>1299</v>
      </c>
      <c r="O70" s="247" t="n">
        <f aca="false">VLOOKUP(B70,[13]Sheet1!A$6:B$360,2,0)</f>
        <v>1285.85</v>
      </c>
      <c r="P70" s="247" t="n">
        <f aca="false">VLOOKUP(B70,[14]Sheet1!A$6:B$360,2,0)</f>
        <v>1236</v>
      </c>
      <c r="Q70" s="261" t="n">
        <f aca="false">VLOOKUP(B70,[15]Sheet1!A$6:B$360,2,0)</f>
        <v>1315.97</v>
      </c>
      <c r="R70" s="259" t="n">
        <f aca="false">VLOOKUP(B70,[16]Sheet1!A$6:B$360,2,0)</f>
        <v>1346</v>
      </c>
      <c r="S70" s="247" t="n">
        <f aca="false">VLOOKUP(B70,[17]Sheet1!A$6:B$360,2,0)</f>
        <v>1350</v>
      </c>
      <c r="T70" s="247" t="n">
        <f aca="false">VLOOKUP(B70,[18]Sheet1!A$6:B$360,2,0)</f>
        <v>1405.51</v>
      </c>
      <c r="U70" s="247" t="n">
        <f aca="false">VLOOKUP(B70,[19]Sheet1!A$6:B$360,2,0)</f>
        <v>1369.55</v>
      </c>
      <c r="V70" s="247" t="n">
        <f aca="false">VLOOKUP(B70,[20]Sheet1!A$6:B$360,2,0)</f>
        <v>1500</v>
      </c>
      <c r="W70" s="247" t="n">
        <f aca="false">VLOOKUP(B70,[21]Sheet1!A$6:B$360,2,0)</f>
        <v>1402</v>
      </c>
      <c r="X70" s="247" t="n">
        <f aca="false">VLOOKUP(B70,[22]Sheet1!A$6:B$360,2,0)</f>
        <v>1353.33</v>
      </c>
      <c r="Y70" s="263" t="n">
        <f aca="false">VLOOKUP(B70,[23]Sheet1!A$6:B$360,2,0)</f>
        <v>1500</v>
      </c>
      <c r="Z70" s="259" t="n">
        <f aca="false">VLOOKUP(B70,[24]Sheet1!A$6:B$360,2,0)</f>
        <v>1373.27</v>
      </c>
      <c r="AA70" s="247" t="n">
        <f aca="false">VLOOKUP(B70,[25]Sheet1!A$6:B$360,2,0)</f>
        <v>1310</v>
      </c>
      <c r="AB70" s="247" t="n">
        <f aca="false">VLOOKUP(B70,[26]Sheet1!A$6:B$360,2,0)</f>
        <v>1345.35</v>
      </c>
      <c r="AC70" s="247" t="n">
        <f aca="false">VLOOKUP(B70,[27]Sheet1!A$6:B$360,2,0)</f>
        <v>1200</v>
      </c>
      <c r="AD70" s="263" t="n">
        <f aca="false">VLOOKUP(B70,[28]Sheet1!A$6:B$360,2,0)</f>
        <v>1192</v>
      </c>
      <c r="AE70" s="259" t="n">
        <f aca="false">VLOOKUP(B70,[29]Sheet1!A$6:B$360,2,0)</f>
        <v>1144.98</v>
      </c>
      <c r="AF70" s="247" t="n">
        <f aca="false">VLOOKUP(B70,[30]Sheet1!A$6:B$360,2,0)</f>
        <v>1138.76</v>
      </c>
      <c r="AG70" s="247" t="n">
        <f aca="false">VLOOKUP(B70,[31]Sheet1!A$6:B$360,2,0)</f>
        <v>1182.32</v>
      </c>
      <c r="AH70" s="247" t="n">
        <f aca="false">VLOOKUP(B70,[32]Sheet1!A$6:B$360,2,0)</f>
        <v>1050</v>
      </c>
      <c r="AI70" s="247" t="n">
        <f aca="false">VLOOKUP(B70,[33]Sheet1!A$6:B$360,2,0)</f>
        <v>885.95</v>
      </c>
      <c r="AJ70" s="263" t="n">
        <f aca="false">VLOOKUP(B70,[34]Sheet1!A$6:B$360,2,0)</f>
        <v>1250</v>
      </c>
      <c r="AK70" s="259" t="n">
        <f aca="false">VLOOKUP(B70,[35]Sheet1!A$6:B$360,2,0)</f>
        <v>1201.6</v>
      </c>
      <c r="AL70" s="247" t="n">
        <f aca="false">VLOOKUP(B70,[36]Sheet1!A$6:B$360,2,0)</f>
        <v>1200</v>
      </c>
      <c r="AM70" s="247" t="n">
        <f aca="false">VLOOKUP(B70,[37]Sheet1!A$6:B$360,2,0)</f>
        <v>1200</v>
      </c>
      <c r="AN70" s="247" t="n">
        <f aca="false">VLOOKUP(B70,[38]Sheet1!A$6:B$360,2,0)</f>
        <v>1034.87</v>
      </c>
      <c r="AO70" s="263" t="n">
        <f aca="false">VLOOKUP(B70,[39]Sheet1!A$6:B$360,2,0)</f>
        <v>1178.4</v>
      </c>
      <c r="AP70" s="259" t="n">
        <f aca="false">VLOOKUP(B70,[40]Sheet1!A$6:B$360,2,0)</f>
        <v>1200</v>
      </c>
      <c r="AQ70" s="247" t="n">
        <f aca="false">VLOOKUP(B70,[41]Sheet1!A$6:B$360,2,0)</f>
        <v>1155.69</v>
      </c>
      <c r="AR70" s="247" t="n">
        <f aca="false">VLOOKUP(B70,[42]Sheet1!A$6:B$360,2,0)</f>
        <v>1134.47</v>
      </c>
    </row>
    <row r="71" customFormat="false" ht="12.8" hidden="false" customHeight="false" outlineLevel="0" collapsed="false">
      <c r="A71" s="23" t="s">
        <v>325</v>
      </c>
      <c r="B71" s="258" t="s">
        <v>419</v>
      </c>
      <c r="C71" s="247" t="n">
        <f aca="false">VLOOKUP(B71,[1]Sheet1!A$1:B$1048576,2,0)</f>
        <v>730</v>
      </c>
      <c r="D71" s="247" t="n">
        <f aca="false">VLOOKUP(B71,[2]Sheet1!A$6:B$360,2,0)</f>
        <v>730</v>
      </c>
      <c r="E71" s="247" t="n">
        <f aca="false">VLOOKUP(B71,[3]Sheet1!A$6:B$360,2,0)</f>
        <v>730</v>
      </c>
      <c r="F71" s="247" t="n">
        <f aca="false">VLOOKUP(B71,[4]Sheet1!A$6:B$360,2,0)</f>
        <v>730</v>
      </c>
      <c r="G71" s="247" t="n">
        <f aca="false">VLOOKUP(B71,[5]Sheet1!A$6:B$360,2,0)</f>
        <v>730</v>
      </c>
      <c r="H71" s="247" t="n">
        <f aca="false">VLOOKUP(B71,[6]Sheet1!A$6:B$360,2,0)</f>
        <v>730</v>
      </c>
      <c r="I71" s="247" t="n">
        <f aca="false">VLOOKUP(B71,[7]Sheet1!A$6:B$360,2,0)</f>
        <v>730</v>
      </c>
      <c r="J71" s="247" t="n">
        <f aca="false">VLOOKUP(B71,[8]Sheet1!A$6:B$360,2,0)</f>
        <v>730</v>
      </c>
      <c r="K71" s="259" t="n">
        <f aca="false">VLOOKUP(B71,[9]Sheet1!A$6:B$360,2,0)</f>
        <v>730</v>
      </c>
      <c r="L71" s="260" t="n">
        <f aca="false">VLOOKUP(B71,[10]Sheet1!A$1:B$1048576,2,0)</f>
        <v>730</v>
      </c>
      <c r="M71" s="247" t="n">
        <f aca="false">VLOOKUP(B71,[11]Sheet1!A$6:B$360,2,0)</f>
        <v>730</v>
      </c>
      <c r="N71" s="247" t="n">
        <f aca="false">VLOOKUP(B71,[12]Sheet1!A$6:B$360,2,0)</f>
        <v>730</v>
      </c>
      <c r="O71" s="247" t="n">
        <f aca="false">VLOOKUP(B71,[13]Sheet1!A$6:B$360,2,0)</f>
        <v>730</v>
      </c>
      <c r="P71" s="247" t="n">
        <f aca="false">VLOOKUP(B71,[14]Sheet1!A$6:B$360,2,0)</f>
        <v>730</v>
      </c>
      <c r="Q71" s="261" t="n">
        <f aca="false">VLOOKUP(B71,[15]Sheet1!A$6:B$360,2,0)</f>
        <v>730</v>
      </c>
      <c r="R71" s="259" t="n">
        <f aca="false">VLOOKUP(B71,[16]Sheet1!A$6:B$360,2,0)</f>
        <v>730</v>
      </c>
      <c r="S71" s="247" t="n">
        <f aca="false">VLOOKUP(B71,[17]Sheet1!A$6:B$360,2,0)</f>
        <v>730</v>
      </c>
      <c r="T71" s="247" t="n">
        <f aca="false">VLOOKUP(B71,[18]Sheet1!A$6:B$360,2,0)</f>
        <v>730</v>
      </c>
      <c r="U71" s="247" t="n">
        <f aca="false">VLOOKUP(B71,[19]Sheet1!A$6:B$360,2,0)</f>
        <v>730</v>
      </c>
      <c r="V71" s="247" t="n">
        <f aca="false">VLOOKUP(B71,[20]Sheet1!A$6:B$360,2,0)</f>
        <v>730</v>
      </c>
      <c r="W71" s="247" t="n">
        <f aca="false">VLOOKUP(B71,[21]Sheet1!A$6:B$360,2,0)</f>
        <v>730</v>
      </c>
      <c r="X71" s="247" t="n">
        <f aca="false">VLOOKUP(B71,[22]Sheet1!A$6:B$360,2,0)</f>
        <v>730</v>
      </c>
      <c r="Y71" s="263" t="n">
        <f aca="false">VLOOKUP(B71,[23]Sheet1!A$6:B$360,2,0)</f>
        <v>730</v>
      </c>
      <c r="Z71" s="259" t="n">
        <f aca="false">VLOOKUP(B71,[24]Sheet1!A$6:B$360,2,0)</f>
        <v>730</v>
      </c>
      <c r="AA71" s="247" t="n">
        <f aca="false">VLOOKUP(B71,[25]Sheet1!A$6:B$360,2,0)</f>
        <v>730</v>
      </c>
      <c r="AB71" s="247" t="n">
        <f aca="false">VLOOKUP(B71,[26]Sheet1!A$6:B$360,2,0)</f>
        <v>730</v>
      </c>
      <c r="AC71" s="247" t="n">
        <f aca="false">VLOOKUP(B71,[27]Sheet1!A$6:B$360,2,0)</f>
        <v>730</v>
      </c>
      <c r="AD71" s="263" t="n">
        <f aca="false">VLOOKUP(B71,[28]Sheet1!A$6:B$360,2,0)</f>
        <v>730</v>
      </c>
      <c r="AE71" s="259" t="n">
        <f aca="false">VLOOKUP(B71,[29]Sheet1!A$6:B$360,2,0)</f>
        <v>730</v>
      </c>
      <c r="AF71" s="247" t="n">
        <f aca="false">VLOOKUP(B71,[30]Sheet1!A$6:B$360,2,0)</f>
        <v>730</v>
      </c>
      <c r="AG71" s="247" t="n">
        <f aca="false">VLOOKUP(B71,[31]Sheet1!A$6:B$360,2,0)</f>
        <v>730</v>
      </c>
      <c r="AH71" s="247" t="n">
        <f aca="false">VLOOKUP(B71,[32]Sheet1!A$6:B$360,2,0)</f>
        <v>730</v>
      </c>
      <c r="AI71" s="247" t="n">
        <f aca="false">VLOOKUP(B71,[33]Sheet1!A$6:B$360,2,0)</f>
        <v>730</v>
      </c>
      <c r="AJ71" s="263" t="n">
        <f aca="false">VLOOKUP(B71,[34]Sheet1!A$6:B$360,2,0)</f>
        <v>730</v>
      </c>
      <c r="AK71" s="259" t="n">
        <f aca="false">VLOOKUP(B71,[35]Sheet1!A$6:B$360,2,0)</f>
        <v>730</v>
      </c>
      <c r="AL71" s="247" t="n">
        <f aca="false">VLOOKUP(B71,[36]Sheet1!A$6:B$360,2,0)</f>
        <v>730</v>
      </c>
      <c r="AM71" s="247" t="n">
        <f aca="false">VLOOKUP(B71,[37]Sheet1!A$6:B$360,2,0)</f>
        <v>730</v>
      </c>
      <c r="AN71" s="247" t="n">
        <f aca="false">VLOOKUP(B71,[38]Sheet1!A$6:B$360,2,0)</f>
        <v>730</v>
      </c>
      <c r="AO71" s="263" t="n">
        <f aca="false">VLOOKUP(B71,[39]Sheet1!A$6:B$360,2,0)</f>
        <v>730</v>
      </c>
      <c r="AP71" s="259" t="n">
        <f aca="false">VLOOKUP(B71,[40]Sheet1!A$6:B$360,2,0)</f>
        <v>730</v>
      </c>
      <c r="AQ71" s="247" t="n">
        <f aca="false">VLOOKUP(B71,[41]Sheet1!A$6:B$360,2,0)</f>
        <v>730</v>
      </c>
      <c r="AR71" s="247" t="n">
        <f aca="false">VLOOKUP(B71,[42]Sheet1!A$6:B$360,2,0)</f>
        <v>730</v>
      </c>
    </row>
    <row r="72" customFormat="false" ht="12.8" hidden="false" customHeight="false" outlineLevel="0" collapsed="false">
      <c r="A72" s="23" t="s">
        <v>191</v>
      </c>
      <c r="B72" s="258" t="s">
        <v>420</v>
      </c>
      <c r="C72" s="247" t="n">
        <f aca="false">VLOOKUP(B72,[1]Sheet1!A$1:B$1048576,2,0)</f>
        <v>2800</v>
      </c>
      <c r="D72" s="247" t="n">
        <f aca="false">VLOOKUP(B72,[2]Sheet1!A$6:B$360,2,0)</f>
        <v>3052.67</v>
      </c>
      <c r="E72" s="247" t="n">
        <f aca="false">VLOOKUP(B72,[3]Sheet1!A$6:B$360,2,0)</f>
        <v>3052.67</v>
      </c>
      <c r="F72" s="247" t="n">
        <f aca="false">VLOOKUP(B72,[4]Sheet1!A$6:B$360,2,0)</f>
        <v>2970</v>
      </c>
      <c r="G72" s="247" t="n">
        <f aca="false">VLOOKUP(B72,[5]Sheet1!A$6:B$360,2,0)</f>
        <v>3000</v>
      </c>
      <c r="H72" s="247" t="n">
        <f aca="false">VLOOKUP(B72,[6]Sheet1!A$6:B$360,2,0)</f>
        <v>2881</v>
      </c>
      <c r="I72" s="247" t="n">
        <f aca="false">VLOOKUP(B72,[7]Sheet1!A$6:B$360,2,0)</f>
        <v>2800</v>
      </c>
      <c r="J72" s="247" t="n">
        <f aca="false">VLOOKUP(B72,[8]Sheet1!A$6:B$360,2,0)</f>
        <v>2800</v>
      </c>
      <c r="K72" s="259" t="n">
        <f aca="false">VLOOKUP(B72,[9]Sheet1!A$6:B$360,2,0)</f>
        <v>2989</v>
      </c>
      <c r="L72" s="260" t="n">
        <f aca="false">VLOOKUP(B72,[10]Sheet1!A$1:B$1048576,2,0)</f>
        <v>3100</v>
      </c>
      <c r="M72" s="247" t="n">
        <f aca="false">VLOOKUP(B72,[11]Sheet1!A$6:B$360,2,0)</f>
        <v>3100</v>
      </c>
      <c r="N72" s="247" t="n">
        <f aca="false">VLOOKUP(B72,[12]Sheet1!A$6:B$360,2,0)</f>
        <v>3100</v>
      </c>
      <c r="O72" s="247" t="n">
        <f aca="false">VLOOKUP(B72,[13]Sheet1!A$6:B$360,2,0)</f>
        <v>3090</v>
      </c>
      <c r="P72" s="247" t="n">
        <f aca="false">VLOOKUP(B72,[14]Sheet1!A$6:B$360,2,0)</f>
        <v>3100</v>
      </c>
      <c r="Q72" s="261" t="n">
        <f aca="false">VLOOKUP(B72,[15]Sheet1!A$6:B$360,2,0)</f>
        <v>2593.33</v>
      </c>
      <c r="R72" s="259" t="n">
        <f aca="false">VLOOKUP(B72,[16]Sheet1!A$6:B$360,2,0)</f>
        <v>2500</v>
      </c>
      <c r="S72" s="247" t="n">
        <f aca="false">VLOOKUP(B72,[17]Sheet1!A$6:B$360,2,0)</f>
        <v>2267</v>
      </c>
      <c r="T72" s="247" t="n">
        <f aca="false">VLOOKUP(B72,[18]Sheet1!A$6:B$360,2,0)</f>
        <v>2280</v>
      </c>
      <c r="U72" s="247" t="n">
        <f aca="false">VLOOKUP(B72,[19]Sheet1!A$6:B$360,2,0)</f>
        <v>2260.34</v>
      </c>
      <c r="V72" s="247" t="n">
        <f aca="false">VLOOKUP(B72,[20]Sheet1!A$6:B$360,2,0)</f>
        <v>2350</v>
      </c>
      <c r="W72" s="247" t="n">
        <f aca="false">VLOOKUP(B72,[21]Sheet1!A$6:B$360,2,0)</f>
        <v>2305</v>
      </c>
      <c r="X72" s="247" t="n">
        <f aca="false">VLOOKUP(B72,[22]Sheet1!A$6:B$360,2,0)</f>
        <v>2305</v>
      </c>
      <c r="Y72" s="263" t="n">
        <f aca="false">VLOOKUP(B72,[23]Sheet1!A$6:B$360,2,0)</f>
        <v>2305</v>
      </c>
      <c r="Z72" s="259" t="n">
        <f aca="false">VLOOKUP(B72,[24]Sheet1!A$6:B$360,2,0)</f>
        <v>2350</v>
      </c>
      <c r="AA72" s="247" t="n">
        <f aca="false">VLOOKUP(B72,[25]Sheet1!A$6:B$360,2,0)</f>
        <v>2224</v>
      </c>
      <c r="AB72" s="247" t="n">
        <f aca="false">VLOOKUP(B72,[26]Sheet1!A$6:B$360,2,0)</f>
        <v>2244</v>
      </c>
      <c r="AC72" s="247" t="n">
        <f aca="false">VLOOKUP(B72,[27]Sheet1!A$6:B$360,2,0)</f>
        <v>2040</v>
      </c>
      <c r="AD72" s="263" t="n">
        <f aca="false">VLOOKUP(B72,[28]Sheet1!A$6:B$360,2,0)</f>
        <v>1900</v>
      </c>
      <c r="AE72" s="259" t="n">
        <f aca="false">VLOOKUP(B72,[29]Sheet1!A$6:B$360,2,0)</f>
        <v>1950</v>
      </c>
      <c r="AF72" s="247" t="n">
        <f aca="false">VLOOKUP(B72,[30]Sheet1!A$6:B$360,2,0)</f>
        <v>2004</v>
      </c>
      <c r="AG72" s="247" t="n">
        <f aca="false">VLOOKUP(B72,[31]Sheet1!A$6:B$360,2,0)</f>
        <v>1887</v>
      </c>
      <c r="AH72" s="247" t="n">
        <f aca="false">VLOOKUP(B72,[32]Sheet1!A$6:B$360,2,0)</f>
        <v>1424.41</v>
      </c>
      <c r="AI72" s="247" t="n">
        <f aca="false">VLOOKUP(B72,[33]Sheet1!A$6:B$360,2,0)</f>
        <v>1995</v>
      </c>
      <c r="AJ72" s="263" t="n">
        <f aca="false">VLOOKUP(B72,[34]Sheet1!A$6:B$360,2,0)</f>
        <v>2249.77</v>
      </c>
      <c r="AK72" s="259" t="n">
        <f aca="false">VLOOKUP(B72,[35]Sheet1!A$6:B$360,2,0)</f>
        <v>2300</v>
      </c>
      <c r="AL72" s="247" t="n">
        <f aca="false">VLOOKUP(B72,[36]Sheet1!A$6:B$360,2,0)</f>
        <v>2400</v>
      </c>
      <c r="AM72" s="247" t="n">
        <f aca="false">VLOOKUP(B72,[37]Sheet1!A$6:B$360,2,0)</f>
        <v>2351</v>
      </c>
      <c r="AN72" s="247" t="n">
        <f aca="false">VLOOKUP(B72,[38]Sheet1!A$6:B$360,2,0)</f>
        <v>2384.62</v>
      </c>
      <c r="AO72" s="263" t="n">
        <f aca="false">VLOOKUP(B72,[39]Sheet1!A$6:B$360,2,0)</f>
        <v>2231</v>
      </c>
      <c r="AP72" s="259" t="n">
        <f aca="false">VLOOKUP(B72,[40]Sheet1!A$6:B$360,2,0)</f>
        <v>2294.97</v>
      </c>
      <c r="AQ72" s="247" t="n">
        <f aca="false">VLOOKUP(B72,[41]Sheet1!A$6:B$360,2,0)</f>
        <v>2300</v>
      </c>
      <c r="AR72" s="247" t="n">
        <f aca="false">VLOOKUP(B72,[42]Sheet1!A$6:B$360,2,0)</f>
        <v>2250</v>
      </c>
    </row>
    <row r="73" customFormat="false" ht="12.8" hidden="false" customHeight="false" outlineLevel="0" collapsed="false">
      <c r="A73" s="23" t="s">
        <v>326</v>
      </c>
      <c r="B73" s="258" t="s">
        <v>421</v>
      </c>
      <c r="C73" s="247" t="n">
        <f aca="false">VLOOKUP(B73,[1]Sheet1!A$1:B$1048576,2,0)</f>
        <v>1000</v>
      </c>
      <c r="D73" s="247" t="n">
        <f aca="false">VLOOKUP(B73,[2]Sheet1!A$6:B$360,2,0)</f>
        <v>1000</v>
      </c>
      <c r="E73" s="247" t="n">
        <f aca="false">VLOOKUP(B73,[3]Sheet1!A$6:B$360,2,0)</f>
        <v>1000</v>
      </c>
      <c r="F73" s="247" t="n">
        <f aca="false">VLOOKUP(B73,[4]Sheet1!A$6:B$360,2,0)</f>
        <v>1000</v>
      </c>
      <c r="G73" s="247" t="n">
        <f aca="false">VLOOKUP(B73,[5]Sheet1!A$6:B$360,2,0)</f>
        <v>1000</v>
      </c>
      <c r="H73" s="247" t="n">
        <f aca="false">VLOOKUP(B73,[6]Sheet1!A$6:B$360,2,0)</f>
        <v>1000</v>
      </c>
      <c r="I73" s="247" t="n">
        <f aca="false">VLOOKUP(B73,[7]Sheet1!A$6:B$360,2,0)</f>
        <v>1000</v>
      </c>
      <c r="J73" s="247" t="n">
        <f aca="false">VLOOKUP(B73,[8]Sheet1!A$6:B$360,2,0)</f>
        <v>1000</v>
      </c>
      <c r="K73" s="259" t="n">
        <f aca="false">VLOOKUP(B73,[9]Sheet1!A$6:B$360,2,0)</f>
        <v>1000</v>
      </c>
      <c r="L73" s="260" t="n">
        <f aca="false">VLOOKUP(B73,[10]Sheet1!A$1:B$1048576,2,0)</f>
        <v>1000</v>
      </c>
      <c r="M73" s="247" t="n">
        <f aca="false">VLOOKUP(B73,[11]Sheet1!A$6:B$360,2,0)</f>
        <v>1000</v>
      </c>
      <c r="N73" s="247" t="n">
        <f aca="false">VLOOKUP(B73,[12]Sheet1!A$6:B$360,2,0)</f>
        <v>1000</v>
      </c>
      <c r="O73" s="247" t="n">
        <f aca="false">VLOOKUP(B73,[13]Sheet1!A$6:B$360,2,0)</f>
        <v>1000</v>
      </c>
      <c r="P73" s="247" t="n">
        <f aca="false">VLOOKUP(B73,[14]Sheet1!A$6:B$360,2,0)</f>
        <v>1000</v>
      </c>
      <c r="Q73" s="261" t="n">
        <f aca="false">VLOOKUP(B73,[15]Sheet1!A$6:B$360,2,0)</f>
        <v>1000</v>
      </c>
      <c r="R73" s="259" t="n">
        <f aca="false">VLOOKUP(B73,[16]Sheet1!A$6:B$360,2,0)</f>
        <v>1000</v>
      </c>
      <c r="S73" s="247" t="n">
        <f aca="false">VLOOKUP(B73,[17]Sheet1!A$6:B$360,2,0)</f>
        <v>1000</v>
      </c>
      <c r="T73" s="247" t="n">
        <f aca="false">VLOOKUP(B73,[18]Sheet1!A$6:B$360,2,0)</f>
        <v>1000</v>
      </c>
      <c r="U73" s="247" t="n">
        <f aca="false">VLOOKUP(B73,[19]Sheet1!A$6:B$360,2,0)</f>
        <v>1000</v>
      </c>
      <c r="V73" s="247" t="n">
        <f aca="false">VLOOKUP(B73,[20]Sheet1!A$6:B$360,2,0)</f>
        <v>1000</v>
      </c>
      <c r="W73" s="247" t="n">
        <f aca="false">VLOOKUP(B73,[21]Sheet1!A$6:B$360,2,0)</f>
        <v>1000</v>
      </c>
      <c r="X73" s="247" t="n">
        <f aca="false">VLOOKUP(B73,[22]Sheet1!A$6:B$360,2,0)</f>
        <v>1000</v>
      </c>
      <c r="Y73" s="263" t="n">
        <f aca="false">VLOOKUP(B73,[23]Sheet1!A$6:B$360,2,0)</f>
        <v>1000</v>
      </c>
      <c r="Z73" s="259" t="n">
        <f aca="false">VLOOKUP(B73,[24]Sheet1!A$6:B$360,2,0)</f>
        <v>1000</v>
      </c>
      <c r="AA73" s="247" t="n">
        <f aca="false">VLOOKUP(B73,[25]Sheet1!A$6:B$360,2,0)</f>
        <v>1000</v>
      </c>
      <c r="AB73" s="247" t="n">
        <f aca="false">VLOOKUP(B73,[26]Sheet1!A$6:B$360,2,0)</f>
        <v>1000</v>
      </c>
      <c r="AC73" s="247" t="n">
        <f aca="false">VLOOKUP(B73,[27]Sheet1!A$6:B$360,2,0)</f>
        <v>1000</v>
      </c>
      <c r="AD73" s="263" t="n">
        <f aca="false">VLOOKUP(B73,[28]Sheet1!A$6:B$360,2,0)</f>
        <v>1000</v>
      </c>
      <c r="AE73" s="259" t="n">
        <f aca="false">VLOOKUP(B73,[29]Sheet1!A$6:B$360,2,0)</f>
        <v>1000</v>
      </c>
      <c r="AF73" s="247" t="n">
        <f aca="false">VLOOKUP(B73,[30]Sheet1!A$6:B$360,2,0)</f>
        <v>1000</v>
      </c>
      <c r="AG73" s="247" t="n">
        <f aca="false">VLOOKUP(B73,[31]Sheet1!A$6:B$360,2,0)</f>
        <v>1000</v>
      </c>
      <c r="AH73" s="247" t="n">
        <f aca="false">VLOOKUP(B73,[32]Sheet1!A$6:B$360,2,0)</f>
        <v>1000</v>
      </c>
      <c r="AI73" s="247" t="n">
        <f aca="false">VLOOKUP(B73,[33]Sheet1!A$6:B$360,2,0)</f>
        <v>1000</v>
      </c>
      <c r="AJ73" s="263" t="n">
        <f aca="false">VLOOKUP(B73,[34]Sheet1!A$6:B$360,2,0)</f>
        <v>1000</v>
      </c>
      <c r="AK73" s="259" t="n">
        <f aca="false">VLOOKUP(B73,[35]Sheet1!A$6:B$360,2,0)</f>
        <v>1000</v>
      </c>
      <c r="AL73" s="247" t="n">
        <f aca="false">VLOOKUP(B73,[36]Sheet1!A$6:B$360,2,0)</f>
        <v>1000</v>
      </c>
      <c r="AM73" s="247" t="n">
        <f aca="false">VLOOKUP(B73,[37]Sheet1!A$6:B$360,2,0)</f>
        <v>1000</v>
      </c>
      <c r="AN73" s="247" t="n">
        <f aca="false">VLOOKUP(B73,[38]Sheet1!A$6:B$360,2,0)</f>
        <v>1000</v>
      </c>
      <c r="AO73" s="263" t="n">
        <f aca="false">VLOOKUP(B73,[39]Sheet1!A$6:B$360,2,0)</f>
        <v>1000</v>
      </c>
      <c r="AP73" s="259" t="n">
        <f aca="false">VLOOKUP(B73,[40]Sheet1!A$6:B$360,2,0)</f>
        <v>1000</v>
      </c>
      <c r="AQ73" s="247" t="n">
        <f aca="false">VLOOKUP(B73,[41]Sheet1!A$6:B$360,2,0)</f>
        <v>1000</v>
      </c>
      <c r="AR73" s="247" t="n">
        <f aca="false">VLOOKUP(B73,[42]Sheet1!A$6:B$360,2,0)</f>
        <v>1000</v>
      </c>
    </row>
    <row r="74" customFormat="false" ht="12.8" hidden="false" customHeight="false" outlineLevel="0" collapsed="false">
      <c r="A74" s="23" t="s">
        <v>327</v>
      </c>
      <c r="B74" s="258" t="s">
        <v>422</v>
      </c>
      <c r="C74" s="247" t="n">
        <f aca="false">VLOOKUP(B74,[1]Sheet1!A$1:B$1048576,2,0)</f>
        <v>1800</v>
      </c>
      <c r="D74" s="247" t="n">
        <f aca="false">VLOOKUP(B74,[2]Sheet1!A$6:B$360,2,0)</f>
        <v>1800</v>
      </c>
      <c r="E74" s="247" t="n">
        <f aca="false">VLOOKUP(B74,[3]Sheet1!A$6:B$360,2,0)</f>
        <v>1800</v>
      </c>
      <c r="F74" s="247" t="n">
        <f aca="false">VLOOKUP(B74,[4]Sheet1!A$6:B$360,2,0)</f>
        <v>1800</v>
      </c>
      <c r="G74" s="247" t="n">
        <f aca="false">VLOOKUP(B74,[5]Sheet1!A$6:B$360,2,0)</f>
        <v>1800</v>
      </c>
      <c r="H74" s="247" t="n">
        <f aca="false">VLOOKUP(B74,[6]Sheet1!A$6:B$360,2,0)</f>
        <v>1800</v>
      </c>
      <c r="I74" s="247" t="n">
        <f aca="false">VLOOKUP(B74,[7]Sheet1!A$6:B$360,2,0)</f>
        <v>1800</v>
      </c>
      <c r="J74" s="247" t="n">
        <f aca="false">VLOOKUP(B74,[8]Sheet1!A$6:B$360,2,0)</f>
        <v>1800</v>
      </c>
      <c r="K74" s="259" t="n">
        <f aca="false">VLOOKUP(B74,[9]Sheet1!A$6:B$360,2,0)</f>
        <v>1800</v>
      </c>
      <c r="L74" s="260" t="n">
        <f aca="false">VLOOKUP(B74,[10]Sheet1!A$1:B$1048576,2,0)</f>
        <v>1800</v>
      </c>
      <c r="M74" s="247" t="n">
        <f aca="false">VLOOKUP(B74,[11]Sheet1!A$6:B$360,2,0)</f>
        <v>1800</v>
      </c>
      <c r="N74" s="247" t="n">
        <f aca="false">VLOOKUP(B74,[12]Sheet1!A$6:B$360,2,0)</f>
        <v>1800</v>
      </c>
      <c r="O74" s="247" t="n">
        <f aca="false">VLOOKUP(B74,[13]Sheet1!A$6:B$360,2,0)</f>
        <v>1800</v>
      </c>
      <c r="P74" s="247" t="n">
        <f aca="false">VLOOKUP(B74,[14]Sheet1!A$6:B$360,2,0)</f>
        <v>1800</v>
      </c>
      <c r="Q74" s="261" t="n">
        <f aca="false">VLOOKUP(B74,[15]Sheet1!A$6:B$360,2,0)</f>
        <v>1800</v>
      </c>
      <c r="R74" s="259" t="n">
        <f aca="false">VLOOKUP(B74,[16]Sheet1!A$6:B$360,2,0)</f>
        <v>1800</v>
      </c>
      <c r="S74" s="247" t="n">
        <f aca="false">VLOOKUP(B74,[17]Sheet1!A$6:B$360,2,0)</f>
        <v>1800</v>
      </c>
      <c r="T74" s="247" t="n">
        <f aca="false">VLOOKUP(B74,[18]Sheet1!A$6:B$360,2,0)</f>
        <v>1800</v>
      </c>
      <c r="U74" s="247" t="n">
        <f aca="false">VLOOKUP(B74,[19]Sheet1!A$6:B$360,2,0)</f>
        <v>1800</v>
      </c>
      <c r="V74" s="247" t="n">
        <f aca="false">VLOOKUP(B74,[20]Sheet1!A$6:B$360,2,0)</f>
        <v>1800</v>
      </c>
      <c r="W74" s="247" t="n">
        <f aca="false">VLOOKUP(B74,[21]Sheet1!A$6:B$360,2,0)</f>
        <v>1800</v>
      </c>
      <c r="X74" s="247" t="n">
        <f aca="false">VLOOKUP(B74,[22]Sheet1!A$6:B$360,2,0)</f>
        <v>1800</v>
      </c>
      <c r="Y74" s="263" t="n">
        <f aca="false">VLOOKUP(B74,[23]Sheet1!A$6:B$360,2,0)</f>
        <v>1800</v>
      </c>
      <c r="Z74" s="259" t="n">
        <f aca="false">VLOOKUP(B74,[24]Sheet1!A$6:B$360,2,0)</f>
        <v>1800</v>
      </c>
      <c r="AA74" s="247" t="n">
        <f aca="false">VLOOKUP(B74,[25]Sheet1!A$6:B$360,2,0)</f>
        <v>1800</v>
      </c>
      <c r="AB74" s="247" t="n">
        <f aca="false">VLOOKUP(B74,[26]Sheet1!A$6:B$360,2,0)</f>
        <v>1800</v>
      </c>
      <c r="AC74" s="247" t="n">
        <f aca="false">VLOOKUP(B74,[27]Sheet1!A$6:B$360,2,0)</f>
        <v>1800</v>
      </c>
      <c r="AD74" s="263" t="n">
        <f aca="false">VLOOKUP(B74,[28]Sheet1!A$6:B$360,2,0)</f>
        <v>1800</v>
      </c>
      <c r="AE74" s="259" t="n">
        <f aca="false">VLOOKUP(B74,[29]Sheet1!A$6:B$360,2,0)</f>
        <v>1800</v>
      </c>
      <c r="AF74" s="247" t="n">
        <f aca="false">VLOOKUP(B74,[30]Sheet1!A$6:B$360,2,0)</f>
        <v>1800</v>
      </c>
      <c r="AG74" s="247" t="n">
        <f aca="false">VLOOKUP(B74,[31]Sheet1!A$6:B$360,2,0)</f>
        <v>1800</v>
      </c>
      <c r="AH74" s="247" t="n">
        <f aca="false">VLOOKUP(B74,[32]Sheet1!A$6:B$360,2,0)</f>
        <v>1800</v>
      </c>
      <c r="AI74" s="247" t="n">
        <f aca="false">VLOOKUP(B74,[33]Sheet1!A$6:B$360,2,0)</f>
        <v>1800</v>
      </c>
      <c r="AJ74" s="263" t="n">
        <f aca="false">VLOOKUP(B74,[34]Sheet1!A$6:B$360,2,0)</f>
        <v>1800</v>
      </c>
      <c r="AK74" s="259" t="n">
        <f aca="false">VLOOKUP(B74,[35]Sheet1!A$6:B$360,2,0)</f>
        <v>1800</v>
      </c>
      <c r="AL74" s="247" t="n">
        <f aca="false">VLOOKUP(B74,[36]Sheet1!A$6:B$360,2,0)</f>
        <v>1800</v>
      </c>
      <c r="AM74" s="247" t="n">
        <f aca="false">VLOOKUP(B74,[37]Sheet1!A$6:B$360,2,0)</f>
        <v>1800</v>
      </c>
      <c r="AN74" s="247" t="n">
        <f aca="false">VLOOKUP(B74,[38]Sheet1!A$6:B$360,2,0)</f>
        <v>1800</v>
      </c>
      <c r="AO74" s="263" t="n">
        <f aca="false">VLOOKUP(B74,[39]Sheet1!A$6:B$360,2,0)</f>
        <v>1800</v>
      </c>
      <c r="AP74" s="259" t="n">
        <f aca="false">VLOOKUP(B74,[40]Sheet1!A$6:B$360,2,0)</f>
        <v>1500</v>
      </c>
      <c r="AQ74" s="247" t="n">
        <f aca="false">VLOOKUP(B74,[41]Sheet1!A$6:B$360,2,0)</f>
        <v>1500</v>
      </c>
      <c r="AR74" s="247" t="n">
        <f aca="false">VLOOKUP(B74,[42]Sheet1!A$6:B$360,2,0)</f>
        <v>1500</v>
      </c>
    </row>
    <row r="75" customFormat="false" ht="12.8" hidden="false" customHeight="false" outlineLevel="0" collapsed="false">
      <c r="A75" s="23" t="s">
        <v>328</v>
      </c>
      <c r="B75" s="258" t="s">
        <v>423</v>
      </c>
      <c r="C75" s="247" t="n">
        <f aca="false">VLOOKUP(B75,[1]Sheet1!A$1:B$1048576,2,0)</f>
        <v>97</v>
      </c>
      <c r="D75" s="247" t="n">
        <f aca="false">VLOOKUP(B75,[2]Sheet1!A$6:B$360,2,0)</f>
        <v>97</v>
      </c>
      <c r="E75" s="247" t="n">
        <f aca="false">VLOOKUP(B75,[3]Sheet1!A$6:B$360,2,0)</f>
        <v>97</v>
      </c>
      <c r="F75" s="247" t="n">
        <f aca="false">VLOOKUP(B75,[4]Sheet1!A$6:B$360,2,0)</f>
        <v>97</v>
      </c>
      <c r="G75" s="247" t="n">
        <f aca="false">VLOOKUP(B75,[5]Sheet1!A$6:B$360,2,0)</f>
        <v>97</v>
      </c>
      <c r="H75" s="247" t="n">
        <f aca="false">VLOOKUP(B75,[6]Sheet1!A$6:B$360,2,0)</f>
        <v>97</v>
      </c>
      <c r="I75" s="247" t="n">
        <f aca="false">VLOOKUP(B75,[7]Sheet1!A$6:B$360,2,0)</f>
        <v>97</v>
      </c>
      <c r="J75" s="247" t="n">
        <f aca="false">VLOOKUP(B75,[8]Sheet1!A$6:B$360,2,0)</f>
        <v>97</v>
      </c>
      <c r="K75" s="259" t="n">
        <f aca="false">VLOOKUP(B75,[9]Sheet1!A$6:B$360,2,0)</f>
        <v>97</v>
      </c>
      <c r="L75" s="260" t="n">
        <f aca="false">VLOOKUP(B75,[10]Sheet1!A$1:B$1048576,2,0)</f>
        <v>97</v>
      </c>
      <c r="M75" s="247" t="n">
        <f aca="false">VLOOKUP(B75,[11]Sheet1!A$6:B$360,2,0)</f>
        <v>97</v>
      </c>
      <c r="N75" s="247" t="n">
        <f aca="false">VLOOKUP(B75,[12]Sheet1!A$6:B$360,2,0)</f>
        <v>97</v>
      </c>
      <c r="O75" s="247" t="n">
        <f aca="false">VLOOKUP(B75,[13]Sheet1!A$6:B$360,2,0)</f>
        <v>97</v>
      </c>
      <c r="P75" s="247" t="n">
        <f aca="false">VLOOKUP(B75,[14]Sheet1!A$6:B$360,2,0)</f>
        <v>97</v>
      </c>
      <c r="Q75" s="261" t="n">
        <f aca="false">VLOOKUP(B75,[15]Sheet1!A$6:B$360,2,0)</f>
        <v>97</v>
      </c>
      <c r="R75" s="259" t="n">
        <f aca="false">VLOOKUP(B75,[16]Sheet1!A$6:B$360,2,0)</f>
        <v>97</v>
      </c>
      <c r="S75" s="247" t="n">
        <f aca="false">VLOOKUP(B75,[17]Sheet1!A$6:B$360,2,0)</f>
        <v>97</v>
      </c>
      <c r="T75" s="247" t="n">
        <f aca="false">VLOOKUP(B75,[18]Sheet1!A$6:B$360,2,0)</f>
        <v>97</v>
      </c>
      <c r="U75" s="247" t="n">
        <f aca="false">VLOOKUP(B75,[19]Sheet1!A$6:B$360,2,0)</f>
        <v>97</v>
      </c>
      <c r="V75" s="247" t="n">
        <f aca="false">VLOOKUP(B75,[20]Sheet1!A$6:B$360,2,0)</f>
        <v>97</v>
      </c>
      <c r="W75" s="247" t="n">
        <f aca="false">VLOOKUP(B75,[21]Sheet1!A$6:B$360,2,0)</f>
        <v>97</v>
      </c>
      <c r="X75" s="247" t="n">
        <f aca="false">VLOOKUP(B75,[22]Sheet1!A$6:B$360,2,0)</f>
        <v>97</v>
      </c>
      <c r="Y75" s="263" t="n">
        <f aca="false">VLOOKUP(B75,[23]Sheet1!A$6:B$360,2,0)</f>
        <v>97</v>
      </c>
      <c r="Z75" s="259" t="n">
        <f aca="false">VLOOKUP(B75,[24]Sheet1!A$6:B$360,2,0)</f>
        <v>97</v>
      </c>
      <c r="AA75" s="247" t="n">
        <f aca="false">VLOOKUP(B75,[25]Sheet1!A$6:B$360,2,0)</f>
        <v>97</v>
      </c>
      <c r="AB75" s="247" t="n">
        <f aca="false">VLOOKUP(B75,[26]Sheet1!A$6:B$360,2,0)</f>
        <v>97</v>
      </c>
      <c r="AC75" s="247" t="n">
        <f aca="false">VLOOKUP(B75,[27]Sheet1!A$6:B$360,2,0)</f>
        <v>97</v>
      </c>
      <c r="AD75" s="263" t="n">
        <f aca="false">VLOOKUP(B75,[28]Sheet1!A$6:B$360,2,0)</f>
        <v>99</v>
      </c>
      <c r="AE75" s="259" t="n">
        <f aca="false">VLOOKUP(B75,[29]Sheet1!A$6:B$360,2,0)</f>
        <v>99</v>
      </c>
      <c r="AF75" s="247" t="n">
        <f aca="false">VLOOKUP(B75,[30]Sheet1!A$6:B$360,2,0)</f>
        <v>99</v>
      </c>
      <c r="AG75" s="247" t="n">
        <f aca="false">VLOOKUP(B75,[31]Sheet1!A$6:B$360,2,0)</f>
        <v>99</v>
      </c>
      <c r="AH75" s="247" t="n">
        <f aca="false">VLOOKUP(B75,[32]Sheet1!A$6:B$360,2,0)</f>
        <v>99</v>
      </c>
      <c r="AI75" s="247" t="n">
        <f aca="false">VLOOKUP(B75,[33]Sheet1!A$6:B$360,2,0)</f>
        <v>99</v>
      </c>
      <c r="AJ75" s="263" t="n">
        <f aca="false">VLOOKUP(B75,[34]Sheet1!A$6:B$360,2,0)</f>
        <v>99</v>
      </c>
      <c r="AK75" s="259" t="n">
        <f aca="false">VLOOKUP(B75,[35]Sheet1!A$6:B$360,2,0)</f>
        <v>99</v>
      </c>
      <c r="AL75" s="247" t="n">
        <f aca="false">VLOOKUP(B75,[36]Sheet1!A$6:B$360,2,0)</f>
        <v>99</v>
      </c>
      <c r="AM75" s="247" t="n">
        <f aca="false">VLOOKUP(B75,[37]Sheet1!A$6:B$360,2,0)</f>
        <v>99</v>
      </c>
      <c r="AN75" s="247" t="n">
        <f aca="false">VLOOKUP(B75,[38]Sheet1!A$6:B$360,2,0)</f>
        <v>49</v>
      </c>
      <c r="AO75" s="263" t="n">
        <f aca="false">VLOOKUP(B75,[39]Sheet1!A$6:B$360,2,0)</f>
        <v>49</v>
      </c>
      <c r="AP75" s="259" t="n">
        <f aca="false">VLOOKUP(B75,[40]Sheet1!A$6:B$360,2,0)</f>
        <v>49</v>
      </c>
      <c r="AQ75" s="247" t="n">
        <f aca="false">VLOOKUP(B75,[41]Sheet1!A$6:B$360,2,0)</f>
        <v>49</v>
      </c>
      <c r="AR75" s="247" t="n">
        <f aca="false">VLOOKUP(B75,[42]Sheet1!A$6:B$360,2,0)</f>
        <v>49</v>
      </c>
    </row>
    <row r="76" customFormat="false" ht="12.8" hidden="false" customHeight="false" outlineLevel="0" collapsed="false">
      <c r="A76" s="23" t="s">
        <v>329</v>
      </c>
      <c r="B76" s="258" t="s">
        <v>424</v>
      </c>
      <c r="C76" s="247" t="n">
        <f aca="false">VLOOKUP(B76,[1]Sheet1!A$1:B$1048576,2,0)</f>
        <v>7838</v>
      </c>
      <c r="D76" s="247" t="n">
        <f aca="false">VLOOKUP(B76,[2]Sheet1!A$6:B$360,2,0)</f>
        <v>7838</v>
      </c>
      <c r="E76" s="247" t="n">
        <f aca="false">VLOOKUP(B76,[3]Sheet1!A$6:B$360,2,0)</f>
        <v>7838</v>
      </c>
      <c r="F76" s="247" t="n">
        <f aca="false">VLOOKUP(B76,[4]Sheet1!A$6:B$360,2,0)</f>
        <v>7838</v>
      </c>
      <c r="G76" s="247" t="n">
        <f aca="false">VLOOKUP(B76,[5]Sheet1!A$6:B$360,2,0)</f>
        <v>7838</v>
      </c>
      <c r="H76" s="247" t="n">
        <f aca="false">VLOOKUP(B76,[6]Sheet1!A$6:B$360,2,0)</f>
        <v>7838</v>
      </c>
      <c r="I76" s="247" t="n">
        <f aca="false">VLOOKUP(B76,[7]Sheet1!A$6:B$360,2,0)</f>
        <v>7838</v>
      </c>
      <c r="J76" s="247" t="n">
        <f aca="false">VLOOKUP(B76,[8]Sheet1!A$6:B$360,2,0)</f>
        <v>7838</v>
      </c>
      <c r="K76" s="259" t="n">
        <f aca="false">VLOOKUP(B76,[9]Sheet1!A$6:B$360,2,0)</f>
        <v>7838</v>
      </c>
      <c r="L76" s="260" t="n">
        <f aca="false">VLOOKUP(B76,[10]Sheet1!A$1:B$1048576,2,0)</f>
        <v>7838</v>
      </c>
      <c r="M76" s="247" t="n">
        <f aca="false">VLOOKUP(B76,[11]Sheet1!A$6:B$360,2,0)</f>
        <v>7838</v>
      </c>
      <c r="N76" s="247" t="n">
        <f aca="false">VLOOKUP(B76,[12]Sheet1!A$6:B$360,2,0)</f>
        <v>7838</v>
      </c>
      <c r="O76" s="247" t="n">
        <f aca="false">VLOOKUP(B76,[13]Sheet1!A$6:B$360,2,0)</f>
        <v>7838</v>
      </c>
      <c r="P76" s="247" t="n">
        <f aca="false">VLOOKUP(B76,[14]Sheet1!A$6:B$360,2,0)</f>
        <v>7838</v>
      </c>
      <c r="Q76" s="261" t="n">
        <f aca="false">VLOOKUP(B76,[15]Sheet1!A$6:B$360,2,0)</f>
        <v>10000</v>
      </c>
      <c r="R76" s="259" t="n">
        <f aca="false">VLOOKUP(B76,[16]Sheet1!A$6:B$360,2,0)</f>
        <v>10000</v>
      </c>
      <c r="S76" s="247" t="n">
        <f aca="false">VLOOKUP(B76,[17]Sheet1!A$6:B$360,2,0)</f>
        <v>10000</v>
      </c>
      <c r="T76" s="247" t="n">
        <f aca="false">VLOOKUP(B76,[18]Sheet1!A$6:B$360,2,0)</f>
        <v>10000</v>
      </c>
      <c r="U76" s="247" t="n">
        <f aca="false">VLOOKUP(B76,[19]Sheet1!A$6:B$360,2,0)</f>
        <v>10000</v>
      </c>
      <c r="V76" s="247" t="n">
        <f aca="false">VLOOKUP(B76,[20]Sheet1!A$6:B$360,2,0)</f>
        <v>10000</v>
      </c>
      <c r="W76" s="247" t="n">
        <f aca="false">VLOOKUP(B76,[21]Sheet1!A$6:B$360,2,0)</f>
        <v>10000</v>
      </c>
      <c r="X76" s="247" t="n">
        <f aca="false">VLOOKUP(B76,[22]Sheet1!A$6:B$360,2,0)</f>
        <v>10000</v>
      </c>
      <c r="Y76" s="263" t="n">
        <f aca="false">VLOOKUP(B76,[23]Sheet1!A$6:B$360,2,0)</f>
        <v>10000</v>
      </c>
      <c r="Z76" s="259" t="n">
        <f aca="false">VLOOKUP(B76,[24]Sheet1!A$6:B$360,2,0)</f>
        <v>10000</v>
      </c>
      <c r="AA76" s="247" t="n">
        <f aca="false">VLOOKUP(B76,[25]Sheet1!A$6:B$360,2,0)</f>
        <v>10000</v>
      </c>
      <c r="AB76" s="247" t="n">
        <f aca="false">VLOOKUP(B76,[26]Sheet1!A$6:B$360,2,0)</f>
        <v>10000</v>
      </c>
      <c r="AC76" s="247" t="n">
        <f aca="false">VLOOKUP(B76,[27]Sheet1!A$6:B$360,2,0)</f>
        <v>11000</v>
      </c>
      <c r="AD76" s="263" t="n">
        <f aca="false">VLOOKUP(B76,[28]Sheet1!A$6:B$360,2,0)</f>
        <v>11000</v>
      </c>
      <c r="AE76" s="259" t="n">
        <f aca="false">VLOOKUP(B76,[29]Sheet1!A$6:B$360,2,0)</f>
        <v>11000</v>
      </c>
      <c r="AF76" s="247" t="n">
        <f aca="false">VLOOKUP(B76,[30]Sheet1!A$6:B$360,2,0)</f>
        <v>14640</v>
      </c>
      <c r="AG76" s="247" t="n">
        <f aca="false">VLOOKUP(B76,[31]Sheet1!A$6:B$360,2,0)</f>
        <v>14640</v>
      </c>
      <c r="AH76" s="247" t="n">
        <f aca="false">VLOOKUP(B76,[32]Sheet1!A$6:B$360,2,0)</f>
        <v>14640</v>
      </c>
      <c r="AI76" s="247" t="n">
        <f aca="false">VLOOKUP(B76,[33]Sheet1!A$6:B$360,2,0)</f>
        <v>14640</v>
      </c>
      <c r="AJ76" s="263" t="n">
        <f aca="false">VLOOKUP(B76,[34]Sheet1!A$6:B$360,2,0)</f>
        <v>14640</v>
      </c>
      <c r="AK76" s="259" t="n">
        <f aca="false">VLOOKUP(B76,[35]Sheet1!A$6:B$360,2,0)</f>
        <v>14640</v>
      </c>
      <c r="AL76" s="247" t="n">
        <f aca="false">VLOOKUP(B76,[36]Sheet1!A$6:B$360,2,0)</f>
        <v>14640</v>
      </c>
      <c r="AM76" s="247" t="n">
        <f aca="false">VLOOKUP(B76,[37]Sheet1!A$6:B$360,2,0)</f>
        <v>14640</v>
      </c>
      <c r="AN76" s="247" t="n">
        <f aca="false">VLOOKUP(B76,[38]Sheet1!A$6:B$360,2,0)</f>
        <v>14640</v>
      </c>
      <c r="AO76" s="263" t="n">
        <f aca="false">VLOOKUP(B76,[39]Sheet1!A$6:B$360,2,0)</f>
        <v>14640</v>
      </c>
      <c r="AP76" s="259" t="n">
        <f aca="false">VLOOKUP(B76,[40]Sheet1!A$6:B$360,2,0)</f>
        <v>14640</v>
      </c>
      <c r="AQ76" s="247" t="n">
        <f aca="false">VLOOKUP(B76,[41]Sheet1!A$6:B$360,2,0)</f>
        <v>14640</v>
      </c>
      <c r="AR76" s="247" t="n">
        <f aca="false">VLOOKUP(B76,[42]Sheet1!A$6:B$360,2,0)</f>
        <v>14640</v>
      </c>
    </row>
    <row r="77" customFormat="false" ht="12.8" hidden="false" customHeight="false" outlineLevel="0" collapsed="false">
      <c r="A77" s="264" t="s">
        <v>189</v>
      </c>
      <c r="B77" s="265" t="s">
        <v>425</v>
      </c>
      <c r="C77" s="247" t="n">
        <f aca="false">VLOOKUP(B77,[1]Sheet1!A$1:B$1048576,2,0)</f>
        <v>1745.1</v>
      </c>
      <c r="D77" s="247" t="n">
        <f aca="false">VLOOKUP(B77,[2]Sheet1!A$6:B$360,2,0)</f>
        <v>1800</v>
      </c>
      <c r="E77" s="247" t="n">
        <f aca="false">VLOOKUP(B77,[3]Sheet1!A$6:B$360,2,0)</f>
        <v>1833</v>
      </c>
      <c r="F77" s="247" t="n">
        <f aca="false">VLOOKUP(B77,[4]Sheet1!A$6:B$360,2,0)</f>
        <v>1550</v>
      </c>
      <c r="G77" s="247" t="n">
        <f aca="false">VLOOKUP(B77,[5]Sheet1!A$6:B$360,2,0)</f>
        <v>1462.5</v>
      </c>
      <c r="H77" s="247" t="n">
        <f aca="false">VLOOKUP(B77,[6]Sheet1!A$6:B$360,2,0)</f>
        <v>1450</v>
      </c>
      <c r="I77" s="247" t="n">
        <f aca="false">VLOOKUP(B77,[7]Sheet1!A$6:B$360,2,0)</f>
        <v>1455</v>
      </c>
      <c r="J77" s="247" t="n">
        <f aca="false">VLOOKUP(B77,[8]Sheet1!A$6:B$360,2,0)</f>
        <v>1449</v>
      </c>
      <c r="K77" s="259" t="n">
        <f aca="false">VLOOKUP(B77,[9]Sheet1!A$6:B$360,2,0)</f>
        <v>1450</v>
      </c>
      <c r="L77" s="260" t="n">
        <f aca="false">VLOOKUP(B77,[10]Sheet1!A$1:B$1048576,2,0)</f>
        <v>1250.03</v>
      </c>
      <c r="M77" s="247" t="n">
        <f aca="false">VLOOKUP(B77,[11]Sheet1!A$6:B$360,2,0)</f>
        <v>1250.15</v>
      </c>
      <c r="N77" s="247" t="n">
        <f aca="false">VLOOKUP(B77,[12]Sheet1!A$6:B$360,2,0)</f>
        <v>1250</v>
      </c>
      <c r="O77" s="247" t="n">
        <f aca="false">VLOOKUP(B77,[13]Sheet1!A$6:B$360,2,0)</f>
        <v>1249.95</v>
      </c>
      <c r="P77" s="247" t="n">
        <f aca="false">VLOOKUP(B77,[14]Sheet1!A$6:B$360,2,0)</f>
        <v>1249</v>
      </c>
      <c r="Q77" s="261" t="n">
        <f aca="false">VLOOKUP(B77,[15]Sheet1!A$6:B$360,2,0)</f>
        <v>1351</v>
      </c>
      <c r="R77" s="259" t="n">
        <f aca="false">VLOOKUP(B77,[16]Sheet1!A$6:B$360,2,0)</f>
        <v>1355</v>
      </c>
      <c r="S77" s="247" t="n">
        <f aca="false">VLOOKUP(B77,[17]Sheet1!A$6:B$360,2,0)</f>
        <v>1380</v>
      </c>
      <c r="T77" s="247" t="n">
        <f aca="false">VLOOKUP(B77,[18]Sheet1!A$6:B$360,2,0)</f>
        <v>1360</v>
      </c>
      <c r="U77" s="247" t="n">
        <f aca="false">VLOOKUP(B77,[19]Sheet1!A$6:B$360,2,0)</f>
        <v>1420.73</v>
      </c>
      <c r="V77" s="247" t="n">
        <f aca="false">VLOOKUP(B77,[20]Sheet1!A$6:B$360,2,0)</f>
        <v>1390</v>
      </c>
      <c r="W77" s="247" t="n">
        <f aca="false">VLOOKUP(B77,[21]Sheet1!A$6:B$360,2,0)</f>
        <v>1393.55</v>
      </c>
      <c r="X77" s="247" t="n">
        <f aca="false">VLOOKUP(B77,[22]Sheet1!A$6:B$360,2,0)</f>
        <v>1310</v>
      </c>
      <c r="Y77" s="263" t="n">
        <f aca="false">VLOOKUP(B77,[23]Sheet1!A$6:B$360,2,0)</f>
        <v>1310</v>
      </c>
      <c r="Z77" s="259" t="n">
        <f aca="false">VLOOKUP(B77,[24]Sheet1!A$6:B$360,2,0)</f>
        <v>1430</v>
      </c>
      <c r="AA77" s="247" t="n">
        <f aca="false">VLOOKUP(B77,[25]Sheet1!A$6:B$360,2,0)</f>
        <v>1410</v>
      </c>
      <c r="AB77" s="247" t="n">
        <f aca="false">VLOOKUP(B77,[26]Sheet1!A$6:B$360,2,0)</f>
        <v>1448.04</v>
      </c>
      <c r="AC77" s="247" t="n">
        <f aca="false">VLOOKUP(B77,[27]Sheet1!A$6:B$360,2,0)</f>
        <v>1460.18</v>
      </c>
      <c r="AD77" s="263" t="n">
        <f aca="false">VLOOKUP(B77,[28]Sheet1!A$6:B$360,2,0)</f>
        <v>1400</v>
      </c>
      <c r="AE77" s="259" t="n">
        <f aca="false">VLOOKUP(B77,[29]Sheet1!A$6:B$360,2,0)</f>
        <v>1353.75</v>
      </c>
      <c r="AF77" s="247" t="n">
        <f aca="false">VLOOKUP(B77,[30]Sheet1!A$6:B$360,2,0)</f>
        <v>1300</v>
      </c>
      <c r="AG77" s="247" t="n">
        <f aca="false">VLOOKUP(B77,[31]Sheet1!A$6:B$360,2,0)</f>
        <v>1334.97</v>
      </c>
      <c r="AH77" s="247" t="n">
        <f aca="false">VLOOKUP(B77,[32]Sheet1!A$6:B$360,2,0)</f>
        <v>1170</v>
      </c>
      <c r="AI77" s="247" t="n">
        <f aca="false">VLOOKUP(B77,[33]Sheet1!A$6:B$360,2,0)</f>
        <v>1166</v>
      </c>
      <c r="AJ77" s="263" t="n">
        <f aca="false">VLOOKUP(B77,[34]Sheet1!A$6:B$360,2,0)</f>
        <v>1673</v>
      </c>
      <c r="AK77" s="259" t="n">
        <f aca="false">VLOOKUP(B77,[35]Sheet1!A$6:B$360,2,0)</f>
        <v>1558.2</v>
      </c>
      <c r="AL77" s="247" t="n">
        <f aca="false">VLOOKUP(B77,[36]Sheet1!A$6:B$360,2,0)</f>
        <v>1430</v>
      </c>
      <c r="AM77" s="247" t="n">
        <f aca="false">VLOOKUP(B77,[37]Sheet1!A$6:B$360,2,0)</f>
        <v>1480</v>
      </c>
      <c r="AN77" s="247" t="n">
        <f aca="false">VLOOKUP(B77,[38]Sheet1!A$6:B$360,2,0)</f>
        <v>1290</v>
      </c>
      <c r="AO77" s="263" t="n">
        <f aca="false">VLOOKUP(B77,[39]Sheet1!A$6:B$360,2,0)</f>
        <v>1380</v>
      </c>
      <c r="AP77" s="259" t="n">
        <f aca="false">VLOOKUP(B77,[40]Sheet1!A$6:B$360,2,0)</f>
        <v>1274.11</v>
      </c>
      <c r="AQ77" s="247" t="n">
        <f aca="false">VLOOKUP(B77,[41]Sheet1!A$6:B$360,2,0)</f>
        <v>1199.05</v>
      </c>
      <c r="AR77" s="247" t="n">
        <f aca="false">VLOOKUP(B77,[42]Sheet1!A$6:B$360,2,0)</f>
        <v>1112</v>
      </c>
    </row>
    <row r="78" customFormat="false" ht="12.8" hidden="false" customHeight="false" outlineLevel="0" collapsed="false">
      <c r="A78" s="23" t="s">
        <v>330</v>
      </c>
      <c r="B78" s="258" t="s">
        <v>426</v>
      </c>
      <c r="C78" s="247" t="n">
        <f aca="false">VLOOKUP(B78,[1]Sheet1!A$1:B$1048576,2,0)</f>
        <v>250</v>
      </c>
      <c r="D78" s="247" t="n">
        <f aca="false">VLOOKUP(B78,[2]Sheet1!A$6:B$360,2,0)</f>
        <v>250</v>
      </c>
      <c r="E78" s="247" t="n">
        <f aca="false">VLOOKUP(B78,[3]Sheet1!A$6:B$360,2,0)</f>
        <v>250</v>
      </c>
      <c r="F78" s="247" t="n">
        <f aca="false">VLOOKUP(B78,[4]Sheet1!A$6:B$360,2,0)</f>
        <v>250</v>
      </c>
      <c r="G78" s="247" t="n">
        <f aca="false">VLOOKUP(B78,[5]Sheet1!A$6:B$360,2,0)</f>
        <v>250</v>
      </c>
      <c r="H78" s="247" t="n">
        <f aca="false">VLOOKUP(B78,[6]Sheet1!A$6:B$360,2,0)</f>
        <v>250</v>
      </c>
      <c r="I78" s="247" t="n">
        <f aca="false">VLOOKUP(B78,[7]Sheet1!A$6:B$360,2,0)</f>
        <v>250</v>
      </c>
      <c r="J78" s="247" t="n">
        <f aca="false">VLOOKUP(B78,[8]Sheet1!A$6:B$360,2,0)</f>
        <v>250</v>
      </c>
      <c r="K78" s="259" t="n">
        <f aca="false">VLOOKUP(B78,[9]Sheet1!A$6:B$360,2,0)</f>
        <v>250</v>
      </c>
      <c r="L78" s="260" t="n">
        <f aca="false">VLOOKUP(B78,[10]Sheet1!A$1:B$1048576,2,0)</f>
        <v>250</v>
      </c>
      <c r="M78" s="247" t="n">
        <f aca="false">VLOOKUP(B78,[11]Sheet1!A$6:B$360,2,0)</f>
        <v>250</v>
      </c>
      <c r="N78" s="247" t="n">
        <f aca="false">VLOOKUP(B78,[12]Sheet1!A$6:B$360,2,0)</f>
        <v>250</v>
      </c>
      <c r="O78" s="247" t="n">
        <f aca="false">VLOOKUP(B78,[13]Sheet1!A$6:B$360,2,0)</f>
        <v>250</v>
      </c>
      <c r="P78" s="247" t="n">
        <f aca="false">VLOOKUP(B78,[14]Sheet1!A$6:B$360,2,0)</f>
        <v>250</v>
      </c>
      <c r="Q78" s="261" t="n">
        <f aca="false">VLOOKUP(B78,[15]Sheet1!A$6:B$360,2,0)</f>
        <v>250</v>
      </c>
      <c r="R78" s="259" t="n">
        <f aca="false">VLOOKUP(B78,[16]Sheet1!A$6:B$360,2,0)</f>
        <v>250</v>
      </c>
      <c r="S78" s="247" t="n">
        <f aca="false">VLOOKUP(B78,[17]Sheet1!A$6:B$360,2,0)</f>
        <v>250</v>
      </c>
      <c r="T78" s="247" t="n">
        <f aca="false">VLOOKUP(B78,[18]Sheet1!A$6:B$360,2,0)</f>
        <v>250</v>
      </c>
      <c r="U78" s="247" t="n">
        <f aca="false">VLOOKUP(B78,[19]Sheet1!A$6:B$360,2,0)</f>
        <v>250</v>
      </c>
      <c r="V78" s="247" t="n">
        <f aca="false">VLOOKUP(B78,[20]Sheet1!A$6:B$360,2,0)</f>
        <v>250</v>
      </c>
      <c r="W78" s="247" t="n">
        <f aca="false">VLOOKUP(B78,[21]Sheet1!A$6:B$360,2,0)</f>
        <v>250</v>
      </c>
      <c r="X78" s="247" t="n">
        <f aca="false">VLOOKUP(B78,[22]Sheet1!A$6:B$360,2,0)</f>
        <v>250</v>
      </c>
      <c r="Y78" s="263" t="n">
        <f aca="false">VLOOKUP(B78,[23]Sheet1!A$6:B$360,2,0)</f>
        <v>250</v>
      </c>
      <c r="Z78" s="259" t="n">
        <f aca="false">VLOOKUP(B78,[24]Sheet1!A$6:B$360,2,0)</f>
        <v>250</v>
      </c>
      <c r="AA78" s="247" t="n">
        <f aca="false">VLOOKUP(B78,[25]Sheet1!A$6:B$360,2,0)</f>
        <v>250</v>
      </c>
      <c r="AB78" s="247" t="n">
        <f aca="false">VLOOKUP(B78,[26]Sheet1!A$6:B$360,2,0)</f>
        <v>250</v>
      </c>
      <c r="AC78" s="247" t="n">
        <f aca="false">VLOOKUP(B78,[27]Sheet1!A$6:B$360,2,0)</f>
        <v>250</v>
      </c>
      <c r="AD78" s="263" t="n">
        <f aca="false">VLOOKUP(B78,[28]Sheet1!A$6:B$360,2,0)</f>
        <v>155</v>
      </c>
      <c r="AE78" s="259" t="n">
        <f aca="false">VLOOKUP(B78,[29]Sheet1!A$6:B$360,2,0)</f>
        <v>155</v>
      </c>
      <c r="AF78" s="247" t="n">
        <f aca="false">VLOOKUP(B78,[30]Sheet1!A$6:B$360,2,0)</f>
        <v>155</v>
      </c>
      <c r="AG78" s="247" t="n">
        <f aca="false">VLOOKUP(B78,[31]Sheet1!A$6:B$360,2,0)</f>
        <v>155</v>
      </c>
      <c r="AH78" s="247" t="n">
        <f aca="false">VLOOKUP(B78,[32]Sheet1!A$6:B$360,2,0)</f>
        <v>250</v>
      </c>
      <c r="AI78" s="247" t="n">
        <f aca="false">VLOOKUP(B78,[33]Sheet1!A$6:B$360,2,0)</f>
        <v>250</v>
      </c>
      <c r="AJ78" s="263" t="n">
        <f aca="false">VLOOKUP(B78,[34]Sheet1!A$6:B$360,2,0)</f>
        <v>250</v>
      </c>
      <c r="AK78" s="259" t="n">
        <f aca="false">VLOOKUP(B78,[35]Sheet1!A$6:B$360,2,0)</f>
        <v>250</v>
      </c>
      <c r="AL78" s="247" t="n">
        <f aca="false">VLOOKUP(B78,[36]Sheet1!A$6:B$360,2,0)</f>
        <v>250</v>
      </c>
      <c r="AM78" s="247" t="n">
        <f aca="false">VLOOKUP(B78,[37]Sheet1!A$6:B$360,2,0)</f>
        <v>250</v>
      </c>
      <c r="AN78" s="247" t="n">
        <f aca="false">VLOOKUP(B78,[38]Sheet1!A$6:B$360,2,0)</f>
        <v>250</v>
      </c>
      <c r="AO78" s="263" t="n">
        <f aca="false">VLOOKUP(B78,[39]Sheet1!A$6:B$360,2,0)</f>
        <v>250</v>
      </c>
      <c r="AP78" s="259" t="n">
        <f aca="false">VLOOKUP(B78,[40]Sheet1!A$6:B$360,2,0)</f>
        <v>250</v>
      </c>
      <c r="AQ78" s="247" t="n">
        <f aca="false">VLOOKUP(B78,[41]Sheet1!A$6:B$360,2,0)</f>
        <v>250</v>
      </c>
      <c r="AR78" s="247" t="n">
        <f aca="false">VLOOKUP(B78,[42]Sheet1!A$6:B$360,2,0)</f>
        <v>250</v>
      </c>
    </row>
    <row r="79" customFormat="false" ht="12.8" hidden="false" customHeight="false" outlineLevel="0" collapsed="false">
      <c r="A79" s="264" t="s">
        <v>185</v>
      </c>
      <c r="B79" s="265" t="s">
        <v>427</v>
      </c>
      <c r="C79" s="247" t="n">
        <f aca="false">VLOOKUP(B79,[1]Sheet1!A$1:B$1048576,2,0)</f>
        <v>7008.47</v>
      </c>
      <c r="D79" s="247" t="n">
        <f aca="false">VLOOKUP(B79,[2]Sheet1!A$6:B$360,2,0)</f>
        <v>7000</v>
      </c>
      <c r="E79" s="247" t="n">
        <f aca="false">VLOOKUP(B79,[3]Sheet1!A$6:B$360,2,0)</f>
        <v>7190</v>
      </c>
      <c r="F79" s="247" t="n">
        <f aca="false">VLOOKUP(B79,[4]Sheet1!A$6:B$360,2,0)</f>
        <v>6950</v>
      </c>
      <c r="G79" s="247" t="n">
        <f aca="false">VLOOKUP(B79,[5]Sheet1!A$6:B$360,2,0)</f>
        <v>6750</v>
      </c>
      <c r="H79" s="247" t="n">
        <f aca="false">VLOOKUP(B79,[6]Sheet1!A$6:B$360,2,0)</f>
        <v>7134.5</v>
      </c>
      <c r="I79" s="247" t="n">
        <f aca="false">VLOOKUP(B79,[7]Sheet1!A$6:B$360,2,0)</f>
        <v>6932</v>
      </c>
      <c r="J79" s="247" t="n">
        <f aca="false">VLOOKUP(B79,[8]Sheet1!A$6:B$360,2,0)</f>
        <v>7080</v>
      </c>
      <c r="K79" s="259" t="n">
        <f aca="false">VLOOKUP(B79,[9]Sheet1!A$6:B$360,2,0)</f>
        <v>5665.15</v>
      </c>
      <c r="L79" s="260" t="n">
        <f aca="false">VLOOKUP(B79,[10]Sheet1!A$1:B$1048576,2,0)</f>
        <v>5002.06</v>
      </c>
      <c r="M79" s="247" t="n">
        <f aca="false">VLOOKUP(B79,[11]Sheet1!A$6:B$360,2,0)</f>
        <v>5000</v>
      </c>
      <c r="N79" s="247" t="n">
        <f aca="false">VLOOKUP(B79,[12]Sheet1!A$6:B$360,2,0)</f>
        <v>5000</v>
      </c>
      <c r="O79" s="247" t="n">
        <f aca="false">VLOOKUP(B79,[13]Sheet1!A$6:B$360,2,0)</f>
        <v>5001</v>
      </c>
      <c r="P79" s="247" t="n">
        <f aca="false">VLOOKUP(B79,[14]Sheet1!A$6:B$360,2,0)</f>
        <v>5150</v>
      </c>
      <c r="Q79" s="261" t="n">
        <f aca="false">VLOOKUP(B79,[15]Sheet1!A$6:B$360,2,0)</f>
        <v>4900</v>
      </c>
      <c r="R79" s="259" t="n">
        <f aca="false">VLOOKUP(B79,[16]Sheet1!A$6:B$360,2,0)</f>
        <v>4005.6</v>
      </c>
      <c r="S79" s="247" t="n">
        <f aca="false">VLOOKUP(B79,[17]Sheet1!A$6:B$360,2,0)</f>
        <v>3170</v>
      </c>
      <c r="T79" s="247" t="n">
        <f aca="false">VLOOKUP(B79,[18]Sheet1!A$6:B$360,2,0)</f>
        <v>2850</v>
      </c>
      <c r="U79" s="247" t="n">
        <f aca="false">VLOOKUP(B79,[19]Sheet1!A$6:B$360,2,0)</f>
        <v>3100</v>
      </c>
      <c r="V79" s="247" t="n">
        <f aca="false">VLOOKUP(B79,[20]Sheet1!A$6:B$360,2,0)</f>
        <v>2750</v>
      </c>
      <c r="W79" s="247" t="n">
        <f aca="false">VLOOKUP(B79,[21]Sheet1!A$6:B$360,2,0)</f>
        <v>2912.21</v>
      </c>
      <c r="X79" s="247" t="n">
        <f aca="false">VLOOKUP(B79,[22]Sheet1!A$6:B$360,2,0)</f>
        <v>2902.38</v>
      </c>
      <c r="Y79" s="263" t="n">
        <f aca="false">VLOOKUP(B79,[23]Sheet1!A$6:B$360,2,0)</f>
        <v>2902.38</v>
      </c>
      <c r="Z79" s="259" t="n">
        <f aca="false">VLOOKUP(B79,[24]Sheet1!A$6:B$360,2,0)</f>
        <v>2701</v>
      </c>
      <c r="AA79" s="247" t="n">
        <f aca="false">VLOOKUP(B79,[25]Sheet1!A$6:B$360,2,0)</f>
        <v>2889</v>
      </c>
      <c r="AB79" s="247" t="n">
        <f aca="false">VLOOKUP(B79,[26]Sheet1!A$6:B$360,2,0)</f>
        <v>2896</v>
      </c>
      <c r="AC79" s="247" t="n">
        <f aca="false">VLOOKUP(B79,[27]Sheet1!A$6:B$360,2,0)</f>
        <v>2919</v>
      </c>
      <c r="AD79" s="263" t="n">
        <f aca="false">VLOOKUP(B79,[28]Sheet1!A$6:B$360,2,0)</f>
        <v>2577.93</v>
      </c>
      <c r="AE79" s="259" t="n">
        <f aca="false">VLOOKUP(B79,[29]Sheet1!A$6:B$360,2,0)</f>
        <v>2400</v>
      </c>
      <c r="AF79" s="247" t="n">
        <f aca="false">VLOOKUP(B79,[30]Sheet1!A$6:B$360,2,0)</f>
        <v>2400</v>
      </c>
      <c r="AG79" s="247" t="n">
        <f aca="false">VLOOKUP(B79,[31]Sheet1!A$6:B$360,2,0)</f>
        <v>2400</v>
      </c>
      <c r="AH79" s="247" t="n">
        <f aca="false">VLOOKUP(B79,[32]Sheet1!A$6:B$360,2,0)</f>
        <v>2060</v>
      </c>
      <c r="AI79" s="247" t="n">
        <f aca="false">VLOOKUP(B79,[33]Sheet1!A$6:B$360,2,0)</f>
        <v>1885</v>
      </c>
      <c r="AJ79" s="263" t="n">
        <f aca="false">VLOOKUP(B79,[34]Sheet1!A$6:B$360,2,0)</f>
        <v>2250.5</v>
      </c>
      <c r="AK79" s="259" t="n">
        <f aca="false">VLOOKUP(B79,[35]Sheet1!A$6:B$360,2,0)</f>
        <v>2448.97</v>
      </c>
      <c r="AL79" s="247" t="n">
        <f aca="false">VLOOKUP(B79,[36]Sheet1!A$6:B$360,2,0)</f>
        <v>2195</v>
      </c>
      <c r="AM79" s="247" t="n">
        <f aca="false">VLOOKUP(B79,[37]Sheet1!A$6:B$360,2,0)</f>
        <v>2200</v>
      </c>
      <c r="AN79" s="247" t="n">
        <f aca="false">VLOOKUP(B79,[38]Sheet1!A$6:B$360,2,0)</f>
        <v>2200</v>
      </c>
      <c r="AO79" s="263" t="n">
        <f aca="false">VLOOKUP(B79,[39]Sheet1!A$6:B$360,2,0)</f>
        <v>2350</v>
      </c>
      <c r="AP79" s="259" t="n">
        <f aca="false">VLOOKUP(B79,[40]Sheet1!A$6:B$360,2,0)</f>
        <v>2100</v>
      </c>
      <c r="AQ79" s="247" t="n">
        <f aca="false">VLOOKUP(B79,[41]Sheet1!A$6:B$360,2,0)</f>
        <v>2364.28</v>
      </c>
      <c r="AR79" s="247" t="n">
        <f aca="false">VLOOKUP(B79,[42]Sheet1!A$6:B$360,2,0)</f>
        <v>2399</v>
      </c>
    </row>
    <row r="80" customFormat="false" ht="12.8" hidden="false" customHeight="false" outlineLevel="0" collapsed="false">
      <c r="A80" s="23" t="s">
        <v>192</v>
      </c>
      <c r="B80" s="258" t="s">
        <v>428</v>
      </c>
      <c r="C80" s="247" t="n">
        <f aca="false">VLOOKUP(B80,[1]Sheet1!A$1:B$1048576,2,0)</f>
        <v>53561</v>
      </c>
      <c r="D80" s="247" t="n">
        <f aca="false">VLOOKUP(B80,[2]Sheet1!A$6:B$360,2,0)</f>
        <v>53560</v>
      </c>
      <c r="E80" s="247" t="n">
        <f aca="false">VLOOKUP(B80,[3]Sheet1!A$6:B$360,2,0)</f>
        <v>53560</v>
      </c>
      <c r="F80" s="247" t="n">
        <f aca="false">VLOOKUP(B80,[4]Sheet1!A$6:B$360,2,0)</f>
        <v>53560</v>
      </c>
      <c r="G80" s="247" t="n">
        <f aca="false">VLOOKUP(B80,[5]Sheet1!A$6:B$360,2,0)</f>
        <v>53560</v>
      </c>
      <c r="H80" s="247" t="n">
        <f aca="false">VLOOKUP(B80,[6]Sheet1!A$6:B$360,2,0)</f>
        <v>52002</v>
      </c>
      <c r="I80" s="247" t="n">
        <f aca="false">VLOOKUP(B80,[7]Sheet1!A$6:B$360,2,0)</f>
        <v>50500</v>
      </c>
      <c r="J80" s="247" t="n">
        <f aca="false">VLOOKUP(B80,[8]Sheet1!A$6:B$360,2,0)</f>
        <v>51400</v>
      </c>
      <c r="K80" s="259" t="n">
        <f aca="false">VLOOKUP(B80,[9]Sheet1!A$6:B$360,2,0)</f>
        <v>51400</v>
      </c>
      <c r="L80" s="260" t="n">
        <f aca="false">VLOOKUP(B80,[10]Sheet1!A$1:B$1048576,2,0)</f>
        <v>51413</v>
      </c>
      <c r="M80" s="247" t="n">
        <f aca="false">VLOOKUP(B80,[11]Sheet1!A$6:B$360,2,0)</f>
        <v>51410</v>
      </c>
      <c r="N80" s="247" t="n">
        <f aca="false">VLOOKUP(B80,[12]Sheet1!A$6:B$360,2,0)</f>
        <v>51410</v>
      </c>
      <c r="O80" s="247" t="n">
        <f aca="false">VLOOKUP(B80,[13]Sheet1!A$6:B$360,2,0)</f>
        <v>51410</v>
      </c>
      <c r="P80" s="247" t="n">
        <f aca="false">VLOOKUP(B80,[14]Sheet1!A$6:B$360,2,0)</f>
        <v>51410</v>
      </c>
      <c r="Q80" s="261" t="n">
        <f aca="false">VLOOKUP(B80,[15]Sheet1!A$6:B$360,2,0)</f>
        <v>53050</v>
      </c>
      <c r="R80" s="259" t="n">
        <f aca="false">VLOOKUP(B80,[16]Sheet1!A$6:B$360,2,0)</f>
        <v>53000</v>
      </c>
      <c r="S80" s="247" t="n">
        <f aca="false">VLOOKUP(B80,[17]Sheet1!A$6:B$360,2,0)</f>
        <v>54000</v>
      </c>
      <c r="T80" s="247" t="n">
        <f aca="false">VLOOKUP(B80,[18]Sheet1!A$6:B$360,2,0)</f>
        <v>54000</v>
      </c>
      <c r="U80" s="247" t="n">
        <f aca="false">VLOOKUP(B80,[19]Sheet1!A$6:B$360,2,0)</f>
        <v>55500</v>
      </c>
      <c r="V80" s="247" t="n">
        <f aca="false">VLOOKUP(B80,[20]Sheet1!A$6:B$360,2,0)</f>
        <v>57000</v>
      </c>
      <c r="W80" s="247" t="n">
        <f aca="false">VLOOKUP(B80,[21]Sheet1!A$6:B$360,2,0)</f>
        <v>59500</v>
      </c>
      <c r="X80" s="247" t="n">
        <f aca="false">VLOOKUP(B80,[22]Sheet1!A$6:B$360,2,0)</f>
        <v>59500</v>
      </c>
      <c r="Y80" s="263" t="n">
        <f aca="false">VLOOKUP(B80,[23]Sheet1!A$6:B$360,2,0)</f>
        <v>59500</v>
      </c>
      <c r="Z80" s="259" t="n">
        <f aca="false">VLOOKUP(B80,[24]Sheet1!A$6:B$360,2,0)</f>
        <v>59850</v>
      </c>
      <c r="AA80" s="247" t="n">
        <f aca="false">VLOOKUP(B80,[25]Sheet1!A$6:B$360,2,0)</f>
        <v>62080</v>
      </c>
      <c r="AB80" s="247" t="n">
        <f aca="false">VLOOKUP(B80,[26]Sheet1!A$6:B$360,2,0)</f>
        <v>62080</v>
      </c>
      <c r="AC80" s="247" t="n">
        <f aca="false">VLOOKUP(B80,[27]Sheet1!A$6:B$360,2,0)</f>
        <v>66000</v>
      </c>
      <c r="AD80" s="263" t="n">
        <f aca="false">VLOOKUP(B80,[28]Sheet1!A$6:B$360,2,0)</f>
        <v>68001</v>
      </c>
      <c r="AE80" s="259" t="n">
        <f aca="false">VLOOKUP(B80,[29]Sheet1!A$6:B$360,2,0)</f>
        <v>61000</v>
      </c>
      <c r="AF80" s="247" t="n">
        <f aca="false">VLOOKUP(B80,[30]Sheet1!A$6:B$360,2,0)</f>
        <v>61000</v>
      </c>
      <c r="AG80" s="247" t="n">
        <f aca="false">VLOOKUP(B80,[31]Sheet1!A$6:B$360,2,0)</f>
        <v>62000</v>
      </c>
      <c r="AH80" s="247" t="n">
        <f aca="false">VLOOKUP(B80,[32]Sheet1!A$6:B$360,2,0)</f>
        <v>59500</v>
      </c>
      <c r="AI80" s="247" t="n">
        <f aca="false">VLOOKUP(B80,[33]Sheet1!A$6:B$360,2,0)</f>
        <v>53460</v>
      </c>
      <c r="AJ80" s="263" t="n">
        <f aca="false">VLOOKUP(B80,[34]Sheet1!A$6:B$360,2,0)</f>
        <v>74000</v>
      </c>
      <c r="AK80" s="259" t="n">
        <f aca="false">VLOOKUP(B80,[35]Sheet1!A$6:B$360,2,0)</f>
        <v>74000</v>
      </c>
      <c r="AL80" s="247" t="n">
        <f aca="false">VLOOKUP(B80,[36]Sheet1!A$6:B$360,2,0)</f>
        <v>75500</v>
      </c>
      <c r="AM80" s="247" t="n">
        <f aca="false">VLOOKUP(B80,[37]Sheet1!A$6:B$360,2,0)</f>
        <v>75500</v>
      </c>
      <c r="AN80" s="247" t="n">
        <f aca="false">VLOOKUP(B80,[38]Sheet1!A$6:B$360,2,0)</f>
        <v>77100</v>
      </c>
      <c r="AO80" s="263" t="n">
        <f aca="false">VLOOKUP(B80,[39]Sheet1!A$6:B$360,2,0)</f>
        <v>76000</v>
      </c>
      <c r="AP80" s="259" t="n">
        <f aca="false">VLOOKUP(B80,[40]Sheet1!A$6:B$360,2,0)</f>
        <v>67900</v>
      </c>
      <c r="AQ80" s="247" t="n">
        <f aca="false">VLOOKUP(B80,[41]Sheet1!A$6:B$360,2,0)</f>
        <v>62830.25</v>
      </c>
      <c r="AR80" s="247" t="n">
        <f aca="false">VLOOKUP(B80,[42]Sheet1!A$6:B$360,2,0)</f>
        <v>61100</v>
      </c>
    </row>
    <row r="81" customFormat="false" ht="12.8" hidden="false" customHeight="false" outlineLevel="0" collapsed="false">
      <c r="A81" s="23" t="s">
        <v>331</v>
      </c>
      <c r="B81" s="258" t="s">
        <v>429</v>
      </c>
      <c r="C81" s="247" t="n">
        <f aca="false">VLOOKUP(B81,[1]Sheet1!A$1:B$1048576,2,0)</f>
        <v>199</v>
      </c>
      <c r="D81" s="247" t="n">
        <f aca="false">VLOOKUP(B81,[2]Sheet1!A$6:B$360,2,0)</f>
        <v>220</v>
      </c>
      <c r="E81" s="247" t="n">
        <f aca="false">VLOOKUP(B81,[3]Sheet1!A$6:B$360,2,0)</f>
        <v>220</v>
      </c>
      <c r="F81" s="247" t="n">
        <f aca="false">VLOOKUP(B81,[4]Sheet1!A$6:B$360,2,0)</f>
        <v>220</v>
      </c>
      <c r="G81" s="247" t="n">
        <f aca="false">VLOOKUP(B81,[5]Sheet1!A$6:B$360,2,0)</f>
        <v>220</v>
      </c>
      <c r="H81" s="247" t="n">
        <f aca="false">VLOOKUP(B81,[6]Sheet1!A$6:B$360,2,0)</f>
        <v>220</v>
      </c>
      <c r="I81" s="247" t="n">
        <f aca="false">VLOOKUP(B81,[7]Sheet1!A$6:B$360,2,0)</f>
        <v>220</v>
      </c>
      <c r="J81" s="247" t="n">
        <f aca="false">VLOOKUP(B81,[8]Sheet1!A$6:B$360,2,0)</f>
        <v>400</v>
      </c>
      <c r="K81" s="259" t="n">
        <f aca="false">VLOOKUP(B81,[9]Sheet1!A$6:B$360,2,0)</f>
        <v>400</v>
      </c>
      <c r="L81" s="260" t="n">
        <f aca="false">VLOOKUP(B81,[10]Sheet1!A$1:B$1048576,2,0)</f>
        <v>200</v>
      </c>
      <c r="M81" s="247" t="n">
        <f aca="false">VLOOKUP(B81,[11]Sheet1!A$6:B$360,2,0)</f>
        <v>200</v>
      </c>
      <c r="N81" s="247" t="n">
        <f aca="false">VLOOKUP(B81,[12]Sheet1!A$6:B$360,2,0)</f>
        <v>200</v>
      </c>
      <c r="O81" s="247" t="n">
        <f aca="false">VLOOKUP(B81,[13]Sheet1!A$6:B$360,2,0)</f>
        <v>200</v>
      </c>
      <c r="P81" s="247" t="n">
        <f aca="false">VLOOKUP(B81,[14]Sheet1!A$6:B$360,2,0)</f>
        <v>200</v>
      </c>
      <c r="Q81" s="261" t="n">
        <f aca="false">VLOOKUP(B81,[15]Sheet1!A$6:B$360,2,0)</f>
        <v>399</v>
      </c>
      <c r="R81" s="259" t="n">
        <f aca="false">VLOOKUP(B81,[16]Sheet1!A$6:B$360,2,0)</f>
        <v>399</v>
      </c>
      <c r="S81" s="247" t="n">
        <f aca="false">VLOOKUP(B81,[17]Sheet1!A$6:B$360,2,0)</f>
        <v>400</v>
      </c>
      <c r="T81" s="247" t="n">
        <f aca="false">VLOOKUP(B81,[18]Sheet1!A$6:B$360,2,0)</f>
        <v>400</v>
      </c>
      <c r="U81" s="247" t="n">
        <f aca="false">VLOOKUP(B81,[19]Sheet1!A$6:B$360,2,0)</f>
        <v>400</v>
      </c>
      <c r="V81" s="247" t="n">
        <f aca="false">VLOOKUP(B81,[20]Sheet1!A$6:B$360,2,0)</f>
        <v>400</v>
      </c>
      <c r="W81" s="247" t="n">
        <f aca="false">VLOOKUP(B81,[21]Sheet1!A$6:B$360,2,0)</f>
        <v>400</v>
      </c>
      <c r="X81" s="247" t="n">
        <f aca="false">VLOOKUP(B81,[22]Sheet1!A$6:B$360,2,0)</f>
        <v>400</v>
      </c>
      <c r="Y81" s="263" t="n">
        <f aca="false">VLOOKUP(B81,[23]Sheet1!A$6:B$360,2,0)</f>
        <v>400</v>
      </c>
      <c r="Z81" s="259" t="n">
        <f aca="false">VLOOKUP(B81,[24]Sheet1!A$6:B$360,2,0)</f>
        <v>400</v>
      </c>
      <c r="AA81" s="247" t="n">
        <f aca="false">VLOOKUP(B81,[25]Sheet1!A$6:B$360,2,0)</f>
        <v>400</v>
      </c>
      <c r="AB81" s="247" t="n">
        <f aca="false">VLOOKUP(B81,[26]Sheet1!A$6:B$360,2,0)</f>
        <v>400</v>
      </c>
      <c r="AC81" s="247" t="n">
        <f aca="false">VLOOKUP(B81,[27]Sheet1!A$6:B$360,2,0)</f>
        <v>400</v>
      </c>
      <c r="AD81" s="263" t="n">
        <f aca="false">VLOOKUP(B81,[28]Sheet1!A$6:B$360,2,0)</f>
        <v>400</v>
      </c>
      <c r="AE81" s="259" t="n">
        <f aca="false">VLOOKUP(B81,[29]Sheet1!A$6:B$360,2,0)</f>
        <v>400</v>
      </c>
      <c r="AF81" s="247" t="n">
        <f aca="false">VLOOKUP(B81,[30]Sheet1!A$6:B$360,2,0)</f>
        <v>600</v>
      </c>
      <c r="AG81" s="247" t="n">
        <f aca="false">VLOOKUP(B81,[31]Sheet1!A$6:B$360,2,0)</f>
        <v>600</v>
      </c>
      <c r="AH81" s="247" t="n">
        <f aca="false">VLOOKUP(B81,[32]Sheet1!A$6:B$360,2,0)</f>
        <v>600</v>
      </c>
      <c r="AI81" s="247" t="n">
        <f aca="false">VLOOKUP(B81,[33]Sheet1!A$6:B$360,2,0)</f>
        <v>600</v>
      </c>
      <c r="AJ81" s="263" t="n">
        <f aca="false">VLOOKUP(B81,[34]Sheet1!A$6:B$360,2,0)</f>
        <v>600</v>
      </c>
      <c r="AK81" s="259" t="n">
        <f aca="false">VLOOKUP(B81,[35]Sheet1!A$6:B$360,2,0)</f>
        <v>584</v>
      </c>
      <c r="AL81" s="247" t="n">
        <f aca="false">VLOOKUP(B81,[36]Sheet1!A$6:B$360,2,0)</f>
        <v>751</v>
      </c>
      <c r="AM81" s="247" t="n">
        <f aca="false">VLOOKUP(B81,[37]Sheet1!A$6:B$360,2,0)</f>
        <v>730</v>
      </c>
      <c r="AN81" s="247" t="n">
        <f aca="false">VLOOKUP(B81,[38]Sheet1!A$6:B$360,2,0)</f>
        <v>800</v>
      </c>
      <c r="AO81" s="263" t="n">
        <f aca="false">VLOOKUP(B81,[39]Sheet1!A$6:B$360,2,0)</f>
        <v>900</v>
      </c>
      <c r="AP81" s="259" t="n">
        <f aca="false">VLOOKUP(B81,[40]Sheet1!A$6:B$360,2,0)</f>
        <v>893</v>
      </c>
      <c r="AQ81" s="247" t="n">
        <f aca="false">VLOOKUP(B81,[41]Sheet1!A$6:B$360,2,0)</f>
        <v>1000</v>
      </c>
      <c r="AR81" s="247" t="n">
        <f aca="false">VLOOKUP(B81,[42]Sheet1!A$6:B$360,2,0)</f>
        <v>1000</v>
      </c>
    </row>
    <row r="82" customFormat="false" ht="12.8" hidden="false" customHeight="false" outlineLevel="0" collapsed="false">
      <c r="A82" s="23" t="s">
        <v>332</v>
      </c>
      <c r="B82" s="258" t="s">
        <v>430</v>
      </c>
      <c r="C82" s="247" t="n">
        <f aca="false">VLOOKUP(B82,[1]Sheet1!A$1:B$1048576,2,0)</f>
        <v>119</v>
      </c>
      <c r="D82" s="247" t="n">
        <f aca="false">VLOOKUP(B82,[2]Sheet1!A$6:B$360,2,0)</f>
        <v>119</v>
      </c>
      <c r="E82" s="247" t="n">
        <f aca="false">VLOOKUP(B82,[3]Sheet1!A$6:B$360,2,0)</f>
        <v>119</v>
      </c>
      <c r="F82" s="247" t="n">
        <f aca="false">VLOOKUP(B82,[4]Sheet1!A$6:B$360,2,0)</f>
        <v>119</v>
      </c>
      <c r="G82" s="247" t="n">
        <f aca="false">VLOOKUP(B82,[5]Sheet1!A$6:B$360,2,0)</f>
        <v>119</v>
      </c>
      <c r="H82" s="247" t="n">
        <f aca="false">VLOOKUP(B82,[6]Sheet1!A$6:B$360,2,0)</f>
        <v>119</v>
      </c>
      <c r="I82" s="247" t="n">
        <f aca="false">VLOOKUP(B82,[7]Sheet1!A$6:B$360,2,0)</f>
        <v>119</v>
      </c>
      <c r="J82" s="247" t="n">
        <f aca="false">VLOOKUP(B82,[8]Sheet1!A$6:B$360,2,0)</f>
        <v>119</v>
      </c>
      <c r="K82" s="259" t="n">
        <f aca="false">VLOOKUP(B82,[9]Sheet1!A$6:B$360,2,0)</f>
        <v>119</v>
      </c>
      <c r="L82" s="260" t="n">
        <f aca="false">VLOOKUP(B82,[10]Sheet1!A$1:B$1048576,2,0)</f>
        <v>119</v>
      </c>
      <c r="M82" s="247" t="n">
        <f aca="false">VLOOKUP(B82,[11]Sheet1!A$6:B$360,2,0)</f>
        <v>119</v>
      </c>
      <c r="N82" s="247" t="n">
        <f aca="false">VLOOKUP(B82,[12]Sheet1!A$6:B$360,2,0)</f>
        <v>119</v>
      </c>
      <c r="O82" s="247" t="n">
        <f aca="false">VLOOKUP(B82,[13]Sheet1!A$6:B$360,2,0)</f>
        <v>119</v>
      </c>
      <c r="P82" s="247" t="n">
        <f aca="false">VLOOKUP(B82,[14]Sheet1!A$6:B$360,2,0)</f>
        <v>119</v>
      </c>
      <c r="Q82" s="261" t="n">
        <f aca="false">VLOOKUP(B82,[15]Sheet1!A$6:B$360,2,0)</f>
        <v>119</v>
      </c>
      <c r="R82" s="259" t="n">
        <f aca="false">VLOOKUP(B82,[16]Sheet1!A$6:B$360,2,0)</f>
        <v>119</v>
      </c>
      <c r="S82" s="247" t="n">
        <f aca="false">VLOOKUP(B82,[17]Sheet1!A$6:B$360,2,0)</f>
        <v>119</v>
      </c>
      <c r="T82" s="247" t="n">
        <f aca="false">VLOOKUP(B82,[18]Sheet1!A$6:B$360,2,0)</f>
        <v>119</v>
      </c>
      <c r="U82" s="247" t="n">
        <f aca="false">VLOOKUP(B82,[19]Sheet1!A$6:B$360,2,0)</f>
        <v>119</v>
      </c>
      <c r="V82" s="247" t="n">
        <f aca="false">VLOOKUP(B82,[20]Sheet1!A$6:B$360,2,0)</f>
        <v>119</v>
      </c>
      <c r="W82" s="247" t="n">
        <f aca="false">VLOOKUP(B82,[21]Sheet1!A$6:B$360,2,0)</f>
        <v>119</v>
      </c>
      <c r="X82" s="247" t="n">
        <f aca="false">VLOOKUP(B82,[22]Sheet1!A$6:B$360,2,0)</f>
        <v>119</v>
      </c>
      <c r="Y82" s="263" t="n">
        <f aca="false">VLOOKUP(B82,[23]Sheet1!A$6:B$360,2,0)</f>
        <v>119</v>
      </c>
      <c r="Z82" s="259" t="n">
        <f aca="false">VLOOKUP(B82,[24]Sheet1!A$6:B$360,2,0)</f>
        <v>119</v>
      </c>
      <c r="AA82" s="247" t="n">
        <f aca="false">VLOOKUP(B82,[25]Sheet1!A$6:B$360,2,0)</f>
        <v>119</v>
      </c>
      <c r="AB82" s="247" t="n">
        <f aca="false">VLOOKUP(B82,[26]Sheet1!A$6:B$360,2,0)</f>
        <v>119</v>
      </c>
      <c r="AC82" s="247" t="n">
        <f aca="false">VLOOKUP(B82,[27]Sheet1!A$6:B$360,2,0)</f>
        <v>119</v>
      </c>
      <c r="AD82" s="263" t="n">
        <f aca="false">VLOOKUP(B82,[28]Sheet1!A$6:B$360,2,0)</f>
        <v>119</v>
      </c>
      <c r="AE82" s="259" t="n">
        <f aca="false">VLOOKUP(B82,[29]Sheet1!A$6:B$360,2,0)</f>
        <v>119</v>
      </c>
      <c r="AF82" s="247" t="n">
        <f aca="false">VLOOKUP(B82,[30]Sheet1!A$6:B$360,2,0)</f>
        <v>119</v>
      </c>
      <c r="AG82" s="247" t="n">
        <f aca="false">VLOOKUP(B82,[31]Sheet1!A$6:B$360,2,0)</f>
        <v>119</v>
      </c>
      <c r="AH82" s="247" t="n">
        <f aca="false">VLOOKUP(B82,[32]Sheet1!A$6:B$360,2,0)</f>
        <v>119</v>
      </c>
      <c r="AI82" s="247" t="n">
        <f aca="false">VLOOKUP(B82,[33]Sheet1!A$6:B$360,2,0)</f>
        <v>119</v>
      </c>
      <c r="AJ82" s="263" t="n">
        <f aca="false">VLOOKUP(B82,[34]Sheet1!A$6:B$360,2,0)</f>
        <v>119</v>
      </c>
      <c r="AK82" s="259" t="n">
        <f aca="false">VLOOKUP(B82,[35]Sheet1!A$6:B$360,2,0)</f>
        <v>119</v>
      </c>
      <c r="AL82" s="247" t="n">
        <f aca="false">VLOOKUP(B82,[36]Sheet1!A$6:B$360,2,0)</f>
        <v>119</v>
      </c>
      <c r="AM82" s="247" t="n">
        <f aca="false">VLOOKUP(B82,[37]Sheet1!A$6:B$360,2,0)</f>
        <v>119</v>
      </c>
      <c r="AN82" s="247" t="n">
        <f aca="false">VLOOKUP(B82,[38]Sheet1!A$6:B$360,2,0)</f>
        <v>119</v>
      </c>
      <c r="AO82" s="263" t="n">
        <f aca="false">VLOOKUP(B82,[39]Sheet1!A$6:B$360,2,0)</f>
        <v>119</v>
      </c>
      <c r="AP82" s="259" t="n">
        <f aca="false">VLOOKUP(B82,[40]Sheet1!A$6:B$360,2,0)</f>
        <v>100</v>
      </c>
      <c r="AQ82" s="247" t="n">
        <f aca="false">VLOOKUP(B82,[41]Sheet1!A$6:B$360,2,0)</f>
        <v>100</v>
      </c>
      <c r="AR82" s="247" t="n">
        <f aca="false">VLOOKUP(B82,[42]Sheet1!A$6:B$360,2,0)</f>
        <v>100</v>
      </c>
    </row>
    <row r="83" customFormat="false" ht="12.8" hidden="false" customHeight="false" outlineLevel="0" collapsed="false">
      <c r="A83" s="23" t="s">
        <v>333</v>
      </c>
      <c r="B83" s="258" t="s">
        <v>431</v>
      </c>
      <c r="C83" s="247" t="n">
        <f aca="false">VLOOKUP(B83,[1]Sheet1!A$1:B$1048576,2,0)</f>
        <v>2101</v>
      </c>
      <c r="D83" s="247" t="n">
        <f aca="false">VLOOKUP(B83,[2]Sheet1!A$6:B$360,2,0)</f>
        <v>2101</v>
      </c>
      <c r="E83" s="247" t="n">
        <f aca="false">VLOOKUP(B83,[3]Sheet1!A$6:B$360,2,0)</f>
        <v>2101</v>
      </c>
      <c r="F83" s="247" t="n">
        <f aca="false">VLOOKUP(B83,[4]Sheet1!A$6:B$360,2,0)</f>
        <v>2101</v>
      </c>
      <c r="G83" s="247" t="n">
        <f aca="false">VLOOKUP(B83,[5]Sheet1!A$6:B$360,2,0)</f>
        <v>2101</v>
      </c>
      <c r="H83" s="247" t="n">
        <f aca="false">VLOOKUP(B83,[6]Sheet1!A$6:B$360,2,0)</f>
        <v>2101</v>
      </c>
      <c r="I83" s="247" t="n">
        <f aca="false">VLOOKUP(B83,[7]Sheet1!A$6:B$360,2,0)</f>
        <v>2101</v>
      </c>
      <c r="J83" s="247" t="n">
        <f aca="false">VLOOKUP(B83,[8]Sheet1!A$6:B$360,2,0)</f>
        <v>2101</v>
      </c>
      <c r="K83" s="259" t="n">
        <f aca="false">VLOOKUP(B83,[9]Sheet1!A$6:B$360,2,0)</f>
        <v>2101</v>
      </c>
      <c r="L83" s="260" t="n">
        <f aca="false">VLOOKUP(B83,[10]Sheet1!A$1:B$1048576,2,0)</f>
        <v>2101</v>
      </c>
      <c r="M83" s="247" t="n">
        <f aca="false">VLOOKUP(B83,[11]Sheet1!A$6:B$360,2,0)</f>
        <v>2101</v>
      </c>
      <c r="N83" s="247" t="n">
        <f aca="false">VLOOKUP(B83,[12]Sheet1!A$6:B$360,2,0)</f>
        <v>2101</v>
      </c>
      <c r="O83" s="247" t="n">
        <f aca="false">VLOOKUP(B83,[13]Sheet1!A$6:B$360,2,0)</f>
        <v>2101</v>
      </c>
      <c r="P83" s="247" t="n">
        <f aca="false">VLOOKUP(B83,[14]Sheet1!A$6:B$360,2,0)</f>
        <v>2101</v>
      </c>
      <c r="Q83" s="261" t="n">
        <f aca="false">VLOOKUP(B83,[15]Sheet1!A$6:B$360,2,0)</f>
        <v>2101</v>
      </c>
      <c r="R83" s="259" t="n">
        <f aca="false">VLOOKUP(B83,[16]Sheet1!A$6:B$360,2,0)</f>
        <v>1801</v>
      </c>
      <c r="S83" s="247" t="n">
        <f aca="false">VLOOKUP(B83,[17]Sheet1!A$6:B$360,2,0)</f>
        <v>1801</v>
      </c>
      <c r="T83" s="247" t="n">
        <f aca="false">VLOOKUP(B83,[18]Sheet1!A$6:B$360,2,0)</f>
        <v>1801</v>
      </c>
      <c r="U83" s="247" t="n">
        <f aca="false">VLOOKUP(B83,[19]Sheet1!A$6:B$360,2,0)</f>
        <v>1801</v>
      </c>
      <c r="V83" s="247" t="n">
        <f aca="false">VLOOKUP(B83,[20]Sheet1!A$6:B$360,2,0)</f>
        <v>1568</v>
      </c>
      <c r="W83" s="247" t="n">
        <f aca="false">VLOOKUP(B83,[21]Sheet1!A$6:B$360,2,0)</f>
        <v>1568</v>
      </c>
      <c r="X83" s="247" t="n">
        <f aca="false">VLOOKUP(B83,[22]Sheet1!A$6:B$360,2,0)</f>
        <v>1568</v>
      </c>
      <c r="Y83" s="263" t="n">
        <f aca="false">VLOOKUP(B83,[23]Sheet1!A$6:B$360,2,0)</f>
        <v>1568</v>
      </c>
      <c r="Z83" s="259" t="n">
        <f aca="false">VLOOKUP(B83,[24]Sheet1!A$6:B$360,2,0)</f>
        <v>1568</v>
      </c>
      <c r="AA83" s="247" t="n">
        <f aca="false">VLOOKUP(B83,[25]Sheet1!A$6:B$360,2,0)</f>
        <v>1568</v>
      </c>
      <c r="AB83" s="247" t="n">
        <f aca="false">VLOOKUP(B83,[26]Sheet1!A$6:B$360,2,0)</f>
        <v>1568</v>
      </c>
      <c r="AC83" s="247" t="n">
        <f aca="false">VLOOKUP(B83,[27]Sheet1!A$6:B$360,2,0)</f>
        <v>1568</v>
      </c>
      <c r="AD83" s="263" t="n">
        <f aca="false">VLOOKUP(B83,[28]Sheet1!A$6:B$360,2,0)</f>
        <v>1500</v>
      </c>
      <c r="AE83" s="259" t="n">
        <f aca="false">VLOOKUP(B83,[29]Sheet1!A$6:B$360,2,0)</f>
        <v>1200</v>
      </c>
      <c r="AF83" s="247" t="n">
        <f aca="false">VLOOKUP(B83,[30]Sheet1!A$6:B$360,2,0)</f>
        <v>1200</v>
      </c>
      <c r="AG83" s="247" t="n">
        <f aca="false">VLOOKUP(B83,[31]Sheet1!A$6:B$360,2,0)</f>
        <v>1200</v>
      </c>
      <c r="AH83" s="247" t="n">
        <f aca="false">VLOOKUP(B83,[32]Sheet1!A$6:B$360,2,0)</f>
        <v>1200</v>
      </c>
      <c r="AI83" s="247" t="n">
        <f aca="false">VLOOKUP(B83,[33]Sheet1!A$6:B$360,2,0)</f>
        <v>1200</v>
      </c>
      <c r="AJ83" s="263" t="n">
        <f aca="false">VLOOKUP(B83,[34]Sheet1!A$6:B$360,2,0)</f>
        <v>1200</v>
      </c>
      <c r="AK83" s="259" t="n">
        <f aca="false">VLOOKUP(B83,[35]Sheet1!A$6:B$360,2,0)</f>
        <v>1100</v>
      </c>
      <c r="AL83" s="247" t="n">
        <f aca="false">VLOOKUP(B83,[36]Sheet1!A$6:B$360,2,0)</f>
        <v>1200</v>
      </c>
      <c r="AM83" s="247" t="n">
        <f aca="false">VLOOKUP(B83,[37]Sheet1!A$6:B$360,2,0)</f>
        <v>1200</v>
      </c>
      <c r="AN83" s="247" t="n">
        <f aca="false">VLOOKUP(B83,[38]Sheet1!A$6:B$360,2,0)</f>
        <v>1200</v>
      </c>
      <c r="AO83" s="263" t="n">
        <f aca="false">VLOOKUP(B83,[39]Sheet1!A$6:B$360,2,0)</f>
        <v>1000</v>
      </c>
      <c r="AP83" s="259" t="n">
        <f aca="false">VLOOKUP(B83,[40]Sheet1!A$6:B$360,2,0)</f>
        <v>1400</v>
      </c>
      <c r="AQ83" s="247" t="n">
        <f aca="false">VLOOKUP(B83,[41]Sheet1!A$6:B$360,2,0)</f>
        <v>900</v>
      </c>
      <c r="AR83" s="247" t="n">
        <f aca="false">VLOOKUP(B83,[42]Sheet1!A$6:B$360,2,0)</f>
        <v>900</v>
      </c>
    </row>
    <row r="84" customFormat="false" ht="12.8" hidden="false" customHeight="false" outlineLevel="0" collapsed="false">
      <c r="A84" s="267" t="s">
        <v>28</v>
      </c>
      <c r="B84" s="268" t="s">
        <v>432</v>
      </c>
      <c r="C84" s="247" t="n">
        <f aca="false">VLOOKUP(B84,[1]Sheet1!A$1:B$1048576,2,0)</f>
        <v>315</v>
      </c>
      <c r="D84" s="247" t="n">
        <f aca="false">VLOOKUP(B84,[2]Sheet1!A$6:B$360,2,0)</f>
        <v>315</v>
      </c>
      <c r="E84" s="247" t="n">
        <f aca="false">VLOOKUP(B84,[3]Sheet1!A$6:B$360,2,0)</f>
        <v>315</v>
      </c>
      <c r="F84" s="247" t="n">
        <f aca="false">VLOOKUP(B84,[4]Sheet1!A$6:B$360,2,0)</f>
        <v>315</v>
      </c>
      <c r="G84" s="247" t="n">
        <f aca="false">VLOOKUP(B84,[5]Sheet1!A$6:B$360,2,0)</f>
        <v>315</v>
      </c>
      <c r="H84" s="247" t="n">
        <f aca="false">VLOOKUP(B84,[6]Sheet1!A$6:B$360,2,0)</f>
        <v>315</v>
      </c>
      <c r="I84" s="247" t="n">
        <f aca="false">VLOOKUP(B84,[7]Sheet1!A$6:B$360,2,0)</f>
        <v>309</v>
      </c>
      <c r="J84" s="247" t="n">
        <f aca="false">VLOOKUP(B84,[8]Sheet1!A$6:B$360,2,0)</f>
        <v>300</v>
      </c>
      <c r="K84" s="259" t="n">
        <f aca="false">VLOOKUP(B84,[9]Sheet1!A$6:B$360,2,0)</f>
        <v>300</v>
      </c>
      <c r="L84" s="260" t="n">
        <f aca="false">VLOOKUP(B84,[10]Sheet1!A$1:B$1048576,2,0)</f>
        <v>300</v>
      </c>
      <c r="M84" s="247" t="n">
        <f aca="false">VLOOKUP(B84,[11]Sheet1!A$6:B$360,2,0)</f>
        <v>300</v>
      </c>
      <c r="N84" s="247" t="n">
        <f aca="false">VLOOKUP(B84,[12]Sheet1!A$6:B$360,2,0)</f>
        <v>300</v>
      </c>
      <c r="O84" s="247" t="n">
        <f aca="false">VLOOKUP(B84,[13]Sheet1!A$6:B$360,2,0)</f>
        <v>195</v>
      </c>
      <c r="P84" s="247" t="n">
        <f aca="false">VLOOKUP(B84,[14]Sheet1!A$6:B$360,2,0)</f>
        <v>195</v>
      </c>
      <c r="Q84" s="261" t="n">
        <f aca="false">VLOOKUP(B84,[15]Sheet1!A$6:B$360,2,0)</f>
        <v>308</v>
      </c>
      <c r="R84" s="259" t="n">
        <f aca="false">VLOOKUP(B84,[16]Sheet1!A$6:B$360,2,0)</f>
        <v>308</v>
      </c>
      <c r="S84" s="247" t="n">
        <f aca="false">VLOOKUP(B84,[17]Sheet1!A$6:B$360,2,0)</f>
        <v>308</v>
      </c>
      <c r="T84" s="247" t="n">
        <f aca="false">VLOOKUP(B84,[18]Sheet1!A$6:B$360,2,0)</f>
        <v>308</v>
      </c>
      <c r="U84" s="247" t="n">
        <f aca="false">VLOOKUP(B84,[19]Sheet1!A$6:B$360,2,0)</f>
        <v>308</v>
      </c>
      <c r="V84" s="247" t="n">
        <f aca="false">VLOOKUP(B84,[20]Sheet1!A$6:B$360,2,0)</f>
        <v>308</v>
      </c>
      <c r="W84" s="247" t="n">
        <f aca="false">VLOOKUP(B84,[21]Sheet1!A$6:B$360,2,0)</f>
        <v>308</v>
      </c>
      <c r="X84" s="247" t="n">
        <f aca="false">VLOOKUP(B84,[22]Sheet1!A$6:B$360,2,0)</f>
        <v>308</v>
      </c>
      <c r="Y84" s="263" t="n">
        <f aca="false">VLOOKUP(B84,[23]Sheet1!A$6:B$360,2,0)</f>
        <v>308</v>
      </c>
      <c r="Z84" s="259" t="n">
        <f aca="false">VLOOKUP(B84,[24]Sheet1!A$6:B$360,2,0)</f>
        <v>308</v>
      </c>
      <c r="AA84" s="247" t="n">
        <f aca="false">VLOOKUP(B84,[25]Sheet1!A$6:B$360,2,0)</f>
        <v>250</v>
      </c>
      <c r="AB84" s="247" t="n">
        <f aca="false">VLOOKUP(B84,[26]Sheet1!A$6:B$360,2,0)</f>
        <v>250</v>
      </c>
      <c r="AC84" s="247" t="n">
        <f aca="false">VLOOKUP(B84,[27]Sheet1!A$6:B$360,2,0)</f>
        <v>250</v>
      </c>
      <c r="AD84" s="263" t="n">
        <f aca="false">VLOOKUP(B84,[28]Sheet1!A$6:B$360,2,0)</f>
        <v>250</v>
      </c>
      <c r="AE84" s="259" t="n">
        <f aca="false">VLOOKUP(B84,[29]Sheet1!A$6:B$360,2,0)</f>
        <v>250</v>
      </c>
      <c r="AF84" s="247" t="n">
        <f aca="false">VLOOKUP(B84,[30]Sheet1!A$6:B$360,2,0)</f>
        <v>291</v>
      </c>
      <c r="AG84" s="247" t="n">
        <f aca="false">VLOOKUP(B84,[31]Sheet1!A$6:B$360,2,0)</f>
        <v>300</v>
      </c>
      <c r="AH84" s="247" t="n">
        <f aca="false">VLOOKUP(B84,[32]Sheet1!A$6:B$360,2,0)</f>
        <v>320</v>
      </c>
      <c r="AI84" s="247" t="n">
        <f aca="false">VLOOKUP(B84,[33]Sheet1!A$6:B$360,2,0)</f>
        <v>321</v>
      </c>
      <c r="AJ84" s="263" t="n">
        <f aca="false">VLOOKUP(B84,[34]Sheet1!A$6:B$360,2,0)</f>
        <v>321</v>
      </c>
      <c r="AK84" s="259" t="n">
        <f aca="false">VLOOKUP(B84,[35]Sheet1!A$6:B$360,2,0)</f>
        <v>285</v>
      </c>
      <c r="AL84" s="247" t="n">
        <f aca="false">VLOOKUP(B84,[36]Sheet1!A$6:B$360,2,0)</f>
        <v>295</v>
      </c>
      <c r="AM84" s="247" t="n">
        <f aca="false">VLOOKUP(B84,[37]Sheet1!A$6:B$360,2,0)</f>
        <v>296</v>
      </c>
      <c r="AN84" s="247" t="n">
        <f aca="false">VLOOKUP(B84,[38]Sheet1!A$6:B$360,2,0)</f>
        <v>377</v>
      </c>
      <c r="AO84" s="263" t="n">
        <f aca="false">VLOOKUP(B84,[39]Sheet1!A$6:B$360,2,0)</f>
        <v>389</v>
      </c>
      <c r="AP84" s="259" t="n">
        <f aca="false">VLOOKUP(B84,[40]Sheet1!A$6:B$360,2,0)</f>
        <v>360</v>
      </c>
      <c r="AQ84" s="247" t="n">
        <f aca="false">VLOOKUP(B84,[41]Sheet1!A$6:B$360,2,0)</f>
        <v>350</v>
      </c>
      <c r="AR84" s="247" t="n">
        <f aca="false">VLOOKUP(B84,[42]Sheet1!A$6:B$360,2,0)</f>
        <v>305</v>
      </c>
    </row>
    <row r="85" customFormat="false" ht="12.8" hidden="false" customHeight="false" outlineLevel="0" collapsed="false">
      <c r="A85" s="23" t="s">
        <v>183</v>
      </c>
      <c r="B85" s="258" t="s">
        <v>433</v>
      </c>
      <c r="C85" s="247" t="n">
        <f aca="false">VLOOKUP(B85,[1]Sheet1!A$1:B$1048576,2,0)</f>
        <v>36300</v>
      </c>
      <c r="D85" s="247" t="n">
        <f aca="false">VLOOKUP(B85,[2]Sheet1!A$6:B$360,2,0)</f>
        <v>37150</v>
      </c>
      <c r="E85" s="247" t="n">
        <f aca="false">VLOOKUP(B85,[3]Sheet1!A$6:B$360,2,0)</f>
        <v>37150</v>
      </c>
      <c r="F85" s="247" t="n">
        <f aca="false">VLOOKUP(B85,[4]Sheet1!A$6:B$360,2,0)</f>
        <v>37200</v>
      </c>
      <c r="G85" s="247" t="n">
        <f aca="false">VLOOKUP(B85,[5]Sheet1!A$6:B$360,2,0)</f>
        <v>37200</v>
      </c>
      <c r="H85" s="247" t="n">
        <f aca="false">VLOOKUP(B85,[6]Sheet1!A$6:B$360,2,0)</f>
        <v>31250</v>
      </c>
      <c r="I85" s="247" t="n">
        <f aca="false">VLOOKUP(B85,[7]Sheet1!A$6:B$360,2,0)</f>
        <v>31250</v>
      </c>
      <c r="J85" s="247" t="n">
        <f aca="false">VLOOKUP(B85,[8]Sheet1!A$6:B$360,2,0)</f>
        <v>30500</v>
      </c>
      <c r="K85" s="259" t="n">
        <f aca="false">VLOOKUP(B85,[9]Sheet1!A$6:B$360,2,0)</f>
        <v>30385</v>
      </c>
      <c r="L85" s="260" t="n">
        <f aca="false">VLOOKUP(B85,[10]Sheet1!A$1:B$1048576,2,0)</f>
        <v>28899</v>
      </c>
      <c r="M85" s="247" t="n">
        <f aca="false">VLOOKUP(B85,[11]Sheet1!A$6:B$360,2,0)</f>
        <v>28899</v>
      </c>
      <c r="N85" s="247" t="n">
        <f aca="false">VLOOKUP(B85,[12]Sheet1!A$6:B$360,2,0)</f>
        <v>28899</v>
      </c>
      <c r="O85" s="247" t="n">
        <f aca="false">VLOOKUP(B85,[13]Sheet1!A$6:B$360,2,0)</f>
        <v>28899</v>
      </c>
      <c r="P85" s="247" t="n">
        <f aca="false">VLOOKUP(B85,[14]Sheet1!A$6:B$360,2,0)</f>
        <v>29200</v>
      </c>
      <c r="Q85" s="261" t="n">
        <f aca="false">VLOOKUP(B85,[15]Sheet1!A$6:B$360,2,0)</f>
        <v>29850</v>
      </c>
      <c r="R85" s="259" t="n">
        <f aca="false">VLOOKUP(B85,[16]Sheet1!A$6:B$360,2,0)</f>
        <v>29000</v>
      </c>
      <c r="S85" s="247" t="n">
        <f aca="false">VLOOKUP(B85,[17]Sheet1!A$6:B$360,2,0)</f>
        <v>28501</v>
      </c>
      <c r="T85" s="247" t="n">
        <f aca="false">VLOOKUP(B85,[18]Sheet1!A$6:B$360,2,0)</f>
        <v>28220</v>
      </c>
      <c r="U85" s="247" t="n">
        <f aca="false">VLOOKUP(B85,[19]Sheet1!A$6:B$360,2,0)</f>
        <v>35000</v>
      </c>
      <c r="V85" s="247" t="n">
        <f aca="false">VLOOKUP(B85,[20]Sheet1!A$6:B$360,2,0)</f>
        <v>41000</v>
      </c>
      <c r="W85" s="247" t="n">
        <f aca="false">VLOOKUP(B85,[21]Sheet1!A$6:B$360,2,0)</f>
        <v>39900</v>
      </c>
      <c r="X85" s="247" t="n">
        <f aca="false">VLOOKUP(B85,[22]Sheet1!A$6:B$360,2,0)</f>
        <v>39900</v>
      </c>
      <c r="Y85" s="263" t="n">
        <f aca="false">VLOOKUP(B85,[23]Sheet1!A$6:B$360,2,0)</f>
        <v>39900</v>
      </c>
      <c r="Z85" s="259" t="n">
        <f aca="false">VLOOKUP(B85,[24]Sheet1!A$6:B$360,2,0)</f>
        <v>35107</v>
      </c>
      <c r="AA85" s="247" t="n">
        <f aca="false">VLOOKUP(B85,[25]Sheet1!A$6:B$360,2,0)</f>
        <v>35101</v>
      </c>
      <c r="AB85" s="247" t="n">
        <f aca="false">VLOOKUP(B85,[26]Sheet1!A$6:B$360,2,0)</f>
        <v>33536</v>
      </c>
      <c r="AC85" s="247" t="n">
        <f aca="false">VLOOKUP(B85,[27]Sheet1!A$6:B$360,2,0)</f>
        <v>29001</v>
      </c>
      <c r="AD85" s="263" t="n">
        <f aca="false">VLOOKUP(B85,[28]Sheet1!A$6:B$360,2,0)</f>
        <v>29000</v>
      </c>
      <c r="AE85" s="259" t="n">
        <f aca="false">VLOOKUP(B85,[29]Sheet1!A$6:B$360,2,0)</f>
        <v>26001</v>
      </c>
      <c r="AF85" s="247" t="n">
        <f aca="false">VLOOKUP(B85,[30]Sheet1!A$6:B$360,2,0)</f>
        <v>25001</v>
      </c>
      <c r="AG85" s="247" t="n">
        <f aca="false">VLOOKUP(B85,[31]Sheet1!A$6:B$360,2,0)</f>
        <v>25000</v>
      </c>
      <c r="AH85" s="247" t="n">
        <f aca="false">VLOOKUP(B85,[32]Sheet1!A$6:B$360,2,0)</f>
        <v>24500</v>
      </c>
      <c r="AI85" s="247" t="n">
        <f aca="false">VLOOKUP(B85,[33]Sheet1!A$6:B$360,2,0)</f>
        <v>23150</v>
      </c>
      <c r="AJ85" s="263" t="n">
        <f aca="false">VLOOKUP(B85,[34]Sheet1!A$6:B$360,2,0)</f>
        <v>24200</v>
      </c>
      <c r="AK85" s="259" t="n">
        <f aca="false">VLOOKUP(B85,[35]Sheet1!A$6:B$360,2,0)</f>
        <v>25100</v>
      </c>
      <c r="AL85" s="247" t="n">
        <f aca="false">VLOOKUP(B85,[36]Sheet1!A$6:B$360,2,0)</f>
        <v>23051</v>
      </c>
      <c r="AM85" s="247" t="n">
        <f aca="false">VLOOKUP(B85,[37]Sheet1!A$6:B$360,2,0)</f>
        <v>23050</v>
      </c>
      <c r="AN85" s="247" t="n">
        <f aca="false">VLOOKUP(B85,[38]Sheet1!A$6:B$360,2,0)</f>
        <v>23001</v>
      </c>
      <c r="AO85" s="263" t="n">
        <f aca="false">VLOOKUP(B85,[39]Sheet1!A$6:B$360,2,0)</f>
        <v>23500</v>
      </c>
      <c r="AP85" s="259" t="n">
        <f aca="false">VLOOKUP(B85,[40]Sheet1!A$6:B$360,2,0)</f>
        <v>23000</v>
      </c>
      <c r="AQ85" s="247" t="n">
        <f aca="false">VLOOKUP(B85,[41]Sheet1!A$6:B$360,2,0)</f>
        <v>23800</v>
      </c>
      <c r="AR85" s="247" t="n">
        <f aca="false">VLOOKUP(B85,[42]Sheet1!A$6:B$360,2,0)</f>
        <v>23800</v>
      </c>
    </row>
    <row r="86" customFormat="false" ht="12.8" hidden="false" customHeight="false" outlineLevel="0" collapsed="false">
      <c r="A86" s="23" t="s">
        <v>334</v>
      </c>
      <c r="B86" s="258" t="s">
        <v>434</v>
      </c>
      <c r="C86" s="247" t="n">
        <f aca="false">VLOOKUP(B86,[1]Sheet1!A$1:B$1048576,2,0)</f>
        <v>350</v>
      </c>
      <c r="D86" s="247" t="n">
        <f aca="false">VLOOKUP(B86,[2]Sheet1!A$6:B$360,2,0)</f>
        <v>350</v>
      </c>
      <c r="E86" s="247" t="n">
        <f aca="false">VLOOKUP(B86,[3]Sheet1!A$6:B$360,2,0)</f>
        <v>350</v>
      </c>
      <c r="F86" s="247" t="n">
        <f aca="false">VLOOKUP(B86,[4]Sheet1!A$6:B$360,2,0)</f>
        <v>350</v>
      </c>
      <c r="G86" s="247" t="n">
        <f aca="false">VLOOKUP(B86,[5]Sheet1!A$6:B$360,2,0)</f>
        <v>350</v>
      </c>
      <c r="H86" s="247" t="n">
        <f aca="false">VLOOKUP(B86,[6]Sheet1!A$6:B$360,2,0)</f>
        <v>350</v>
      </c>
      <c r="I86" s="247" t="n">
        <f aca="false">VLOOKUP(B86,[7]Sheet1!A$6:B$360,2,0)</f>
        <v>350</v>
      </c>
      <c r="J86" s="247" t="n">
        <f aca="false">VLOOKUP(B86,[8]Sheet1!A$6:B$360,2,0)</f>
        <v>350</v>
      </c>
      <c r="K86" s="259" t="n">
        <f aca="false">VLOOKUP(B86,[9]Sheet1!A$6:B$360,2,0)</f>
        <v>350</v>
      </c>
      <c r="L86" s="260" t="n">
        <f aca="false">VLOOKUP(B86,[10]Sheet1!A$1:B$1048576,2,0)</f>
        <v>350</v>
      </c>
      <c r="M86" s="247" t="n">
        <f aca="false">VLOOKUP(B86,[11]Sheet1!A$6:B$360,2,0)</f>
        <v>350</v>
      </c>
      <c r="N86" s="247" t="n">
        <f aca="false">VLOOKUP(B86,[12]Sheet1!A$6:B$360,2,0)</f>
        <v>350</v>
      </c>
      <c r="O86" s="247" t="n">
        <f aca="false">VLOOKUP(B86,[13]Sheet1!A$6:B$360,2,0)</f>
        <v>350</v>
      </c>
      <c r="P86" s="247" t="n">
        <f aca="false">VLOOKUP(B86,[14]Sheet1!A$6:B$360,2,0)</f>
        <v>350</v>
      </c>
      <c r="Q86" s="261" t="n">
        <f aca="false">VLOOKUP(B86,[15]Sheet1!A$6:B$360,2,0)</f>
        <v>450</v>
      </c>
      <c r="R86" s="259" t="n">
        <f aca="false">VLOOKUP(B86,[16]Sheet1!A$6:B$360,2,0)</f>
        <v>600</v>
      </c>
      <c r="S86" s="247" t="n">
        <f aca="false">VLOOKUP(B86,[17]Sheet1!A$6:B$360,2,0)</f>
        <v>450</v>
      </c>
      <c r="T86" s="247" t="n">
        <f aca="false">VLOOKUP(B86,[18]Sheet1!A$6:B$360,2,0)</f>
        <v>450</v>
      </c>
      <c r="U86" s="247" t="n">
        <f aca="false">VLOOKUP(B86,[19]Sheet1!A$6:B$360,2,0)</f>
        <v>450</v>
      </c>
      <c r="V86" s="249" t="n">
        <f aca="false">VLOOKUP(B86,[20]Sheet1!A$6:B$360,2,0)</f>
        <v>600</v>
      </c>
      <c r="W86" s="247" t="n">
        <f aca="false">VLOOKUP(B86,[21]Sheet1!A$6:B$360,2,0)</f>
        <v>600</v>
      </c>
      <c r="X86" s="247" t="n">
        <f aca="false">VLOOKUP(B86,[22]Sheet1!A$6:B$360,2,0)</f>
        <v>600</v>
      </c>
      <c r="Y86" s="263" t="n">
        <f aca="false">VLOOKUP(B86,[23]Sheet1!A$6:B$360,2,0)</f>
        <v>600</v>
      </c>
      <c r="Z86" s="259" t="n">
        <f aca="false">VLOOKUP(B86,[24]Sheet1!A$6:B$360,2,0)</f>
        <v>600</v>
      </c>
      <c r="AA86" s="247" t="n">
        <f aca="false">VLOOKUP(B86,[25]Sheet1!A$6:B$360,2,0)</f>
        <v>600</v>
      </c>
      <c r="AB86" s="247" t="n">
        <f aca="false">VLOOKUP(B86,[26]Sheet1!A$6:B$360,2,0)</f>
        <v>600</v>
      </c>
      <c r="AC86" s="247" t="n">
        <f aca="false">VLOOKUP(B86,[27]Sheet1!A$6:B$360,2,0)</f>
        <v>700</v>
      </c>
      <c r="AD86" s="263" t="n">
        <f aca="false">VLOOKUP(B86,[28]Sheet1!A$6:B$360,2,0)</f>
        <v>700</v>
      </c>
      <c r="AE86" s="259" t="n">
        <f aca="false">VLOOKUP(B86,[29]Sheet1!A$6:B$360,2,0)</f>
        <v>700</v>
      </c>
      <c r="AF86" s="247" t="n">
        <f aca="false">VLOOKUP(B86,[30]Sheet1!A$6:B$360,2,0)</f>
        <v>700</v>
      </c>
      <c r="AG86" s="247" t="n">
        <f aca="false">VLOOKUP(B86,[31]Sheet1!A$6:B$360,2,0)</f>
        <v>700</v>
      </c>
      <c r="AH86" s="247" t="n">
        <f aca="false">VLOOKUP(B86,[32]Sheet1!A$6:B$360,2,0)</f>
        <v>700</v>
      </c>
      <c r="AI86" s="247" t="n">
        <f aca="false">VLOOKUP(B86,[33]Sheet1!A$6:B$360,2,0)</f>
        <v>700</v>
      </c>
      <c r="AJ86" s="263" t="n">
        <f aca="false">VLOOKUP(B86,[34]Sheet1!A$6:B$360,2,0)</f>
        <v>700</v>
      </c>
      <c r="AK86" s="259" t="n">
        <f aca="false">VLOOKUP(B86,[35]Sheet1!A$6:B$360,2,0)</f>
        <v>700</v>
      </c>
      <c r="AL86" s="247" t="n">
        <f aca="false">VLOOKUP(B86,[36]Sheet1!A$6:B$360,2,0)</f>
        <v>700</v>
      </c>
      <c r="AM86" s="247" t="n">
        <f aca="false">VLOOKUP(B86,[37]Sheet1!A$6:B$360,2,0)</f>
        <v>700</v>
      </c>
      <c r="AN86" s="247" t="n">
        <f aca="false">VLOOKUP(B86,[38]Sheet1!A$6:B$360,2,0)</f>
        <v>700</v>
      </c>
      <c r="AO86" s="263" t="n">
        <f aca="false">VLOOKUP(B86,[39]Sheet1!A$6:B$360,2,0)</f>
        <v>700</v>
      </c>
      <c r="AP86" s="259" t="n">
        <f aca="false">VLOOKUP(B86,[40]Sheet1!A$6:B$360,2,0)</f>
        <v>700</v>
      </c>
      <c r="AQ86" s="247" t="n">
        <f aca="false">VLOOKUP(B86,[41]Sheet1!A$6:B$360,2,0)</f>
        <v>600</v>
      </c>
      <c r="AR86" s="247" t="n">
        <f aca="false">VLOOKUP(B86,[42]Sheet1!A$6:B$360,2,0)</f>
        <v>600</v>
      </c>
    </row>
    <row r="87" customFormat="false" ht="12.8" hidden="false" customHeight="false" outlineLevel="0" collapsed="false">
      <c r="C87" s="247"/>
      <c r="D87" s="247"/>
      <c r="E87" s="247"/>
      <c r="F87" s="247"/>
      <c r="G87" s="247"/>
      <c r="H87" s="247"/>
      <c r="I87" s="247"/>
      <c r="J87" s="247"/>
      <c r="K87" s="259"/>
      <c r="L87" s="260"/>
      <c r="M87" s="247"/>
      <c r="N87" s="247"/>
      <c r="O87" s="247"/>
      <c r="P87" s="247"/>
      <c r="Q87" s="261"/>
      <c r="R87" s="259"/>
      <c r="S87" s="247"/>
      <c r="T87" s="247"/>
      <c r="U87" s="247"/>
      <c r="V87" s="247"/>
      <c r="W87" s="247"/>
      <c r="X87" s="247"/>
      <c r="Y87" s="263"/>
      <c r="Z87" s="259"/>
      <c r="AA87" s="247"/>
      <c r="AB87" s="247"/>
      <c r="AC87" s="247"/>
      <c r="AD87" s="263"/>
      <c r="AE87" s="259"/>
      <c r="AF87" s="247"/>
      <c r="AG87" s="247"/>
      <c r="AH87" s="247"/>
      <c r="AI87" s="247"/>
      <c r="AJ87" s="263"/>
      <c r="AK87" s="259"/>
      <c r="AL87" s="247"/>
      <c r="AM87" s="247"/>
      <c r="AN87" s="247"/>
      <c r="AO87" s="263"/>
      <c r="AP87" s="269"/>
      <c r="AR87" s="247"/>
    </row>
    <row r="88" customFormat="false" ht="12.8" hidden="false" customHeight="false" outlineLevel="0" collapsed="false">
      <c r="A88" s="139" t="s">
        <v>335</v>
      </c>
      <c r="B88" s="258" t="s">
        <v>435</v>
      </c>
      <c r="C88" s="247" t="n">
        <f aca="false">VLOOKUP(B88,[1]Sheet1!A$1:B$1048576,2,0)</f>
        <v>3702</v>
      </c>
      <c r="D88" s="247" t="n">
        <f aca="false">VLOOKUP(B88,[2]Sheet1!A$6:B$360,2,0)</f>
        <v>3700</v>
      </c>
      <c r="E88" s="247" t="n">
        <f aca="false">VLOOKUP(B88,[3]Sheet1!A$6:B$360,2,0)</f>
        <v>3700</v>
      </c>
      <c r="F88" s="247" t="n">
        <f aca="false">VLOOKUP(B88,[4]Sheet1!A$6:B$360,2,0)</f>
        <v>3800</v>
      </c>
      <c r="G88" s="247" t="n">
        <f aca="false">VLOOKUP(B88,[5]Sheet1!A$6:B$360,2,0)</f>
        <v>3600</v>
      </c>
      <c r="H88" s="247" t="n">
        <f aca="false">VLOOKUP(B88,[6]Sheet1!A$6:B$360,2,0)</f>
        <v>3802</v>
      </c>
      <c r="I88" s="247" t="n">
        <f aca="false">VLOOKUP(B88,[7]Sheet1!A$6:B$360,2,0)</f>
        <v>3802</v>
      </c>
      <c r="J88" s="247" t="n">
        <f aca="false">VLOOKUP(B88,[8]Sheet1!A$6:B$360,2,0)</f>
        <v>4000</v>
      </c>
      <c r="K88" s="259" t="n">
        <f aca="false">VLOOKUP(B88,[9]Sheet1!A$6:B$360,2,0)</f>
        <v>2750</v>
      </c>
      <c r="L88" s="260" t="e">
        <f aca="false">VLOOKUP(B88,[10]Sheet1!A$1:B$1048576,2,0)</f>
        <v>#N/A</v>
      </c>
      <c r="M88" s="247" t="n">
        <f aca="false">VLOOKUP(B88,[11]Sheet1!A$6:B$360,2,0)</f>
        <v>2716</v>
      </c>
      <c r="N88" s="247" t="n">
        <f aca="false">VLOOKUP(B88,[12]Sheet1!A$6:B$360,2,0)</f>
        <v>2716</v>
      </c>
      <c r="O88" s="247" t="n">
        <f aca="false">VLOOKUP(B88,[13]Sheet1!A$6:B$360,2,0)</f>
        <v>2716</v>
      </c>
      <c r="P88" s="247" t="n">
        <f aca="false">VLOOKUP(B88,[14]Sheet1!A$6:B$360,2,0)</f>
        <v>2716</v>
      </c>
      <c r="Q88" s="261" t="n">
        <f aca="false">VLOOKUP(B88,[15]Sheet1!A$6:B$360,2,0)</f>
        <v>3650</v>
      </c>
      <c r="R88" s="259" t="n">
        <f aca="false">VLOOKUP(B88,[16]Sheet1!A$6:B$360,2,0)</f>
        <v>2500</v>
      </c>
      <c r="S88" s="247" t="n">
        <f aca="false">VLOOKUP(B88,[17]Sheet1!A$6:B$360,2,0)</f>
        <v>2000</v>
      </c>
      <c r="T88" s="247" t="n">
        <f aca="false">VLOOKUP(B88,[18]Sheet1!A$6:B$360,2,0)</f>
        <v>2000</v>
      </c>
      <c r="U88" s="247" t="n">
        <f aca="false">VLOOKUP(B88,[19]Sheet1!A$6:B$360,2,0)</f>
        <v>2850</v>
      </c>
      <c r="V88" s="247" t="n">
        <f aca="false">VLOOKUP(B88,[20]Sheet1!A$6:B$360,2,0)</f>
        <v>2899</v>
      </c>
      <c r="W88" s="247" t="n">
        <f aca="false">VLOOKUP(B88,[21]Sheet1!A$6:B$360,2,0)</f>
        <v>2899</v>
      </c>
      <c r="X88" s="247" t="n">
        <f aca="false">VLOOKUP(B88,[22]Sheet1!A$6:B$360,2,0)</f>
        <v>2899</v>
      </c>
      <c r="Y88" s="263" t="n">
        <f aca="false">VLOOKUP(B88,[23]Sheet1!A$6:B$360,2,0)</f>
        <v>2899</v>
      </c>
      <c r="Z88" s="259" t="e">
        <f aca="false">VLOOKUP(B88,[24]Sheet1!A$6:B$390,2,0)</f>
        <v>#N/A</v>
      </c>
      <c r="AA88" s="247" t="n">
        <f aca="false">VLOOKUP(B88,[25]Sheet1!A$6:B$360,2,0)</f>
        <v>3208</v>
      </c>
      <c r="AB88" s="247" t="n">
        <f aca="false">VLOOKUP(B88,[26]Sheet1!A$6:B$360,2,0)</f>
        <v>3208</v>
      </c>
      <c r="AC88" s="247" t="e">
        <f aca="false">VLOOKUP(B88,[27]Sheet1!A$6:B$360,2,0)</f>
        <v>#N/A</v>
      </c>
      <c r="AD88" s="263" t="e">
        <f aca="false">VLOOKUP(B88,[28]Sheet1!A$6:B$360,2,0)</f>
        <v>#N/A</v>
      </c>
      <c r="AE88" s="259" t="n">
        <f aca="false">VLOOKUP(B88,[29]Sheet1!A$6:B$360,2,0)</f>
        <v>5000</v>
      </c>
      <c r="AF88" s="247" t="e">
        <f aca="false">VLOOKUP(B88,[30]Sheet1!A$6:B$360,2,0)</f>
        <v>#N/A</v>
      </c>
      <c r="AG88" s="247" t="e">
        <f aca="false">VLOOKUP(B88,[31]Sheet1!A$6:B$360,2,0)</f>
        <v>#N/A</v>
      </c>
      <c r="AH88" s="247" t="e">
        <f aca="false">VLOOKUP(B88,[32]Sheet1!A$6:B$360,2,0)</f>
        <v>#N/A</v>
      </c>
      <c r="AI88" s="247" t="e">
        <f aca="false">VLOOKUP(B88,[33]Sheet1!A$6:B$360,2,0)</f>
        <v>#N/A</v>
      </c>
      <c r="AJ88" s="263" t="e">
        <f aca="false">VLOOKUP(B88,[34]Sheet1!A$6:B$360,2,0)</f>
        <v>#N/A</v>
      </c>
      <c r="AK88" s="259" t="e">
        <f aca="false">VLOOKUP(B88,[35]Sheet1!A$6:B$360,2,0)</f>
        <v>#N/A</v>
      </c>
      <c r="AL88" s="247" t="e">
        <f aca="false">VLOOKUP(B88,[36]Sheet1!A$6:B$360,2,0)</f>
        <v>#N/A</v>
      </c>
      <c r="AM88" s="247" t="e">
        <f aca="false">VLOOKUP(B88,[37]Sheet1!A$6:B$360,2,0)</f>
        <v>#N/A</v>
      </c>
      <c r="AN88" s="247" t="e">
        <f aca="false">VLOOKUP(B88,[38]Sheet1!A$6:B$360,2,0)</f>
        <v>#N/A</v>
      </c>
      <c r="AO88" s="263" t="e">
        <f aca="false">VLOOKUP(B88,[39]Sheet1!A$6:B$360,2,0)</f>
        <v>#N/A</v>
      </c>
      <c r="AP88" s="259" t="n">
        <f aca="false">VLOOKUP(B88,[40]Sheet1!A$6:B$360,2,0)</f>
        <v>5000</v>
      </c>
      <c r="AQ88" s="247" t="n">
        <f aca="false">VLOOKUP(B88,[41]Sheet1!A$6:B$360,2,0)</f>
        <v>5000</v>
      </c>
      <c r="AR88" s="247" t="n">
        <f aca="false">VLOOKUP(B88,[42]Sheet1!A$6:B$360,2,0)</f>
        <v>5000</v>
      </c>
    </row>
    <row r="89" customFormat="false" ht="12.8" hidden="false" customHeight="false" outlineLevel="0" collapsed="false">
      <c r="B89" s="23" t="s">
        <v>436</v>
      </c>
      <c r="C89" s="247"/>
      <c r="D89" s="247"/>
      <c r="E89" s="247"/>
      <c r="F89" s="247"/>
      <c r="G89" s="247"/>
      <c r="H89" s="247"/>
      <c r="I89" s="247"/>
      <c r="J89" s="247"/>
      <c r="K89" s="259"/>
      <c r="L89" s="260"/>
      <c r="M89" s="247"/>
      <c r="N89" s="247"/>
      <c r="O89" s="247"/>
      <c r="P89" s="247"/>
      <c r="Q89" s="261"/>
      <c r="R89" s="259"/>
      <c r="S89" s="247"/>
      <c r="T89" s="247"/>
      <c r="U89" s="247"/>
      <c r="V89" s="247"/>
      <c r="W89" s="247"/>
      <c r="X89" s="247"/>
      <c r="Y89" s="263"/>
      <c r="Z89" s="259"/>
      <c r="AA89" s="247"/>
      <c r="AB89" s="247"/>
      <c r="AC89" s="247"/>
      <c r="AD89" s="263"/>
      <c r="AE89" s="259"/>
      <c r="AF89" s="247"/>
      <c r="AG89" s="247"/>
      <c r="AH89" s="247"/>
      <c r="AI89" s="247"/>
      <c r="AJ89" s="263"/>
      <c r="AK89" s="259"/>
      <c r="AL89" s="247"/>
      <c r="AM89" s="247"/>
      <c r="AN89" s="247"/>
      <c r="AO89" s="263"/>
      <c r="AP89" s="259"/>
      <c r="AQ89" s="247"/>
      <c r="AR89" s="247"/>
    </row>
    <row r="90" customFormat="false" ht="19.7" hidden="false" customHeight="false" outlineLevel="0" collapsed="false">
      <c r="A90" s="146" t="s">
        <v>228</v>
      </c>
      <c r="B90" s="270" t="s">
        <v>437</v>
      </c>
      <c r="C90" s="271" t="n">
        <f aca="false">VLOOKUP(B90,[1]Sheet1!A$1:B$1048576,2,0)</f>
        <v>8661.64</v>
      </c>
      <c r="D90" s="271" t="n">
        <f aca="false">VLOOKUP(B90,[2]Sheet1!A$6:B$360,2,0)</f>
        <v>8365.24</v>
      </c>
      <c r="E90" s="31" t="n">
        <f aca="false">VLOOKUP(B90,[3]Sheet1!A$6:B$360,2,0)</f>
        <v>8480.61</v>
      </c>
      <c r="F90" s="271" t="n">
        <f aca="false">VLOOKUP(B90,[4]Sheet1!A$6:B$360,2,0)</f>
        <v>8213.86</v>
      </c>
      <c r="G90" s="271" t="n">
        <f aca="false">VLOOKUP(B90,[5]Sheet1!A$6:B$360,2,0)</f>
        <v>7704.56</v>
      </c>
      <c r="H90" s="271" t="n">
        <f aca="false">VLOOKUP(B90,[6]Sheet1!A$6:B$360,2,0)</f>
        <v>7187.14</v>
      </c>
      <c r="I90" s="271" t="n">
        <f aca="false">VLOOKUP(B90,[7]Sheet1!A$6:B$360,2,0)</f>
        <v>7067.13</v>
      </c>
      <c r="J90" s="271" t="n">
        <f aca="false">VLOOKUP(B90,[8]Sheet1!A$6:B$360,2,0)</f>
        <v>6697.75</v>
      </c>
      <c r="K90" s="153" t="n">
        <f aca="false">VLOOKUP(B90,[9]Sheet1!A$6:B$360,2,0)</f>
        <v>6116.23</v>
      </c>
      <c r="L90" s="272" t="n">
        <f aca="false">VLOOKUP(B90,[10]Sheet1!A$1:B$1048576,2,0)</f>
        <v>5961.4</v>
      </c>
      <c r="M90" s="271" t="n">
        <f aca="false">VLOOKUP(B90,[11]Sheet1!A$6:B$360,2,0)</f>
        <v>5803.06</v>
      </c>
      <c r="N90" s="271" t="n">
        <f aca="false">VLOOKUP(B90,[12]Sheet1!A$6:B$360,2,0)</f>
        <v>5794.16</v>
      </c>
      <c r="O90" s="271" t="n">
        <f aca="false">VLOOKUP(B90,[13]Sheet1!A$6:B$360,2,0)</f>
        <v>5765.8</v>
      </c>
      <c r="P90" s="271" t="n">
        <f aca="false">VLOOKUP(B90,[14]Sheet1!A$6:B$360,2,0)</f>
        <v>5713.34</v>
      </c>
      <c r="Q90" s="76" t="n">
        <f aca="false">VLOOKUP(B90,[15]Sheet1!A$6:B$360,2,0)</f>
        <v>5843.35</v>
      </c>
      <c r="R90" s="153" t="n">
        <f aca="false">VLOOKUP(B90,[16]Sheet1!A$6:B$360,2,0)</f>
        <v>5652.33</v>
      </c>
      <c r="S90" s="271" t="n">
        <f aca="false">VLOOKUP(B90,[17]Sheet1!A$6:B$360,2,0)</f>
        <v>5586.34</v>
      </c>
      <c r="T90" s="271" t="n">
        <f aca="false">VLOOKUP(B90,[18]Sheet1!A$6:B$360,2,0)</f>
        <v>5757.08</v>
      </c>
      <c r="U90" s="271" t="n">
        <f aca="false">VLOOKUP(B90,[19]Sheet1!A$6:B$360,2,0)</f>
        <v>5787.23</v>
      </c>
      <c r="V90" s="271" t="n">
        <f aca="false">VLOOKUP(B90,[20]Sheet1!A$6:B$360,2,0)</f>
        <v>6097.34</v>
      </c>
      <c r="W90" s="271" t="n">
        <f aca="false">VLOOKUP(B90,[21]Sheet1!A$6:B$360,2,0)</f>
        <v>5869.12</v>
      </c>
      <c r="X90" s="271" t="n">
        <f aca="false">VLOOKUP(B90,[22]Sheet1!A$6:B$360,2,0)</f>
        <v>5627.16</v>
      </c>
      <c r="Y90" s="273" t="n">
        <f aca="false">VLOOKUP(B90,[23]Sheet1!A$6:B$360,2,0)</f>
        <v>6160.18</v>
      </c>
      <c r="Z90" s="153" t="n">
        <f aca="false">VLOOKUP(B90,[24]Sheet1!A$6:B$360,2,0)</f>
        <v>6153.48</v>
      </c>
      <c r="AA90" s="271" t="n">
        <f aca="false">VLOOKUP(B90,[25]Sheet1!A$6:B$360,2,0)</f>
        <v>5697.25</v>
      </c>
      <c r="AB90" s="271" t="n">
        <f aca="false">VLOOKUP(B90,[26]Sheet1!A$6:B$360,2,0)</f>
        <v>5885.39</v>
      </c>
      <c r="AC90" s="271" t="n">
        <f aca="false">VLOOKUP(B90,[27]Sheet1!A$6:B$360,2,0)</f>
        <v>5281.14</v>
      </c>
      <c r="AD90" s="273" t="n">
        <f aca="false">VLOOKUP(B90,[28]Sheet1!A$6:B$360,2,0)</f>
        <v>4845.05</v>
      </c>
      <c r="AE90" s="153" t="n">
        <f aca="false">VLOOKUP(B90,[29]Sheet1!A$6:B$360,2,0)</f>
        <v>4704.85</v>
      </c>
      <c r="AF90" s="271" t="n">
        <f aca="false">VLOOKUP(B90,[30]Sheet1!A$6:B$360,2,0)</f>
        <v>4485.18</v>
      </c>
      <c r="AG90" s="271" t="n">
        <f aca="false">VLOOKUP(B90,[31]Sheet1!A$6:B$360,2,0)</f>
        <v>4495.26</v>
      </c>
      <c r="AH90" s="271" t="n">
        <f aca="false">VLOOKUP(B90,[32]Sheet1!A$6:B$360,2,0)</f>
        <v>4116.66</v>
      </c>
      <c r="AI90" s="271" t="n">
        <f aca="false">VLOOKUP(B90,[33]Sheet1!A$6:B$360,2,0)</f>
        <v>3623.23</v>
      </c>
      <c r="AJ90" s="273" t="n">
        <f aca="false">VLOOKUP(B90,[34]Sheet1!A$6:B$360,2,0)</f>
        <v>4997.82</v>
      </c>
      <c r="AK90" s="153" t="n">
        <f aca="false">VLOOKUP(B90,[35]Sheet1!A$6:B$360,2,0)</f>
        <v>4648.89</v>
      </c>
      <c r="AL90" s="271" t="n">
        <f aca="false">VLOOKUP(B90,[36]Sheet1!A$6:B$360,2,0)</f>
        <v>4328.09</v>
      </c>
      <c r="AM90" s="271" t="n">
        <f aca="false">VLOOKUP(B90,[37]Sheet1!A$6:B$360,2,0)</f>
        <v>4084.65</v>
      </c>
      <c r="AN90" s="271" t="n">
        <f aca="false">VLOOKUP(B90,[38]Sheet1!A$6:B$360,2,0)</f>
        <v>3821.61</v>
      </c>
      <c r="AO90" s="273" t="n">
        <f aca="false">VLOOKUP(B90,[39]Sheet1!A$6:B$360,2,0)</f>
        <v>3664.66</v>
      </c>
      <c r="AP90" s="153" t="n">
        <f aca="false">VLOOKUP(B90,[40]Sheet1!A$6:B$360,2,0)</f>
        <v>3469.03</v>
      </c>
      <c r="AQ90" s="271" t="n">
        <f aca="false">VLOOKUP(B90,[41]Sheet1!A$6:B$360,2,0)</f>
        <v>3530.08</v>
      </c>
      <c r="AR90" s="271" t="n">
        <f aca="false">VLOOKUP(B90,[42]Sheet1!A$6:B$360,2,0)</f>
        <v>3424.26</v>
      </c>
    </row>
    <row r="91" customFormat="false" ht="19.7" hidden="false" customHeight="false" outlineLevel="0" collapsed="false">
      <c r="A91" s="146" t="s">
        <v>438</v>
      </c>
      <c r="B91" s="270" t="s">
        <v>439</v>
      </c>
      <c r="C91" s="271" t="n">
        <f aca="false">VLOOKUP(B91,[1]Sheet1!A$1:B$1048576,2,0)</f>
        <v>122.77</v>
      </c>
      <c r="D91" s="271" t="n">
        <f aca="false">VLOOKUP(B91,[2]Sheet1!A$6:B$360,2,0)</f>
        <v>123.67</v>
      </c>
      <c r="E91" s="271" t="n">
        <f aca="false">VLOOKUP(B91,[3]Sheet1!A$6:B$360,2,0)</f>
        <v>123.57</v>
      </c>
      <c r="F91" s="271" t="n">
        <f aca="false">VLOOKUP(B91,[4]Sheet1!A$6:B$360,2,0)</f>
        <v>124.05</v>
      </c>
      <c r="G91" s="271" t="n">
        <f aca="false">VLOOKUP(B91,[5]Sheet1!A$6:B$360,2,0)</f>
        <v>123.09</v>
      </c>
      <c r="H91" s="271" t="n">
        <f aca="false">VLOOKUP(B91,[6]Sheet1!A$6:B$360,2,0)</f>
        <v>124.88</v>
      </c>
      <c r="I91" s="271" t="n">
        <f aca="false">VLOOKUP(B91,[7]Sheet1!A$6:B$360,2,0)</f>
        <v>124.88</v>
      </c>
      <c r="J91" s="271" t="n">
        <f aca="false">VLOOKUP(B91,[8]Sheet1!A$6:B$360,2,0)</f>
        <v>124.88</v>
      </c>
      <c r="K91" s="153" t="n">
        <f aca="false">VLOOKUP(B91,[9]Sheet1!A$6:B$360,2,0)</f>
        <v>125.05</v>
      </c>
      <c r="L91" s="272" t="n">
        <f aca="false">VLOOKUP(B91,[10]Sheet1!A$1:B$1048576,2,0)</f>
        <v>126.82</v>
      </c>
      <c r="M91" s="271" t="n">
        <f aca="false">VLOOKUP(B91,[11]Sheet1!A$6:B$360,2,0)</f>
        <v>126.82</v>
      </c>
      <c r="N91" s="271" t="n">
        <f aca="false">VLOOKUP(B91,[12]Sheet1!A$6:B$360,2,0)</f>
        <v>126.82</v>
      </c>
      <c r="O91" s="271" t="n">
        <f aca="false">VLOOKUP(B91,[13]Sheet1!A$6:B$360,2,0)</f>
        <v>126.75</v>
      </c>
      <c r="P91" s="271" t="n">
        <f aca="false">VLOOKUP(B91,[14]Sheet1!A$6:B$360,2,0)</f>
        <v>127.01</v>
      </c>
      <c r="Q91" s="76" t="n">
        <f aca="false">VLOOKUP(B91,[15]Sheet1!A$6:B$360,2,0)</f>
        <v>127.65</v>
      </c>
      <c r="R91" s="153" t="n">
        <f aca="false">VLOOKUP(B91,[16]Sheet1!A$6:B$360,2,0)</f>
        <v>124.61</v>
      </c>
      <c r="S91" s="271" t="n">
        <f aca="false">VLOOKUP(B91,[17]Sheet1!A$6:B$360,2,0)</f>
        <v>125.83</v>
      </c>
      <c r="T91" s="271" t="n">
        <f aca="false">VLOOKUP(B91,[18]Sheet1!A$6:B$360,2,0)</f>
        <v>124.7</v>
      </c>
      <c r="U91" s="271" t="n">
        <f aca="false">VLOOKUP(B91,[19]Sheet1!A$6:B$360,2,0)</f>
        <v>126.95</v>
      </c>
      <c r="V91" s="271" t="n">
        <f aca="false">VLOOKUP(B91,[20]Sheet1!A$6:B$360,2,0)</f>
        <v>133.13</v>
      </c>
      <c r="W91" s="271" t="n">
        <f aca="false">VLOOKUP(B91,[21]Sheet1!A$6:B$360,2,0)</f>
        <v>133.43</v>
      </c>
      <c r="X91" s="271" t="n">
        <f aca="false">VLOOKUP(B91,[22]Sheet1!A$6:B$360,2,0)</f>
        <v>133.43</v>
      </c>
      <c r="Y91" s="273" t="n">
        <f aca="false">VLOOKUP(B91,[23]Sheet1!A$6:B$360,2,0)</f>
        <v>133.43</v>
      </c>
      <c r="Z91" s="153" t="n">
        <f aca="false">VLOOKUP(B91,[24]Sheet1!A$6:B$360,2,0)</f>
        <v>133.62</v>
      </c>
      <c r="AA91" s="271" t="n">
        <f aca="false">VLOOKUP(B91,[25]Sheet1!A$6:B$360,2,0)</f>
        <v>133.72</v>
      </c>
      <c r="AB91" s="271" t="n">
        <f aca="false">VLOOKUP(B91,[26]Sheet1!A$6:B$360,2,0)</f>
        <v>133.68</v>
      </c>
      <c r="AC91" s="271" t="n">
        <f aca="false">VLOOKUP(B91,[27]Sheet1!A$6:B$360,2,0)</f>
        <v>133.71</v>
      </c>
      <c r="AD91" s="273" t="n">
        <f aca="false">VLOOKUP(B91,[28]Sheet1!A$6:B$360,2,0)</f>
        <v>133.71</v>
      </c>
      <c r="AE91" s="153" t="n">
        <f aca="false">VLOOKUP(B91,[29]Sheet1!A$6:B$360,2,0)</f>
        <v>133.01</v>
      </c>
      <c r="AF91" s="271" t="n">
        <f aca="false">VLOOKUP(B91,[30]Sheet1!A$6:B$360,2,0)</f>
        <v>133.02</v>
      </c>
      <c r="AG91" s="271" t="n">
        <f aca="false">VLOOKUP(B91,[31]Sheet1!A$6:B$360,2,0)</f>
        <v>133.02</v>
      </c>
      <c r="AH91" s="271" t="n">
        <f aca="false">VLOOKUP(B91,[32]Sheet1!A$6:B$360,2,0)</f>
        <v>132.91</v>
      </c>
      <c r="AI91" s="271" t="n">
        <f aca="false">VLOOKUP(B91,[33]Sheet1!A$6:B$360,2,0)</f>
        <v>133.11</v>
      </c>
      <c r="AJ91" s="273" t="n">
        <f aca="false">VLOOKUP(B91,[34]Sheet1!A$6:B$360,2,0)</f>
        <v>133.11</v>
      </c>
      <c r="AK91" s="153" t="n">
        <f aca="false">VLOOKUP(B91,[35]Sheet1!A$6:B$360,2,0)</f>
        <v>132.91</v>
      </c>
      <c r="AL91" s="271" t="n">
        <f aca="false">VLOOKUP(B91,[36]Sheet1!A$6:B$360,2,0)</f>
        <v>132.94</v>
      </c>
      <c r="AM91" s="271" t="n">
        <f aca="false">VLOOKUP(B91,[37]Sheet1!A$6:B$360,2,0)</f>
        <v>132.53</v>
      </c>
      <c r="AN91" s="271" t="n">
        <f aca="false">VLOOKUP(B91,[38]Sheet1!A$6:B$360,2,0)</f>
        <v>132.21</v>
      </c>
      <c r="AO91" s="273" t="n">
        <f aca="false">VLOOKUP(B91,[39]Sheet1!A$6:B$360,2,0)</f>
        <v>132.18</v>
      </c>
      <c r="AP91" s="153" t="n">
        <f aca="false">VLOOKUP(B91,[40]Sheet1!A$6:B$360,2,0)</f>
        <v>131.31</v>
      </c>
      <c r="AQ91" s="271" t="n">
        <f aca="false">VLOOKUP(B91,[41]Sheet1!A$6:B$360,2,0)</f>
        <v>129.48</v>
      </c>
      <c r="AR91" s="271" t="n">
        <f aca="false">VLOOKUP(B91,[42]Sheet1!A$6:B$360,2,0)</f>
        <v>129.74</v>
      </c>
    </row>
    <row r="92" customFormat="false" ht="19.7" hidden="false" customHeight="false" outlineLevel="0" collapsed="false">
      <c r="A92" s="146" t="s">
        <v>117</v>
      </c>
      <c r="B92" s="270" t="s">
        <v>440</v>
      </c>
      <c r="C92" s="70" t="n">
        <v>5626.02</v>
      </c>
      <c r="D92" s="70" t="n">
        <v>5186.33</v>
      </c>
      <c r="E92" s="70" t="n">
        <v>5522.3</v>
      </c>
      <c r="F92" s="70" t="n">
        <v>5588.27</v>
      </c>
      <c r="G92" s="70" t="n">
        <v>5460.48</v>
      </c>
      <c r="H92" s="70" t="n">
        <v>5070.55</v>
      </c>
      <c r="I92" s="70" t="n">
        <v>5243.77</v>
      </c>
      <c r="J92" s="70" t="n">
        <v>5087.03</v>
      </c>
      <c r="K92" s="274" t="n">
        <v>4783.35</v>
      </c>
      <c r="L92" s="70" t="n">
        <v>4335.66</v>
      </c>
      <c r="M92" s="70" t="n">
        <v>4288.05</v>
      </c>
      <c r="N92" s="70" t="n">
        <v>4273.53</v>
      </c>
      <c r="O92" s="70" t="n">
        <v>4467.44</v>
      </c>
      <c r="P92" s="70" t="n">
        <v>4450.38</v>
      </c>
      <c r="Q92" s="275" t="n">
        <v>4109.31</v>
      </c>
      <c r="R92" s="274" t="n">
        <v>3849.28</v>
      </c>
      <c r="S92" s="70" t="n">
        <v>3585.62</v>
      </c>
      <c r="T92" s="70" t="n">
        <v>3932.69</v>
      </c>
      <c r="U92" s="70" t="n">
        <v>3785.38</v>
      </c>
      <c r="V92" s="70" t="n">
        <v>4530.41</v>
      </c>
      <c r="W92" s="70" t="n">
        <v>4384.65</v>
      </c>
      <c r="X92" s="70" t="n">
        <v>4288.7</v>
      </c>
      <c r="Y92" s="275" t="n">
        <v>4225.5</v>
      </c>
      <c r="Z92" s="274" t="n">
        <v>4778.73</v>
      </c>
      <c r="AA92" s="70" t="n">
        <v>4307.54</v>
      </c>
      <c r="AB92" s="70" t="n">
        <v>4468.73</v>
      </c>
      <c r="AC92" s="70" t="n">
        <v>4297.5</v>
      </c>
      <c r="AD92" s="275" t="n">
        <v>3972.89</v>
      </c>
      <c r="AE92" s="274" t="n">
        <v>3732.04</v>
      </c>
      <c r="AF92" s="70" t="n">
        <v>3363</v>
      </c>
      <c r="AG92" s="70" t="n">
        <v>3319.47</v>
      </c>
      <c r="AH92" s="70" t="n">
        <v>3100.29</v>
      </c>
      <c r="AI92" s="70" t="n">
        <v>2584.59</v>
      </c>
      <c r="AJ92" s="275" t="n">
        <v>3023.94</v>
      </c>
      <c r="AK92" s="274" t="n">
        <v>3221.29</v>
      </c>
      <c r="AL92" s="70" t="n">
        <v>2976.74</v>
      </c>
      <c r="AM92" s="70" t="n">
        <v>3007.39</v>
      </c>
      <c r="AN92" s="70" t="n">
        <v>2941.76</v>
      </c>
      <c r="AO92" s="275" t="n">
        <v>2834.4</v>
      </c>
      <c r="AP92" s="274" t="n">
        <v>2485.74</v>
      </c>
      <c r="AQ92" s="70" t="n">
        <v>2913.98</v>
      </c>
      <c r="AR92" s="70" t="n">
        <v>2904.18</v>
      </c>
    </row>
    <row r="93" customFormat="false" ht="19.7" hidden="false" customHeight="false" outlineLevel="0" collapsed="false">
      <c r="A93" s="146" t="s">
        <v>118</v>
      </c>
      <c r="B93" s="270" t="s">
        <v>441</v>
      </c>
      <c r="C93" s="70" t="n">
        <v>41393.78</v>
      </c>
      <c r="D93" s="70" t="n">
        <v>38703.27</v>
      </c>
      <c r="E93" s="70" t="n">
        <v>40842.79</v>
      </c>
      <c r="F93" s="70" t="n">
        <v>41198.08</v>
      </c>
      <c r="G93" s="70" t="n">
        <v>39118.86</v>
      </c>
      <c r="H93" s="70" t="n">
        <v>38503.69</v>
      </c>
      <c r="I93" s="70" t="n">
        <v>39566.85</v>
      </c>
      <c r="J93" s="70" t="n">
        <v>39069.11</v>
      </c>
      <c r="K93" s="274" t="n">
        <v>37710.1</v>
      </c>
      <c r="L93" s="70" t="n">
        <v>33604.65</v>
      </c>
      <c r="M93" s="70" t="n">
        <v>33507.5</v>
      </c>
      <c r="N93" s="70" t="n">
        <v>33618.88</v>
      </c>
      <c r="O93" s="70" t="n">
        <v>34575.53</v>
      </c>
      <c r="P93" s="70" t="n">
        <v>34407.6</v>
      </c>
      <c r="Q93" s="275" t="n">
        <v>33274.15</v>
      </c>
      <c r="R93" s="274" t="n">
        <v>33220.8</v>
      </c>
      <c r="S93" s="70" t="n">
        <v>28725.51</v>
      </c>
      <c r="T93" s="70" t="n">
        <v>31104.97</v>
      </c>
      <c r="U93" s="70" t="n">
        <v>30775.43</v>
      </c>
      <c r="V93" s="70" t="n">
        <v>34678.35</v>
      </c>
      <c r="W93" s="70" t="n">
        <v>34058.75</v>
      </c>
      <c r="X93" s="70" t="n">
        <v>33223.83</v>
      </c>
      <c r="Y93" s="275" t="n">
        <v>33131.76</v>
      </c>
      <c r="Z93" s="274" t="n">
        <v>36398.08</v>
      </c>
      <c r="AA93" s="70" t="n">
        <v>33843.92</v>
      </c>
      <c r="AB93" s="70" t="n">
        <v>34869.63</v>
      </c>
      <c r="AC93" s="70" t="n">
        <v>34502.51</v>
      </c>
      <c r="AD93" s="275" t="n">
        <v>32981.55</v>
      </c>
      <c r="AE93" s="274" t="n">
        <v>30409.56</v>
      </c>
      <c r="AF93" s="70" t="n">
        <v>27781.7</v>
      </c>
      <c r="AG93" s="70" t="n">
        <v>27657.42</v>
      </c>
      <c r="AH93" s="70" t="n">
        <v>25812.88</v>
      </c>
      <c r="AI93" s="70" t="n">
        <v>21917.16</v>
      </c>
      <c r="AJ93" s="275" t="n">
        <v>26121.28</v>
      </c>
      <c r="AK93" s="274" t="n">
        <v>28462.14</v>
      </c>
      <c r="AL93" s="70" t="n">
        <v>26916.83</v>
      </c>
      <c r="AM93" s="70" t="n">
        <v>27219.52</v>
      </c>
      <c r="AN93" s="70" t="n">
        <v>26599.96</v>
      </c>
      <c r="AO93" s="275" t="n">
        <v>25928.68</v>
      </c>
      <c r="AP93" s="274" t="n">
        <v>23062.4</v>
      </c>
      <c r="AQ93" s="70" t="n">
        <v>26458.31</v>
      </c>
      <c r="AR93" s="70" t="n">
        <v>26145.99</v>
      </c>
    </row>
    <row r="94" customFormat="false" ht="19.7" hidden="false" customHeight="false" outlineLevel="0" collapsed="false">
      <c r="A94" s="146" t="s">
        <v>155</v>
      </c>
      <c r="B94" s="270" t="s">
        <v>442</v>
      </c>
      <c r="C94" s="70" t="n">
        <v>2182.49</v>
      </c>
      <c r="D94" s="70" t="n">
        <v>2039.16</v>
      </c>
      <c r="E94" s="70" t="n">
        <v>2254.48</v>
      </c>
      <c r="F94" s="70" t="n">
        <v>2239.67</v>
      </c>
      <c r="G94" s="70" t="n">
        <v>2047.69</v>
      </c>
      <c r="H94" s="70" t="n">
        <v>2002.64</v>
      </c>
      <c r="I94" s="70" t="n">
        <v>2102.84</v>
      </c>
      <c r="J94" s="70" t="n">
        <v>2013.84</v>
      </c>
      <c r="K94" s="274" t="n">
        <v>2058.34</v>
      </c>
      <c r="L94" s="70" t="n">
        <v>1755.99</v>
      </c>
      <c r="M94" s="70" t="n">
        <v>1785.1</v>
      </c>
      <c r="N94" s="70" t="n">
        <v>1761.61</v>
      </c>
      <c r="O94" s="70" t="n">
        <v>1840.84</v>
      </c>
      <c r="P94" s="70" t="n">
        <v>1888.73</v>
      </c>
      <c r="Q94" s="275" t="n">
        <v>1802.48</v>
      </c>
      <c r="R94" s="274" t="n">
        <v>1766.25</v>
      </c>
      <c r="S94" s="70" t="n">
        <v>1664.72</v>
      </c>
      <c r="T94" s="70" t="n">
        <v>1831.57</v>
      </c>
      <c r="U94" s="70" t="n">
        <v>1707.99</v>
      </c>
      <c r="V94" s="70" t="n">
        <v>2070.13</v>
      </c>
      <c r="W94" s="70" t="n">
        <v>2040.93</v>
      </c>
      <c r="X94" s="70" t="n">
        <v>1996</v>
      </c>
      <c r="Y94" s="275" t="n">
        <v>1944.09</v>
      </c>
      <c r="Z94" s="274" t="n">
        <v>2248.79</v>
      </c>
      <c r="AA94" s="70" t="n">
        <v>2204.37</v>
      </c>
      <c r="AB94" s="70" t="n">
        <v>2240.78</v>
      </c>
      <c r="AC94" s="70" t="n">
        <v>2310.55</v>
      </c>
      <c r="AD94" s="275" t="n">
        <v>2220.52</v>
      </c>
      <c r="AE94" s="274" t="n">
        <v>1979.99</v>
      </c>
      <c r="AF94" s="70" t="n">
        <v>1507.69</v>
      </c>
      <c r="AG94" s="70" t="n">
        <v>1536.78</v>
      </c>
      <c r="AH94" s="70" t="n">
        <v>1441.37</v>
      </c>
      <c r="AI94" s="70" t="n">
        <v>1153.1</v>
      </c>
      <c r="AJ94" s="275" t="n">
        <v>1478.82</v>
      </c>
      <c r="AK94" s="274" t="n">
        <v>1664.15</v>
      </c>
      <c r="AL94" s="70" t="n">
        <v>1523.37</v>
      </c>
      <c r="AM94" s="70" t="n">
        <v>1578.14</v>
      </c>
      <c r="AN94" s="70" t="n">
        <v>1566.57</v>
      </c>
      <c r="AO94" s="275" t="n">
        <v>1539.74</v>
      </c>
      <c r="AP94" s="274" t="n">
        <v>1337.92</v>
      </c>
      <c r="AQ94" s="70" t="n">
        <v>1696.57</v>
      </c>
      <c r="AR94" s="70" t="n">
        <v>1714.32</v>
      </c>
    </row>
    <row r="95" customFormat="false" ht="35.8" hidden="false" customHeight="false" outlineLevel="0" collapsed="false">
      <c r="A95" s="146" t="s">
        <v>120</v>
      </c>
      <c r="B95" s="276" t="s">
        <v>443</v>
      </c>
      <c r="C95" s="70" t="n">
        <v>8273.09</v>
      </c>
      <c r="D95" s="70" t="n">
        <v>8008.23</v>
      </c>
      <c r="E95" s="70" t="n">
        <v>8367.98</v>
      </c>
      <c r="F95" s="70" t="n">
        <v>8187.46</v>
      </c>
      <c r="G95" s="70" t="n">
        <v>8164.12</v>
      </c>
      <c r="H95" s="70" t="n">
        <v>8044.81</v>
      </c>
      <c r="I95" s="70" t="n">
        <v>7935.09</v>
      </c>
      <c r="J95" s="70" t="n">
        <v>7684.49</v>
      </c>
      <c r="K95" s="274" t="n">
        <v>7722.74</v>
      </c>
      <c r="L95" s="70" t="n">
        <v>7492.21</v>
      </c>
      <c r="M95" s="70" t="n">
        <v>7608.08</v>
      </c>
      <c r="N95" s="70" t="n">
        <v>7625.72</v>
      </c>
      <c r="O95" s="70" t="n">
        <v>7525.99</v>
      </c>
      <c r="P95" s="70" t="n">
        <v>7531.53</v>
      </c>
      <c r="Q95" s="275" t="n">
        <v>7631.74</v>
      </c>
      <c r="R95" s="274" t="n">
        <v>7512.72</v>
      </c>
      <c r="S95" s="70" t="n">
        <v>6893.81</v>
      </c>
      <c r="T95" s="70" t="n">
        <v>7385.86</v>
      </c>
      <c r="U95" s="70" t="n">
        <v>7169.28</v>
      </c>
      <c r="V95" s="70" t="n">
        <v>7515.68</v>
      </c>
      <c r="W95" s="70" t="n">
        <v>7489.46</v>
      </c>
      <c r="X95" s="70" t="n">
        <v>7207.01</v>
      </c>
      <c r="Y95" s="275" t="n">
        <v>7498.18</v>
      </c>
      <c r="Z95" s="274" t="n">
        <v>7403.01</v>
      </c>
      <c r="AA95" s="70" t="n">
        <v>7086.42</v>
      </c>
      <c r="AB95" s="70" t="n">
        <v>7068.43</v>
      </c>
      <c r="AC95" s="70" t="n">
        <v>7037.47</v>
      </c>
      <c r="AD95" s="275" t="n">
        <v>6713.63</v>
      </c>
      <c r="AE95" s="274" t="n">
        <v>6555.82</v>
      </c>
      <c r="AF95" s="70" t="n">
        <v>5866.1</v>
      </c>
      <c r="AG95" s="70" t="n">
        <v>6007.05</v>
      </c>
      <c r="AH95" s="70" t="n">
        <v>6169.74</v>
      </c>
      <c r="AI95" s="70" t="n">
        <v>5671.96</v>
      </c>
      <c r="AJ95" s="275" t="n">
        <v>6705.43</v>
      </c>
      <c r="AK95" s="274" t="n">
        <v>7587.05</v>
      </c>
      <c r="AL95" s="70" t="n">
        <v>7408.21</v>
      </c>
      <c r="AM95" s="70" t="n">
        <v>7367.46</v>
      </c>
      <c r="AN95" s="70" t="n">
        <v>7425.63</v>
      </c>
      <c r="AO95" s="275" t="n">
        <v>7279.19</v>
      </c>
      <c r="AP95" s="274" t="n">
        <v>6733.97</v>
      </c>
      <c r="AQ95" s="70" t="n">
        <v>7510.2</v>
      </c>
      <c r="AR95" s="70" t="n">
        <v>7281.57</v>
      </c>
    </row>
    <row r="96" customFormat="false" ht="19.7" hidden="false" customHeight="false" outlineLevel="0" collapsed="false">
      <c r="A96" s="146" t="s">
        <v>121</v>
      </c>
      <c r="B96" s="270" t="s">
        <v>444</v>
      </c>
      <c r="C96" s="271" t="n">
        <v>18669.4</v>
      </c>
      <c r="D96" s="271" t="n">
        <v>17399</v>
      </c>
      <c r="E96" s="271" t="n">
        <v>18508.65</v>
      </c>
      <c r="F96" s="271" t="n">
        <v>18437.3</v>
      </c>
      <c r="G96" s="271" t="n">
        <v>18235.45</v>
      </c>
      <c r="H96" s="271" t="n">
        <v>18137.65</v>
      </c>
      <c r="I96" s="271" t="n">
        <v>18492.49</v>
      </c>
      <c r="J96" s="271" t="n">
        <v>17370.45</v>
      </c>
      <c r="K96" s="153" t="n">
        <v>16701.55</v>
      </c>
      <c r="L96" s="272" t="n">
        <v>15128.11</v>
      </c>
      <c r="M96" s="271" t="n">
        <v>15386.58</v>
      </c>
      <c r="N96" s="271" t="n">
        <v>15225.87</v>
      </c>
      <c r="O96" s="271" t="n">
        <v>15654.03</v>
      </c>
      <c r="P96" s="271" t="n">
        <v>16147.9</v>
      </c>
      <c r="Q96" s="76" t="n">
        <v>15522.4</v>
      </c>
      <c r="R96" s="153" t="n">
        <v>14071.72</v>
      </c>
      <c r="S96" s="271" t="n">
        <v>12114.36</v>
      </c>
      <c r="T96" s="271" t="n">
        <v>13188.95</v>
      </c>
      <c r="U96" s="271" t="n">
        <v>12783.77</v>
      </c>
      <c r="V96" s="271" t="n">
        <v>14414.75</v>
      </c>
      <c r="W96" s="271" t="n">
        <v>14567.23</v>
      </c>
      <c r="X96" s="271" t="n">
        <v>14052.1</v>
      </c>
      <c r="Y96" s="273" t="n">
        <v>14631.36</v>
      </c>
      <c r="Z96" s="153" t="n">
        <v>15884.86</v>
      </c>
      <c r="AA96" s="271" t="n">
        <v>15260.69</v>
      </c>
      <c r="AB96" s="271" t="n">
        <v>15701.42</v>
      </c>
      <c r="AC96" s="271" t="n">
        <v>15531.04</v>
      </c>
      <c r="AD96" s="273" t="n">
        <v>15421.13</v>
      </c>
      <c r="AE96" s="153" t="n">
        <v>13718.78</v>
      </c>
      <c r="AF96" s="271" t="n">
        <v>12760.73</v>
      </c>
      <c r="AG96" s="271" t="n">
        <v>13116.25</v>
      </c>
      <c r="AH96" s="271" t="n">
        <v>12310.93</v>
      </c>
      <c r="AI96" s="271" t="n">
        <v>9935.84</v>
      </c>
      <c r="AJ96" s="273" t="n">
        <v>11944.72</v>
      </c>
      <c r="AK96" s="153" t="n">
        <v>13249.01</v>
      </c>
      <c r="AL96" s="271" t="n">
        <v>12428.08</v>
      </c>
      <c r="AM96" s="271" t="n">
        <v>12468.53</v>
      </c>
      <c r="AN96" s="271" t="n">
        <v>12398.8</v>
      </c>
      <c r="AO96" s="273" t="n">
        <v>11526.04</v>
      </c>
      <c r="AP96" s="153" t="n">
        <v>10558.96</v>
      </c>
      <c r="AQ96" s="271" t="n">
        <v>12246.73</v>
      </c>
      <c r="AR96" s="271" t="n">
        <v>12055.55</v>
      </c>
    </row>
    <row r="97" customFormat="false" ht="19.7" hidden="false" customHeight="false" outlineLevel="0" collapsed="false">
      <c r="A97" s="146" t="s">
        <v>122</v>
      </c>
      <c r="B97" s="270" t="s">
        <v>445</v>
      </c>
      <c r="C97" s="70" t="n">
        <v>7465.25</v>
      </c>
      <c r="D97" s="70" t="n">
        <v>7148.99</v>
      </c>
      <c r="E97" s="70" t="n">
        <v>7531.49</v>
      </c>
      <c r="F97" s="70" t="n">
        <v>7570.81</v>
      </c>
      <c r="G97" s="70" t="n">
        <v>7479.4</v>
      </c>
      <c r="H97" s="70" t="n">
        <v>8105.78</v>
      </c>
      <c r="I97" s="70" t="n">
        <v>8130.05</v>
      </c>
      <c r="J97" s="70" t="n">
        <v>7911.6</v>
      </c>
      <c r="K97" s="274" t="n">
        <v>7535.16</v>
      </c>
      <c r="L97" s="70" t="n">
        <v>7021.4</v>
      </c>
      <c r="M97" s="70" t="n">
        <v>7135.06</v>
      </c>
      <c r="N97" s="70" t="n">
        <v>7074.02</v>
      </c>
      <c r="O97" s="70" t="n">
        <v>7222.57</v>
      </c>
      <c r="P97" s="70" t="n">
        <v>7400.06</v>
      </c>
      <c r="Q97" s="275" t="n">
        <v>7322.39</v>
      </c>
      <c r="R97" s="274" t="n">
        <v>6573.47</v>
      </c>
      <c r="S97" s="70" t="n">
        <v>5762.34</v>
      </c>
      <c r="T97" s="70" t="n">
        <v>6245.69</v>
      </c>
      <c r="U97" s="70" t="n">
        <v>5922.86</v>
      </c>
      <c r="V97" s="70" t="n">
        <v>6659.87</v>
      </c>
      <c r="W97" s="70" t="n">
        <v>6752.43</v>
      </c>
      <c r="X97" s="70" t="n">
        <v>6521.05</v>
      </c>
      <c r="Y97" s="275" t="n">
        <v>6780.67</v>
      </c>
      <c r="Z97" s="274" t="n">
        <v>7173.23</v>
      </c>
      <c r="AA97" s="70" t="n">
        <v>6520.01</v>
      </c>
      <c r="AB97" s="70" t="n">
        <v>6676.93</v>
      </c>
      <c r="AC97" s="70" t="n">
        <v>6507.83</v>
      </c>
      <c r="AD97" s="275" t="n">
        <v>6067.23</v>
      </c>
      <c r="AE97" s="274" t="n">
        <v>5599.41</v>
      </c>
      <c r="AF97" s="70" t="n">
        <v>4803.44</v>
      </c>
      <c r="AG97" s="70" t="n">
        <v>4978.18</v>
      </c>
      <c r="AH97" s="70" t="n">
        <v>4935.99</v>
      </c>
      <c r="AI97" s="70" t="n">
        <v>4396.12</v>
      </c>
      <c r="AJ97" s="275" t="n">
        <v>5361.1</v>
      </c>
      <c r="AK97" s="274" t="n">
        <v>5982.22</v>
      </c>
      <c r="AL97" s="70" t="n">
        <v>5677.79</v>
      </c>
      <c r="AM97" s="70" t="n">
        <v>5655.46</v>
      </c>
      <c r="AN97" s="70" t="n">
        <v>5538.97</v>
      </c>
      <c r="AO97" s="275" t="n">
        <v>5350.53</v>
      </c>
      <c r="AP97" s="274" t="n">
        <v>4678.74</v>
      </c>
      <c r="AQ97" s="70" t="n">
        <v>5493.49</v>
      </c>
      <c r="AR97" s="70" t="n">
        <v>5328.12</v>
      </c>
    </row>
    <row r="98" customFormat="false" ht="19.7" hidden="false" customHeight="false" outlineLevel="0" collapsed="false">
      <c r="A98" s="146" t="s">
        <v>179</v>
      </c>
      <c r="B98" s="270" t="s">
        <v>446</v>
      </c>
      <c r="C98" s="70" t="n">
        <v>4843.99</v>
      </c>
      <c r="D98" s="70" t="n">
        <v>4571.6</v>
      </c>
      <c r="E98" s="70" t="n">
        <v>4872.94</v>
      </c>
      <c r="F98" s="70" t="n">
        <v>4891.46</v>
      </c>
      <c r="G98" s="70" t="n">
        <v>4894.02</v>
      </c>
      <c r="H98" s="70" t="n">
        <v>5008.17</v>
      </c>
      <c r="I98" s="70" t="n">
        <v>5042</v>
      </c>
      <c r="J98" s="70" t="n">
        <v>4855.36</v>
      </c>
      <c r="K98" s="274" t="n">
        <v>4514.38</v>
      </c>
      <c r="L98" s="70" t="n">
        <v>4112.57</v>
      </c>
      <c r="M98" s="70" t="n">
        <v>4174.66</v>
      </c>
      <c r="N98" s="70" t="n">
        <v>4129.18</v>
      </c>
      <c r="O98" s="70" t="n">
        <v>4223.48</v>
      </c>
      <c r="P98" s="70" t="n">
        <v>4399.09</v>
      </c>
      <c r="Q98" s="275" t="n">
        <v>4315.05</v>
      </c>
      <c r="R98" s="274" t="n">
        <v>3850.07</v>
      </c>
      <c r="S98" s="70" t="n">
        <v>3318.2</v>
      </c>
      <c r="T98" s="70" t="n">
        <v>3586.18</v>
      </c>
      <c r="U98" s="70" t="n">
        <v>3454.86</v>
      </c>
      <c r="V98" s="70" t="n">
        <v>3902.52</v>
      </c>
      <c r="W98" s="70" t="n">
        <v>3970.69</v>
      </c>
      <c r="X98" s="70" t="n">
        <v>3829.29</v>
      </c>
      <c r="Y98" s="275" t="n">
        <v>3973.41</v>
      </c>
      <c r="Z98" s="274" t="n">
        <v>4306.07</v>
      </c>
      <c r="AA98" s="70" t="n">
        <v>4048.08</v>
      </c>
      <c r="AB98" s="70" t="n">
        <v>4189.53</v>
      </c>
      <c r="AC98" s="70" t="n">
        <v>4064.3</v>
      </c>
      <c r="AD98" s="275" t="n">
        <v>3919.21</v>
      </c>
      <c r="AE98" s="274" t="n">
        <v>3571.59</v>
      </c>
      <c r="AF98" s="70" t="n">
        <v>3193.61</v>
      </c>
      <c r="AG98" s="70" t="n">
        <v>3283.69</v>
      </c>
      <c r="AH98" s="70" t="n">
        <v>3234.07</v>
      </c>
      <c r="AI98" s="70" t="n">
        <v>2786.9</v>
      </c>
      <c r="AJ98" s="275" t="n">
        <v>3363.58</v>
      </c>
      <c r="AK98" s="274" t="n">
        <v>3748.47</v>
      </c>
      <c r="AL98" s="70" t="n">
        <v>3569.45</v>
      </c>
      <c r="AM98" s="70" t="n">
        <v>3550.11</v>
      </c>
      <c r="AN98" s="70" t="n">
        <v>3473.69</v>
      </c>
      <c r="AO98" s="275" t="n">
        <v>3351.71</v>
      </c>
      <c r="AP98" s="274" t="n">
        <v>2986.53</v>
      </c>
      <c r="AQ98" s="70" t="n">
        <v>3399.2</v>
      </c>
      <c r="AR98" s="70" t="n">
        <v>3333.68</v>
      </c>
    </row>
    <row r="99" customFormat="false" ht="23.85" hidden="false" customHeight="false" outlineLevel="0" collapsed="false">
      <c r="A99" s="146" t="s">
        <v>157</v>
      </c>
      <c r="B99" s="277" t="s">
        <v>447</v>
      </c>
      <c r="C99" s="271" t="n">
        <v>36581.76</v>
      </c>
      <c r="D99" s="271" t="n">
        <v>31458.42</v>
      </c>
      <c r="E99" s="271" t="n">
        <v>39101.82</v>
      </c>
      <c r="F99" s="271" t="n">
        <v>41097.69</v>
      </c>
      <c r="G99" s="271" t="n">
        <v>39583.08</v>
      </c>
      <c r="H99" s="271" t="n">
        <v>37552.16</v>
      </c>
      <c r="I99" s="271" t="n">
        <v>40369.44</v>
      </c>
      <c r="J99" s="271" t="n">
        <v>39098.68</v>
      </c>
      <c r="K99" s="153" t="n">
        <v>33539.62</v>
      </c>
      <c r="L99" s="272" t="n">
        <v>31746.53</v>
      </c>
      <c r="M99" s="271" t="n">
        <v>31857.62</v>
      </c>
      <c r="N99" s="271" t="n">
        <v>32315.05</v>
      </c>
      <c r="O99" s="271" t="n">
        <v>33242.59</v>
      </c>
      <c r="P99" s="271" t="n">
        <v>33189.04</v>
      </c>
      <c r="Q99" s="76" t="n">
        <v>28041.48</v>
      </c>
      <c r="R99" s="153" t="n">
        <v>26093.67</v>
      </c>
      <c r="S99" s="271" t="n">
        <v>25937.21</v>
      </c>
      <c r="T99" s="271" t="n">
        <v>28614.63</v>
      </c>
      <c r="U99" s="271" t="n">
        <v>26393.04</v>
      </c>
      <c r="V99" s="271" t="n">
        <v>27821.43</v>
      </c>
      <c r="W99" s="271" t="n">
        <v>26476.5</v>
      </c>
      <c r="X99" s="271" t="n">
        <v>25970.5</v>
      </c>
      <c r="Y99" s="273" t="n">
        <v>26449.61</v>
      </c>
      <c r="Z99" s="153" t="n">
        <v>28791.71</v>
      </c>
      <c r="AA99" s="271" t="n">
        <v>29452.66</v>
      </c>
      <c r="AB99" s="271" t="n">
        <v>30447.37</v>
      </c>
      <c r="AC99" s="271" t="n">
        <v>28791.53</v>
      </c>
      <c r="AD99" s="273" t="n">
        <v>29178.8</v>
      </c>
      <c r="AE99" s="153" t="n">
        <v>27444.17</v>
      </c>
      <c r="AF99" s="271" t="n">
        <v>23185.12</v>
      </c>
      <c r="AG99" s="271" t="n">
        <v>23360.3</v>
      </c>
      <c r="AH99" s="271" t="n">
        <v>22288.14</v>
      </c>
      <c r="AI99" s="271" t="n">
        <v>18917.01</v>
      </c>
      <c r="AJ99" s="273" t="n">
        <v>21239.12</v>
      </c>
      <c r="AK99" s="153" t="n">
        <v>23656.62</v>
      </c>
      <c r="AL99" s="271" t="n">
        <v>21755.84</v>
      </c>
      <c r="AM99" s="271" t="n">
        <v>21988.29</v>
      </c>
      <c r="AN99" s="271" t="n">
        <v>21275.92</v>
      </c>
      <c r="AO99" s="273" t="n">
        <v>21003.76</v>
      </c>
      <c r="AP99" s="153" t="n">
        <v>20014.77</v>
      </c>
      <c r="AQ99" s="271" t="n">
        <v>24120.04</v>
      </c>
      <c r="AR99" s="271" t="n">
        <v>22821.32</v>
      </c>
    </row>
    <row r="100" customFormat="false" ht="19.7" hidden="false" customHeight="false" outlineLevel="0" collapsed="false">
      <c r="A100" s="278" t="s">
        <v>125</v>
      </c>
      <c r="B100" s="270" t="s">
        <v>448</v>
      </c>
      <c r="C100" s="279" t="n">
        <v>2678.99</v>
      </c>
      <c r="D100" s="279" t="n">
        <v>2830.88</v>
      </c>
      <c r="E100" s="279" t="n">
        <v>2945.37</v>
      </c>
      <c r="F100" s="279" t="n">
        <v>2951.21</v>
      </c>
      <c r="G100" s="279" t="n">
        <v>3150.66</v>
      </c>
      <c r="H100" s="279" t="n">
        <v>3439.42</v>
      </c>
      <c r="I100" s="279" t="n">
        <v>3332.53</v>
      </c>
      <c r="J100" s="279" t="n">
        <v>3142.3</v>
      </c>
      <c r="K100" s="280" t="n">
        <v>3101.99</v>
      </c>
      <c r="L100" s="281" t="n">
        <v>3174.02</v>
      </c>
      <c r="M100" s="279" t="n">
        <v>3133.26</v>
      </c>
      <c r="N100" s="279" t="n">
        <v>3051.91</v>
      </c>
      <c r="O100" s="279" t="n">
        <v>3148.32</v>
      </c>
      <c r="P100" s="279" t="n">
        <v>2797.37</v>
      </c>
      <c r="Q100" s="282" t="n">
        <v>2450.67</v>
      </c>
      <c r="R100" s="280" t="n">
        <v>2147.06</v>
      </c>
      <c r="S100" s="279" t="n">
        <v>1957.31</v>
      </c>
      <c r="T100" s="279" t="n">
        <v>2446.89</v>
      </c>
      <c r="U100" s="279" t="n">
        <v>2204.85</v>
      </c>
      <c r="V100" s="279" t="n">
        <v>2703.51</v>
      </c>
      <c r="W100" s="279" t="n">
        <v>2470.48</v>
      </c>
      <c r="X100" s="279" t="n">
        <v>2058.12</v>
      </c>
      <c r="Y100" s="283" t="n">
        <v>3084.74</v>
      </c>
      <c r="Z100" s="280" t="n">
        <v>3787.26</v>
      </c>
      <c r="AA100" s="279" t="n">
        <v>4103.52</v>
      </c>
      <c r="AB100" s="279" t="n">
        <v>4041.16</v>
      </c>
      <c r="AC100" s="279" t="n">
        <v>3841.85</v>
      </c>
      <c r="AD100" s="283" t="n">
        <v>3541.72</v>
      </c>
      <c r="AE100" s="280" t="n">
        <v>3289.02</v>
      </c>
      <c r="AF100" s="279" t="n">
        <v>2905.81</v>
      </c>
      <c r="AG100" s="279" t="n">
        <v>2951.79</v>
      </c>
      <c r="AH100" s="279" t="n">
        <v>2743.2</v>
      </c>
      <c r="AI100" s="279" t="n">
        <v>2508.81</v>
      </c>
      <c r="AJ100" s="283" t="n">
        <v>2816.7</v>
      </c>
      <c r="AK100" s="280" t="n">
        <v>3045.87</v>
      </c>
      <c r="AL100" s="279" t="n">
        <v>2747.18</v>
      </c>
      <c r="AM100" s="279" t="n">
        <v>2791.74</v>
      </c>
      <c r="AN100" s="279" t="n">
        <v>2765.85</v>
      </c>
      <c r="AO100" s="283" t="n">
        <v>2492.4</v>
      </c>
      <c r="AP100" s="280" t="n">
        <v>2358.5</v>
      </c>
      <c r="AQ100" s="279" t="n">
        <v>2475.36</v>
      </c>
      <c r="AR100" s="279" t="n">
        <v>2357.32</v>
      </c>
    </row>
    <row r="101" customFormat="false" ht="23.85" hidden="false" customHeight="false" outlineLevel="0" collapsed="false">
      <c r="A101" s="146" t="s">
        <v>126</v>
      </c>
      <c r="B101" s="277" t="s">
        <v>449</v>
      </c>
      <c r="C101" s="271" t="n">
        <v>3159.25</v>
      </c>
      <c r="D101" s="271" t="n">
        <v>3343.32</v>
      </c>
      <c r="E101" s="271" t="n">
        <v>3442.08</v>
      </c>
      <c r="F101" s="271" t="n">
        <v>3501.58</v>
      </c>
      <c r="G101" s="271" t="n">
        <v>3461.66</v>
      </c>
      <c r="H101" s="271" t="n">
        <v>3506.22</v>
      </c>
      <c r="I101" s="271" t="n">
        <v>3537.48</v>
      </c>
      <c r="J101" s="271" t="n">
        <v>3486.67</v>
      </c>
      <c r="K101" s="153" t="n">
        <v>3414.54</v>
      </c>
      <c r="L101" s="272" t="n">
        <v>3684.73</v>
      </c>
      <c r="M101" s="271" t="n">
        <v>3689.52</v>
      </c>
      <c r="N101" s="271" t="n">
        <v>3692.89</v>
      </c>
      <c r="O101" s="271" t="n">
        <v>3736.65</v>
      </c>
      <c r="P101" s="271" t="n">
        <v>3842.45</v>
      </c>
      <c r="Q101" s="76" t="n">
        <v>4050.93</v>
      </c>
      <c r="R101" s="153" t="n">
        <v>3856.7</v>
      </c>
      <c r="S101" s="271" t="n">
        <v>3804.89</v>
      </c>
      <c r="T101" s="271" t="n">
        <v>4111.11</v>
      </c>
      <c r="U101" s="271" t="n">
        <v>4485.01</v>
      </c>
      <c r="V101" s="271" t="n">
        <v>4222.6</v>
      </c>
      <c r="W101" s="271" t="n">
        <v>4573.42</v>
      </c>
      <c r="X101" s="271" t="n">
        <v>4529.32</v>
      </c>
      <c r="Y101" s="273" t="n">
        <v>4623.05</v>
      </c>
      <c r="Z101" s="153" t="n">
        <v>4921.51</v>
      </c>
      <c r="AA101" s="271" t="n">
        <v>4866.38</v>
      </c>
      <c r="AB101" s="271" t="n">
        <v>4991.66</v>
      </c>
      <c r="AC101" s="271" t="n">
        <v>5224.04</v>
      </c>
      <c r="AD101" s="273" t="n">
        <v>5048.36</v>
      </c>
      <c r="AE101" s="153" t="n">
        <v>5113.71</v>
      </c>
      <c r="AF101" s="271" t="n">
        <v>4587.4</v>
      </c>
      <c r="AG101" s="271" t="n">
        <v>4737.09</v>
      </c>
      <c r="AH101" s="271" t="n">
        <v>4163.96</v>
      </c>
      <c r="AI101" s="271" t="n">
        <v>3686.16</v>
      </c>
      <c r="AJ101" s="273" t="n">
        <v>4206.73</v>
      </c>
      <c r="AK101" s="153" t="n">
        <v>4081.63</v>
      </c>
      <c r="AL101" s="271" t="n">
        <v>3814.53</v>
      </c>
      <c r="AM101" s="271" t="n">
        <v>3972.38</v>
      </c>
      <c r="AN101" s="271" t="n">
        <v>3825.59</v>
      </c>
      <c r="AO101" s="273" t="n">
        <v>3728.4</v>
      </c>
      <c r="AP101" s="153" t="n">
        <v>3010.65</v>
      </c>
      <c r="AQ101" s="271" t="n">
        <v>3438.86</v>
      </c>
      <c r="AR101" s="271" t="n">
        <v>3236.57</v>
      </c>
    </row>
    <row r="102" customFormat="false" ht="23.85" hidden="false" customHeight="false" outlineLevel="0" collapsed="false">
      <c r="A102" s="146" t="s">
        <v>127</v>
      </c>
      <c r="B102" s="277" t="s">
        <v>450</v>
      </c>
      <c r="C102" s="271" t="n">
        <v>17741.64</v>
      </c>
      <c r="D102" s="271" t="n">
        <v>15886.18</v>
      </c>
      <c r="E102" s="271" t="n">
        <v>17969.84</v>
      </c>
      <c r="F102" s="271" t="n">
        <v>19412.22</v>
      </c>
      <c r="G102" s="271" t="n">
        <v>18634.37</v>
      </c>
      <c r="H102" s="271" t="n">
        <v>15192.43</v>
      </c>
      <c r="I102" s="271" t="n">
        <v>15935.62</v>
      </c>
      <c r="J102" s="271" t="n">
        <v>14378.29</v>
      </c>
      <c r="K102" s="153" t="n">
        <v>13370.94</v>
      </c>
      <c r="L102" s="272" t="n">
        <v>12470.82</v>
      </c>
      <c r="M102" s="271" t="n">
        <v>12059.05</v>
      </c>
      <c r="N102" s="271" t="n">
        <v>11994.39</v>
      </c>
      <c r="O102" s="271" t="n">
        <v>12312.93</v>
      </c>
      <c r="P102" s="271" t="n">
        <v>12721.72</v>
      </c>
      <c r="Q102" s="76" t="n">
        <v>12131.81</v>
      </c>
      <c r="R102" s="153" t="n">
        <v>10670.1</v>
      </c>
      <c r="S102" s="271" t="n">
        <v>10098.31</v>
      </c>
      <c r="T102" s="271" t="n">
        <v>11383.96</v>
      </c>
      <c r="U102" s="271" t="n">
        <v>11357.32</v>
      </c>
      <c r="V102" s="271" t="n">
        <v>13828.59</v>
      </c>
      <c r="W102" s="271" t="n">
        <v>13854.32</v>
      </c>
      <c r="X102" s="271" t="n">
        <v>13827.21</v>
      </c>
      <c r="Y102" s="273" t="n">
        <v>14218.34</v>
      </c>
      <c r="Z102" s="153" t="n">
        <v>14265.96</v>
      </c>
      <c r="AA102" s="271" t="n">
        <v>13369.3</v>
      </c>
      <c r="AB102" s="271" t="n">
        <v>13932.38</v>
      </c>
      <c r="AC102" s="271" t="n">
        <v>13843.29</v>
      </c>
      <c r="AD102" s="273" t="n">
        <v>13391.62</v>
      </c>
      <c r="AE102" s="153" t="n">
        <v>11905.3</v>
      </c>
      <c r="AF102" s="271" t="n">
        <v>10052.87</v>
      </c>
      <c r="AG102" s="271" t="n">
        <v>10269.42</v>
      </c>
      <c r="AH102" s="271" t="n">
        <v>8892.06</v>
      </c>
      <c r="AI102" s="271" t="n">
        <v>7606.47</v>
      </c>
      <c r="AJ102" s="273" t="n">
        <v>9005.19</v>
      </c>
      <c r="AK102" s="153" t="n">
        <v>9425.64</v>
      </c>
      <c r="AL102" s="271" t="n">
        <v>8204.51</v>
      </c>
      <c r="AM102" s="271" t="n">
        <v>8147.16</v>
      </c>
      <c r="AN102" s="271" t="n">
        <v>8008.17</v>
      </c>
      <c r="AO102" s="273" t="n">
        <v>7861.06</v>
      </c>
      <c r="AP102" s="153" t="n">
        <v>7327.14</v>
      </c>
      <c r="AQ102" s="271" t="n">
        <v>8455.17</v>
      </c>
      <c r="AR102" s="271" t="n">
        <v>8225.06</v>
      </c>
    </row>
    <row r="103" customFormat="false" ht="19.7" hidden="false" customHeight="false" outlineLevel="0" collapsed="false">
      <c r="A103" s="146" t="s">
        <v>128</v>
      </c>
      <c r="B103" s="270" t="s">
        <v>451</v>
      </c>
      <c r="C103" s="271" t="n">
        <v>865.95</v>
      </c>
      <c r="D103" s="271" t="n">
        <v>830.9</v>
      </c>
      <c r="E103" s="271" t="n">
        <v>867.27</v>
      </c>
      <c r="F103" s="271" t="n">
        <v>866.38</v>
      </c>
      <c r="G103" s="271" t="n">
        <v>847.68</v>
      </c>
      <c r="H103" s="271" t="n">
        <v>805.04</v>
      </c>
      <c r="I103" s="271" t="n">
        <v>807.47</v>
      </c>
      <c r="J103" s="271" t="n">
        <v>784.84</v>
      </c>
      <c r="K103" s="153" t="n">
        <v>742.09</v>
      </c>
      <c r="L103" s="272" t="n">
        <v>755.71</v>
      </c>
      <c r="M103" s="271" t="n">
        <v>755.73</v>
      </c>
      <c r="N103" s="271" t="n">
        <v>743.56</v>
      </c>
      <c r="O103" s="271" t="n">
        <v>753.37</v>
      </c>
      <c r="P103" s="271" t="n">
        <v>669.9</v>
      </c>
      <c r="Q103" s="76" t="n">
        <v>610.79</v>
      </c>
      <c r="R103" s="153" t="n">
        <v>602.86</v>
      </c>
      <c r="S103" s="271" t="n">
        <v>587.15</v>
      </c>
      <c r="T103" s="271" t="n">
        <v>613.73</v>
      </c>
      <c r="U103" s="271" t="n">
        <v>613.21</v>
      </c>
      <c r="V103" s="271" t="n">
        <v>626.76</v>
      </c>
      <c r="W103" s="271" t="n">
        <v>607.24</v>
      </c>
      <c r="X103" s="271" t="n">
        <v>595.89</v>
      </c>
      <c r="Y103" s="273" t="n">
        <v>607.44</v>
      </c>
      <c r="Z103" s="153" t="n">
        <v>635.68</v>
      </c>
      <c r="AA103" s="271" t="n">
        <v>585.36</v>
      </c>
      <c r="AB103" s="271" t="n">
        <v>565.83</v>
      </c>
      <c r="AC103" s="271" t="n">
        <v>557.69</v>
      </c>
      <c r="AD103" s="273" t="n">
        <v>502.28</v>
      </c>
      <c r="AE103" s="153" t="n">
        <v>447.53</v>
      </c>
      <c r="AF103" s="271" t="n">
        <v>427.55</v>
      </c>
      <c r="AG103" s="271" t="n">
        <v>424.97</v>
      </c>
      <c r="AH103" s="271" t="n">
        <v>453.26</v>
      </c>
      <c r="AI103" s="271" t="n">
        <v>419.35</v>
      </c>
      <c r="AJ103" s="273" t="n">
        <v>536.4</v>
      </c>
      <c r="AK103" s="153" t="n">
        <v>568.14</v>
      </c>
      <c r="AL103" s="271" t="n">
        <v>570.58</v>
      </c>
      <c r="AM103" s="271" t="n">
        <v>578.65</v>
      </c>
      <c r="AN103" s="271" t="n">
        <v>587.81</v>
      </c>
      <c r="AO103" s="273" t="n">
        <v>574.39</v>
      </c>
      <c r="AP103" s="153" t="n">
        <v>594.46</v>
      </c>
      <c r="AQ103" s="271" t="n">
        <v>624.39</v>
      </c>
      <c r="AR103" s="271" t="n">
        <v>630.02</v>
      </c>
    </row>
    <row r="104" customFormat="false" ht="19.7" hidden="false" customHeight="false" outlineLevel="0" collapsed="false">
      <c r="A104" s="146" t="s">
        <v>129</v>
      </c>
      <c r="B104" s="270" t="s">
        <v>452</v>
      </c>
      <c r="C104" s="271" t="n">
        <v>1110.22</v>
      </c>
      <c r="D104" s="271" t="n">
        <v>1014</v>
      </c>
      <c r="E104" s="271" t="n">
        <v>1022.5</v>
      </c>
      <c r="F104" s="271" t="n">
        <v>1010.01</v>
      </c>
      <c r="G104" s="271" t="n">
        <v>985.72</v>
      </c>
      <c r="H104" s="271" t="n">
        <v>998.23</v>
      </c>
      <c r="I104" s="271" t="n">
        <v>989.95</v>
      </c>
      <c r="J104" s="271" t="n">
        <v>924.48</v>
      </c>
      <c r="K104" s="153" t="n">
        <v>875.66</v>
      </c>
      <c r="L104" s="272" t="n">
        <v>891.05</v>
      </c>
      <c r="M104" s="271" t="n">
        <v>886.89</v>
      </c>
      <c r="N104" s="271" t="n">
        <v>881.28</v>
      </c>
      <c r="O104" s="271" t="n">
        <v>905.29</v>
      </c>
      <c r="P104" s="271" t="n">
        <v>869.4</v>
      </c>
      <c r="Q104" s="76" t="n">
        <v>891.29</v>
      </c>
      <c r="R104" s="153" t="n">
        <v>824.61</v>
      </c>
      <c r="S104" s="271" t="n">
        <v>827.37</v>
      </c>
      <c r="T104" s="271" t="n">
        <v>847.71</v>
      </c>
      <c r="U104" s="271" t="n">
        <v>839.62</v>
      </c>
      <c r="V104" s="271" t="n">
        <v>840.53</v>
      </c>
      <c r="W104" s="271" t="n">
        <v>841.05</v>
      </c>
      <c r="X104" s="271" t="n">
        <v>845.56</v>
      </c>
      <c r="Y104" s="273" t="n">
        <v>847.49</v>
      </c>
      <c r="Z104" s="153" t="n">
        <v>820.78</v>
      </c>
      <c r="AA104" s="271" t="n">
        <v>802.81</v>
      </c>
      <c r="AB104" s="271" t="n">
        <v>808.25</v>
      </c>
      <c r="AC104" s="271" t="n">
        <v>779.45</v>
      </c>
      <c r="AD104" s="273" t="n">
        <v>754.4</v>
      </c>
      <c r="AE104" s="153" t="n">
        <v>746.57</v>
      </c>
      <c r="AF104" s="271" t="n">
        <v>692.93</v>
      </c>
      <c r="AG104" s="271" t="n">
        <v>688.45</v>
      </c>
      <c r="AH104" s="271" t="n">
        <v>665.85</v>
      </c>
      <c r="AI104" s="271" t="n">
        <v>636.53</v>
      </c>
      <c r="AJ104" s="273" t="n">
        <v>788.23</v>
      </c>
      <c r="AK104" s="153" t="n">
        <v>790.33</v>
      </c>
      <c r="AL104" s="271" t="n">
        <v>751.08</v>
      </c>
      <c r="AM104" s="271" t="n">
        <v>758.47</v>
      </c>
      <c r="AN104" s="271" t="n">
        <v>731.62</v>
      </c>
      <c r="AO104" s="273" t="n">
        <v>731.6</v>
      </c>
      <c r="AP104" s="153" t="n">
        <v>761.69</v>
      </c>
      <c r="AQ104" s="271" t="n">
        <v>727.08</v>
      </c>
      <c r="AR104" s="271" t="n">
        <v>723.44</v>
      </c>
    </row>
    <row r="105" customFormat="false" ht="19.7" hidden="false" customHeight="false" outlineLevel="0" collapsed="false">
      <c r="A105" s="146" t="s">
        <v>130</v>
      </c>
      <c r="B105" s="270" t="s">
        <v>453</v>
      </c>
      <c r="C105" s="271" t="n">
        <v>3441.14</v>
      </c>
      <c r="D105" s="271" t="n">
        <v>3260.81</v>
      </c>
      <c r="E105" s="271" t="n">
        <v>3606.78</v>
      </c>
      <c r="F105" s="271" t="n">
        <v>3523.65</v>
      </c>
      <c r="G105" s="271" t="n">
        <v>3401.83</v>
      </c>
      <c r="H105" s="271" t="n">
        <v>3531.11</v>
      </c>
      <c r="I105" s="271" t="n">
        <v>3420.41</v>
      </c>
      <c r="J105" s="271" t="n">
        <v>3447.21</v>
      </c>
      <c r="K105" s="153" t="n">
        <v>3101.87</v>
      </c>
      <c r="L105" s="272" t="n">
        <v>2707.03</v>
      </c>
      <c r="M105" s="271" t="n">
        <v>2933.29</v>
      </c>
      <c r="N105" s="271" t="n">
        <v>2979.86</v>
      </c>
      <c r="O105" s="271" t="n">
        <v>2965.43</v>
      </c>
      <c r="P105" s="271" t="n">
        <v>3098.66</v>
      </c>
      <c r="Q105" s="76" t="n">
        <v>2548.89</v>
      </c>
      <c r="R105" s="153" t="n">
        <v>2228.57</v>
      </c>
      <c r="S105" s="271" t="n">
        <v>1904.45</v>
      </c>
      <c r="T105" s="271" t="n">
        <v>2023.59</v>
      </c>
      <c r="U105" s="271" t="n">
        <v>1942.64</v>
      </c>
      <c r="V105" s="271" t="n">
        <v>2127.94</v>
      </c>
      <c r="W105" s="271" t="n">
        <v>2257.96</v>
      </c>
      <c r="X105" s="271" t="n">
        <v>2165.12</v>
      </c>
      <c r="Y105" s="273" t="n">
        <v>2318.83</v>
      </c>
      <c r="Z105" s="153" t="n">
        <v>2142.11</v>
      </c>
      <c r="AA105" s="271" t="n">
        <v>2095.08</v>
      </c>
      <c r="AB105" s="271" t="n">
        <v>2179.06</v>
      </c>
      <c r="AC105" s="271" t="n">
        <v>2140.14</v>
      </c>
      <c r="AD105" s="273" t="n">
        <v>2077.11</v>
      </c>
      <c r="AE105" s="153" t="n">
        <v>1936.38</v>
      </c>
      <c r="AF105" s="271" t="n">
        <v>1493.22</v>
      </c>
      <c r="AG105" s="271" t="n">
        <v>1577.32</v>
      </c>
      <c r="AH105" s="271" t="n">
        <v>1542.12</v>
      </c>
      <c r="AI105" s="271" t="n">
        <v>1355.92</v>
      </c>
      <c r="AJ105" s="273" t="n">
        <v>1853.6</v>
      </c>
      <c r="AK105" s="153" t="n">
        <v>2300.57</v>
      </c>
      <c r="AL105" s="271" t="n">
        <v>2157.03</v>
      </c>
      <c r="AM105" s="271" t="n">
        <v>2117.11</v>
      </c>
      <c r="AN105" s="271" t="n">
        <v>2224.5</v>
      </c>
      <c r="AO105" s="273" t="n">
        <v>1867.95</v>
      </c>
      <c r="AP105" s="153" t="n">
        <v>1588.44</v>
      </c>
      <c r="AQ105" s="271" t="n">
        <v>1822.33</v>
      </c>
      <c r="AR105" s="271" t="n">
        <v>1786.86</v>
      </c>
    </row>
    <row r="106" customFormat="false" ht="19.7" hidden="false" customHeight="false" outlineLevel="0" collapsed="false">
      <c r="A106" s="146" t="s">
        <v>131</v>
      </c>
      <c r="B106" s="270" t="s">
        <v>454</v>
      </c>
      <c r="C106" s="271" t="n">
        <v>1824.86</v>
      </c>
      <c r="D106" s="271" t="n">
        <v>1817.31</v>
      </c>
      <c r="E106" s="271" t="n">
        <v>1854.02</v>
      </c>
      <c r="F106" s="271" t="n">
        <v>1753.23</v>
      </c>
      <c r="G106" s="271" t="n">
        <v>1696.44</v>
      </c>
      <c r="H106" s="271" t="n">
        <v>1690.84</v>
      </c>
      <c r="I106" s="271" t="n">
        <v>1713.17</v>
      </c>
      <c r="J106" s="271" t="n">
        <v>1648.27</v>
      </c>
      <c r="K106" s="153" t="n">
        <v>1527.52</v>
      </c>
      <c r="L106" s="272" t="n">
        <v>1428.26</v>
      </c>
      <c r="M106" s="271" t="n">
        <v>1476.48</v>
      </c>
      <c r="N106" s="271" t="n">
        <v>1490.39</v>
      </c>
      <c r="O106" s="271" t="n">
        <v>1489.42</v>
      </c>
      <c r="P106" s="271" t="n">
        <v>1371.59</v>
      </c>
      <c r="Q106" s="76" t="n">
        <v>1274.87</v>
      </c>
      <c r="R106" s="153" t="n">
        <v>1156.15</v>
      </c>
      <c r="S106" s="271" t="n">
        <v>1127.67</v>
      </c>
      <c r="T106" s="271" t="n">
        <v>1187.2</v>
      </c>
      <c r="U106" s="271" t="n">
        <v>1192.25</v>
      </c>
      <c r="V106" s="271" t="n">
        <v>1259.81</v>
      </c>
      <c r="W106" s="271" t="n">
        <v>1231.75</v>
      </c>
      <c r="X106" s="271" t="n">
        <v>1201.42</v>
      </c>
      <c r="Y106" s="273" t="n">
        <v>1284.57</v>
      </c>
      <c r="Z106" s="153" t="n">
        <v>1262.31</v>
      </c>
      <c r="AA106" s="271" t="n">
        <v>1228.54</v>
      </c>
      <c r="AB106" s="271" t="n">
        <v>1202.59</v>
      </c>
      <c r="AC106" s="271" t="n">
        <v>1218.32</v>
      </c>
      <c r="AD106" s="273" t="n">
        <v>1177.04</v>
      </c>
      <c r="AE106" s="153" t="n">
        <v>1087.81</v>
      </c>
      <c r="AF106" s="271" t="n">
        <v>1001.75</v>
      </c>
      <c r="AG106" s="271" t="n">
        <v>997.85</v>
      </c>
      <c r="AH106" s="271" t="n">
        <v>1012.72</v>
      </c>
      <c r="AI106" s="271" t="n">
        <v>917.27</v>
      </c>
      <c r="AJ106" s="273" t="n">
        <v>1109.39</v>
      </c>
      <c r="AK106" s="153" t="n">
        <v>1199.89</v>
      </c>
      <c r="AL106" s="271" t="n">
        <v>1166.18</v>
      </c>
      <c r="AM106" s="271" t="n">
        <v>1097.53</v>
      </c>
      <c r="AN106" s="271" t="n">
        <v>1102.67</v>
      </c>
      <c r="AO106" s="273" t="n">
        <v>1042.95</v>
      </c>
      <c r="AP106" s="153" t="n">
        <v>1017.07</v>
      </c>
      <c r="AQ106" s="271" t="n">
        <v>1040.88</v>
      </c>
      <c r="AR106" s="271" t="n">
        <v>1051.54</v>
      </c>
    </row>
    <row r="107" customFormat="false" ht="12.8" hidden="false" customHeight="false" outlineLevel="0" collapsed="false">
      <c r="B107" s="18" t="s">
        <v>455</v>
      </c>
    </row>
    <row r="108" customFormat="false" ht="19.7" hidden="false" customHeight="false" outlineLevel="0" collapsed="false">
      <c r="A108" s="23" t="s">
        <v>81</v>
      </c>
      <c r="B108" s="270" t="s">
        <v>456</v>
      </c>
      <c r="C108" s="54" t="n">
        <v>2314.06418594999</v>
      </c>
      <c r="D108" s="48" t="n">
        <v>2250.01403515989</v>
      </c>
      <c r="E108" s="55" t="n">
        <v>2308.87009429186</v>
      </c>
      <c r="F108" s="56" t="n">
        <v>2221.03245277769</v>
      </c>
      <c r="G108" s="55" t="n">
        <v>2116.32344991411</v>
      </c>
      <c r="H108" s="56" t="n">
        <v>1952.67751507467</v>
      </c>
      <c r="I108" s="55" t="n">
        <v>1969.35736658864</v>
      </c>
      <c r="J108" s="50" t="n">
        <v>1853.48281534903</v>
      </c>
      <c r="K108" s="51" t="n">
        <v>1642.13923034423</v>
      </c>
      <c r="L108" s="48" t="n">
        <v>1638.23305230433</v>
      </c>
      <c r="M108" s="55" t="n">
        <v>1594.73098952601</v>
      </c>
      <c r="N108" s="56" t="n">
        <v>1594.17394108074</v>
      </c>
      <c r="O108" s="56" t="n">
        <v>1588.26575558469</v>
      </c>
      <c r="P108" s="55" t="n">
        <v>1571.72255465698</v>
      </c>
      <c r="Q108" s="52" t="n">
        <v>1572.64250422039</v>
      </c>
      <c r="R108" s="51" t="n">
        <v>1489.65824689988</v>
      </c>
      <c r="S108" s="55" t="n">
        <v>1425.47429888632</v>
      </c>
      <c r="T108" s="56" t="n">
        <v>1502.74253104396</v>
      </c>
      <c r="U108" s="55" t="n">
        <v>1527.0059265432</v>
      </c>
      <c r="V108" s="55" t="n">
        <v>1622.06970865643</v>
      </c>
      <c r="W108" s="56" t="n">
        <v>1577.32031210834</v>
      </c>
      <c r="X108" s="56" t="n">
        <v>1505.87585302734</v>
      </c>
      <c r="Y108" s="50" t="n">
        <v>1622.10899099261</v>
      </c>
      <c r="Z108" s="51" t="n">
        <v>1537.72825488232</v>
      </c>
      <c r="AA108" s="55" t="n">
        <v>1429.74716735523</v>
      </c>
      <c r="AB108" s="56" t="n">
        <v>1489.40185088379</v>
      </c>
      <c r="AC108" s="55" t="n">
        <v>1321.09879600648</v>
      </c>
      <c r="AD108" s="52" t="n">
        <v>1240.79435920704</v>
      </c>
      <c r="AE108" s="51" t="n">
        <v>1172.76677330007</v>
      </c>
      <c r="AF108" s="55" t="n">
        <v>1157.48825490115</v>
      </c>
      <c r="AG108" s="56" t="n">
        <v>1177.56827191917</v>
      </c>
      <c r="AH108" s="55" t="n">
        <v>1103.49461040936</v>
      </c>
      <c r="AI108" s="55" t="n">
        <v>944.657850094641</v>
      </c>
      <c r="AJ108" s="50" t="n">
        <v>1191.57504625014</v>
      </c>
      <c r="AK108" s="51" t="n">
        <v>1144.25447635615</v>
      </c>
      <c r="AL108" s="55" t="n">
        <v>1096.5901077552</v>
      </c>
      <c r="AM108" s="55" t="n">
        <v>1068.43234745447</v>
      </c>
      <c r="AN108" s="55" t="n">
        <v>1001.9714396309</v>
      </c>
      <c r="AO108" s="52" t="n">
        <v>1031.37167369587</v>
      </c>
      <c r="AP108" s="51" t="n">
        <v>1023.46907751266</v>
      </c>
      <c r="AQ108" s="57" t="n">
        <v>1007.49769856477</v>
      </c>
      <c r="AR108" s="58" t="n">
        <v>1000</v>
      </c>
    </row>
    <row r="109" customFormat="false" ht="19.7" hidden="false" customHeight="false" outlineLevel="0" collapsed="false">
      <c r="A109" s="23" t="s">
        <v>457</v>
      </c>
      <c r="B109" s="270" t="s">
        <v>83</v>
      </c>
      <c r="C109" s="54" t="n">
        <v>2967.16438808461</v>
      </c>
      <c r="D109" s="48" t="n">
        <v>2849.184743394</v>
      </c>
      <c r="E109" s="55" t="n">
        <v>2934.13606352296</v>
      </c>
      <c r="F109" s="56" t="n">
        <v>2786.422056701</v>
      </c>
      <c r="G109" s="55" t="n">
        <v>2599.17112228757</v>
      </c>
      <c r="H109" s="56" t="n">
        <v>2295.74397368338</v>
      </c>
      <c r="I109" s="55" t="n">
        <v>2307.01336719354</v>
      </c>
      <c r="J109" s="50" t="n">
        <v>2075.13800450789</v>
      </c>
      <c r="K109" s="51" t="n">
        <v>1810.70093415713</v>
      </c>
      <c r="L109" s="48" t="n">
        <v>1774.60490134432</v>
      </c>
      <c r="M109" s="55" t="n">
        <v>1667.04031009066</v>
      </c>
      <c r="N109" s="56" t="n">
        <v>1668.32494628544</v>
      </c>
      <c r="O109" s="56" t="n">
        <v>1649.44676758636</v>
      </c>
      <c r="P109" s="55" t="n">
        <v>1557.88154275155</v>
      </c>
      <c r="Q109" s="52" t="n">
        <v>1638.62094795298</v>
      </c>
      <c r="R109" s="51" t="n">
        <v>1566.58723276744</v>
      </c>
      <c r="S109" s="55" t="n">
        <v>1521.00706485767</v>
      </c>
      <c r="T109" s="56" t="n">
        <v>1602.32224251837</v>
      </c>
      <c r="U109" s="55" t="n">
        <v>1594.19653665369</v>
      </c>
      <c r="V109" s="55" t="n">
        <v>1766.51992600362</v>
      </c>
      <c r="W109" s="56" t="n">
        <v>1691.21528138643</v>
      </c>
      <c r="X109" s="56" t="n">
        <v>1589.66528825362</v>
      </c>
      <c r="Y109" s="50" t="n">
        <v>1758.21433547699</v>
      </c>
      <c r="Z109" s="51" t="n">
        <v>1681.37343506626</v>
      </c>
      <c r="AA109" s="55" t="n">
        <v>1507.31959673565</v>
      </c>
      <c r="AB109" s="56" t="n">
        <v>1562.74740298156</v>
      </c>
      <c r="AC109" s="55" t="n">
        <v>1308.00740431248</v>
      </c>
      <c r="AD109" s="52" t="n">
        <v>1208.11163120715</v>
      </c>
      <c r="AE109" s="51" t="n">
        <v>1151.37942220665</v>
      </c>
      <c r="AF109" s="55" t="n">
        <v>1112.65389212724</v>
      </c>
      <c r="AG109" s="56" t="n">
        <v>1141.13414569332</v>
      </c>
      <c r="AH109" s="55" t="n">
        <v>999.074804279807</v>
      </c>
      <c r="AI109" s="55" t="n">
        <v>893.588508237692</v>
      </c>
      <c r="AJ109" s="50" t="n">
        <v>1228.45764007316</v>
      </c>
      <c r="AK109" s="51" t="n">
        <v>1125.95373914014</v>
      </c>
      <c r="AL109" s="55" t="n">
        <v>1090.78682444493</v>
      </c>
      <c r="AM109" s="55" t="n">
        <v>1088.53608504996</v>
      </c>
      <c r="AN109" s="55" t="n">
        <v>967.355085415258</v>
      </c>
      <c r="AO109" s="52" t="n">
        <v>1055.31509503673</v>
      </c>
      <c r="AP109" s="51" t="n">
        <v>1043.44597520819</v>
      </c>
      <c r="AQ109" s="57" t="n">
        <v>1018.39909504945</v>
      </c>
      <c r="AR109" s="58" t="n">
        <v>1000</v>
      </c>
    </row>
    <row r="110" customFormat="false" ht="18.35" hidden="false" customHeight="false" outlineLevel="0" collapsed="false">
      <c r="A110" s="23" t="s">
        <v>82</v>
      </c>
      <c r="B110" s="270" t="s">
        <v>458</v>
      </c>
      <c r="C110" s="54" t="n">
        <v>2216.23792496176</v>
      </c>
      <c r="D110" s="48" t="n">
        <v>2158.74343574608</v>
      </c>
      <c r="E110" s="55" t="n">
        <v>2211.74420443663</v>
      </c>
      <c r="F110" s="56" t="n">
        <v>2132.12556367939</v>
      </c>
      <c r="G110" s="55" t="n">
        <v>2033.66179080457</v>
      </c>
      <c r="H110" s="56" t="n">
        <v>1878.1380748435</v>
      </c>
      <c r="I110" s="55" t="n">
        <v>1891.44356916948</v>
      </c>
      <c r="J110" s="50" t="n">
        <v>1786.21791768807</v>
      </c>
      <c r="K110" s="51" t="n">
        <v>1588.47620755325</v>
      </c>
      <c r="L110" s="48" t="n">
        <v>1584.8539228282</v>
      </c>
      <c r="M110" s="55" t="n">
        <v>1544.32390293204</v>
      </c>
      <c r="N110" s="56" t="n">
        <v>1542.97401297869</v>
      </c>
      <c r="O110" s="56" t="n">
        <v>1537.04718235714</v>
      </c>
      <c r="P110" s="55" t="n">
        <v>1524.39204149411</v>
      </c>
      <c r="Q110" s="52" t="n">
        <v>1526.01162900482</v>
      </c>
      <c r="R110" s="51" t="n">
        <v>1448.60245707112</v>
      </c>
      <c r="S110" s="55" t="n">
        <v>1386.70086748513</v>
      </c>
      <c r="T110" s="56" t="n">
        <v>1456.55058843393</v>
      </c>
      <c r="U110" s="55" t="n">
        <v>1479.81565977561</v>
      </c>
      <c r="V110" s="55" t="n">
        <v>1562.72607290149</v>
      </c>
      <c r="W110" s="56" t="n">
        <v>1523.05543404351</v>
      </c>
      <c r="X110" s="56" t="n">
        <v>1456.68323299085</v>
      </c>
      <c r="Y110" s="50" t="n">
        <v>1562.65497412156</v>
      </c>
      <c r="Z110" s="51" t="n">
        <v>1485.27350460214</v>
      </c>
      <c r="AA110" s="55" t="n">
        <v>1387.5089758925</v>
      </c>
      <c r="AB110" s="56" t="n">
        <v>1442.5659041325</v>
      </c>
      <c r="AC110" s="55" t="n">
        <v>1291.75009395494</v>
      </c>
      <c r="AD110" s="52" t="n">
        <v>1214.98292863787</v>
      </c>
      <c r="AE110" s="51" t="n">
        <v>1147.91445477433</v>
      </c>
      <c r="AF110" s="55" t="n">
        <v>1137.09762565566</v>
      </c>
      <c r="AG110" s="56" t="n">
        <v>1156.02576880072</v>
      </c>
      <c r="AH110" s="55" t="n">
        <v>1086.07970695682</v>
      </c>
      <c r="AI110" s="55" t="n">
        <v>942.308767803262</v>
      </c>
      <c r="AJ110" s="50" t="n">
        <v>1174.77816910207</v>
      </c>
      <c r="AK110" s="51" t="n">
        <v>1130.45830835129</v>
      </c>
      <c r="AL110" s="55" t="n">
        <v>1086.53707918444</v>
      </c>
      <c r="AM110" s="55" t="n">
        <v>1060.30138968193</v>
      </c>
      <c r="AN110" s="55" t="n">
        <v>1001.13234218746</v>
      </c>
      <c r="AO110" s="52" t="n">
        <v>1032.72512704403</v>
      </c>
      <c r="AP110" s="51" t="n">
        <v>1023.37286583693</v>
      </c>
      <c r="AQ110" s="61" t="n">
        <v>1007.5505004377</v>
      </c>
      <c r="AR110" s="58" t="n">
        <v>1000</v>
      </c>
    </row>
    <row r="111" customFormat="false" ht="19.7" hidden="false" customHeight="false" outlineLevel="0" collapsed="false">
      <c r="A111" s="23" t="s">
        <v>459</v>
      </c>
      <c r="B111" s="270" t="s">
        <v>162</v>
      </c>
      <c r="C111" s="54" t="n">
        <v>1541.50383701283</v>
      </c>
      <c r="D111" s="48" t="n">
        <v>1590.23985586307</v>
      </c>
      <c r="E111" s="55" t="n">
        <v>1590.25852269658</v>
      </c>
      <c r="F111" s="56" t="n">
        <v>1604.0945877875</v>
      </c>
      <c r="G111" s="55" t="n">
        <v>1613.55935228735</v>
      </c>
      <c r="H111" s="56" t="n">
        <v>1315.6761014154</v>
      </c>
      <c r="I111" s="55" t="n">
        <v>1322.71395576813</v>
      </c>
      <c r="J111" s="50" t="n">
        <v>1285.17576991368</v>
      </c>
      <c r="K111" s="51" t="n">
        <v>1291.33189068898</v>
      </c>
      <c r="L111" s="48" t="n">
        <v>1207.14193033547</v>
      </c>
      <c r="M111" s="55" t="n">
        <v>1210.87878571249</v>
      </c>
      <c r="N111" s="56" t="n">
        <v>1211.10271061625</v>
      </c>
      <c r="O111" s="56" t="n">
        <v>1213.14122036019</v>
      </c>
      <c r="P111" s="55" t="n">
        <v>1253.03948374645</v>
      </c>
      <c r="Q111" s="52" t="n">
        <v>1288.34592956504</v>
      </c>
      <c r="R111" s="51" t="n">
        <v>1238.52749779118</v>
      </c>
      <c r="S111" s="55" t="n">
        <v>1220.14588539237</v>
      </c>
      <c r="T111" s="56" t="n">
        <v>1201.25690599736</v>
      </c>
      <c r="U111" s="55" t="n">
        <v>1568.06374434358</v>
      </c>
      <c r="V111" s="55" t="n">
        <v>1895.53188445621</v>
      </c>
      <c r="W111" s="56" t="n">
        <v>1854.97914589338</v>
      </c>
      <c r="X111" s="56" t="n">
        <v>1860.65556872531</v>
      </c>
      <c r="Y111" s="50" t="n">
        <v>1846.69162091404</v>
      </c>
      <c r="Z111" s="51" t="n">
        <v>1575.39779170744</v>
      </c>
      <c r="AA111" s="55" t="n">
        <v>1590.09321478376</v>
      </c>
      <c r="AB111" s="56" t="n">
        <v>1498.02053658996</v>
      </c>
      <c r="AC111" s="55" t="n">
        <v>1275.99826797498</v>
      </c>
      <c r="AD111" s="52" t="n">
        <v>1304.1922827886</v>
      </c>
      <c r="AE111" s="51" t="n">
        <v>1140.61180981782</v>
      </c>
      <c r="AF111" s="55" t="n">
        <v>1087.64308452214</v>
      </c>
      <c r="AG111" s="56" t="n">
        <v>1094.71399173852</v>
      </c>
      <c r="AH111" s="55" t="n">
        <v>1078.72071442258</v>
      </c>
      <c r="AI111" s="55" t="n">
        <v>1012.68992213886</v>
      </c>
      <c r="AJ111" s="50" t="n">
        <v>1018.1650665603</v>
      </c>
      <c r="AK111" s="51" t="n">
        <v>1061.50549576553</v>
      </c>
      <c r="AL111" s="55" t="n">
        <v>958.504722226702</v>
      </c>
      <c r="AM111" s="55" t="n">
        <v>965.867422312371</v>
      </c>
      <c r="AN111" s="55" t="n">
        <v>964.450747154384</v>
      </c>
      <c r="AO111" s="52" t="n">
        <v>992.882484477134</v>
      </c>
      <c r="AP111" s="51" t="n">
        <v>968.504172137741</v>
      </c>
      <c r="AQ111" s="57" t="n">
        <v>991.97300854958</v>
      </c>
      <c r="AR111" s="58" t="n">
        <v>1000</v>
      </c>
    </row>
    <row r="112" customFormat="false" ht="19.7" hidden="false" customHeight="false" outlineLevel="0" collapsed="false">
      <c r="A112" s="23" t="s">
        <v>460</v>
      </c>
      <c r="B112" s="270" t="s">
        <v>116</v>
      </c>
      <c r="C112" s="54" t="n">
        <v>3261.83408666006</v>
      </c>
      <c r="D112" s="48" t="n">
        <v>3227.14660670358</v>
      </c>
      <c r="E112" s="55" t="n">
        <v>3277.23791944296</v>
      </c>
      <c r="F112" s="56" t="n">
        <v>3239.40730755991</v>
      </c>
      <c r="G112" s="55" t="n">
        <v>3014.03999044197</v>
      </c>
      <c r="H112" s="56" t="n">
        <v>2945.52526915718</v>
      </c>
      <c r="I112" s="55" t="n">
        <v>3012.59946858045</v>
      </c>
      <c r="J112" s="50" t="n">
        <v>3005.85816628537</v>
      </c>
      <c r="K112" s="51" t="n">
        <v>2653.99511190498</v>
      </c>
      <c r="L112" s="48" t="n">
        <v>2621.16082050988</v>
      </c>
      <c r="M112" s="55" t="n">
        <v>2574.74613588176</v>
      </c>
      <c r="N112" s="56" t="n">
        <v>2561.95181969685</v>
      </c>
      <c r="O112" s="56" t="n">
        <v>2567.71841734088</v>
      </c>
      <c r="P112" s="55" t="n">
        <v>2629.06342919543</v>
      </c>
      <c r="Q112" s="52" t="n">
        <v>2631.11374483153</v>
      </c>
      <c r="R112" s="51" t="n">
        <v>2490.53645596309</v>
      </c>
      <c r="S112" s="55" t="n">
        <v>2299.1265792002</v>
      </c>
      <c r="T112" s="56" t="n">
        <v>2437.14372586559</v>
      </c>
      <c r="U112" s="55" t="n">
        <v>2426.15524098804</v>
      </c>
      <c r="V112" s="55" t="n">
        <v>2639.45350020853</v>
      </c>
      <c r="W112" s="56" t="n">
        <v>2533.78107191533</v>
      </c>
      <c r="X112" s="56" t="n">
        <v>2350.58875847638</v>
      </c>
      <c r="Y112" s="50" t="n">
        <v>2649.93929530379</v>
      </c>
      <c r="Z112" s="51" t="n">
        <v>2675.76581050053</v>
      </c>
      <c r="AA112" s="55" t="n">
        <v>2432.90857851927</v>
      </c>
      <c r="AB112" s="56" t="n">
        <v>2587.82091929685</v>
      </c>
      <c r="AC112" s="55" t="n">
        <v>2159.83665969291</v>
      </c>
      <c r="AD112" s="52" t="n">
        <v>1966.13801286875</v>
      </c>
      <c r="AE112" s="51" t="n">
        <v>1803.54363574996</v>
      </c>
      <c r="AF112" s="55" t="n">
        <v>1708.07720253894</v>
      </c>
      <c r="AG112" s="56" t="n">
        <v>1771.13595226588</v>
      </c>
      <c r="AH112" s="55" t="n">
        <v>1617.30052070201</v>
      </c>
      <c r="AI112" s="55" t="n">
        <v>1238.06632726865</v>
      </c>
      <c r="AJ112" s="50" t="n">
        <v>1775.09311725671</v>
      </c>
      <c r="AK112" s="51" t="n">
        <v>1606.7889235658</v>
      </c>
      <c r="AL112" s="55" t="n">
        <v>1498.83587723517</v>
      </c>
      <c r="AM112" s="55" t="n">
        <v>1307.94718552635</v>
      </c>
      <c r="AN112" s="55" t="n">
        <v>1148.45507637991</v>
      </c>
      <c r="AO112" s="52" t="n">
        <v>1057.13951054373</v>
      </c>
      <c r="AP112" s="51" t="n">
        <v>1021.7719939654</v>
      </c>
      <c r="AQ112" s="57" t="n">
        <v>1043.08020190526</v>
      </c>
      <c r="AR112" s="58" t="n">
        <v>1000</v>
      </c>
    </row>
    <row r="113" customFormat="false" ht="19.7" hidden="false" customHeight="false" outlineLevel="0" collapsed="false">
      <c r="A113" s="23" t="s">
        <v>461</v>
      </c>
      <c r="B113" s="270" t="s">
        <v>86</v>
      </c>
      <c r="C113" s="54" t="n">
        <v>1416.77812908266</v>
      </c>
      <c r="D113" s="48" t="n">
        <v>1423.43975672933</v>
      </c>
      <c r="E113" s="55" t="n">
        <v>1447.82349858753</v>
      </c>
      <c r="F113" s="56" t="n">
        <v>1454.33769537092</v>
      </c>
      <c r="G113" s="55" t="n">
        <v>1476.51319471387</v>
      </c>
      <c r="H113" s="56" t="n">
        <v>1496.75471760638</v>
      </c>
      <c r="I113" s="55" t="n">
        <v>1509.05164075589</v>
      </c>
      <c r="J113" s="50" t="n">
        <v>1515.32402501759</v>
      </c>
      <c r="K113" s="51" t="n">
        <v>1371.09995242497</v>
      </c>
      <c r="L113" s="48" t="n">
        <v>1479.71443068263</v>
      </c>
      <c r="M113" s="55" t="n">
        <v>1440.61538307566</v>
      </c>
      <c r="N113" s="56" t="n">
        <v>1440.52810883151</v>
      </c>
      <c r="O113" s="56" t="n">
        <v>1440.14010975847</v>
      </c>
      <c r="P113" s="55" t="n">
        <v>1450.54356296467</v>
      </c>
      <c r="Q113" s="52" t="n">
        <v>1374.44602131255</v>
      </c>
      <c r="R113" s="51" t="n">
        <v>1293.46867246783</v>
      </c>
      <c r="S113" s="55" t="n">
        <v>1234.3753490151</v>
      </c>
      <c r="T113" s="56" t="n">
        <v>1303.27280949414</v>
      </c>
      <c r="U113" s="55" t="n">
        <v>1312.96454949235</v>
      </c>
      <c r="V113" s="55" t="n">
        <v>1261.59184698293</v>
      </c>
      <c r="W113" s="56" t="n">
        <v>1261.12472335478</v>
      </c>
      <c r="X113" s="56" t="n">
        <v>1226.47603845926</v>
      </c>
      <c r="Y113" s="50" t="n">
        <v>1275.88445075253</v>
      </c>
      <c r="Z113" s="51" t="n">
        <v>1193.78975802594</v>
      </c>
      <c r="AA113" s="55" t="n">
        <v>1160.68257446748</v>
      </c>
      <c r="AB113" s="56" t="n">
        <v>1228.9721608087</v>
      </c>
      <c r="AC113" s="55" t="n">
        <v>1192.44587674258</v>
      </c>
      <c r="AD113" s="52" t="n">
        <v>1129.27794632521</v>
      </c>
      <c r="AE113" s="51" t="n">
        <v>1083.94492976813</v>
      </c>
      <c r="AF113" s="55" t="n">
        <v>1103.64221079996</v>
      </c>
      <c r="AG113" s="56" t="n">
        <v>1110.4076570153</v>
      </c>
      <c r="AH113" s="55" t="n">
        <v>1083.62135316918</v>
      </c>
      <c r="AI113" s="55" t="n">
        <v>929.293103874896</v>
      </c>
      <c r="AJ113" s="50" t="n">
        <v>1082.87806444741</v>
      </c>
      <c r="AK113" s="51" t="n">
        <v>1083.16780667706</v>
      </c>
      <c r="AL113" s="55" t="n">
        <v>1047.06289775526</v>
      </c>
      <c r="AM113" s="55" t="n">
        <v>1017.81199720388</v>
      </c>
      <c r="AN113" s="55" t="n">
        <v>995.553513927524</v>
      </c>
      <c r="AO113" s="52" t="n">
        <v>1006.21862527815</v>
      </c>
      <c r="AP113" s="51" t="n">
        <v>1009.15699410474</v>
      </c>
      <c r="AQ113" s="57" t="n">
        <v>1001.33283078723</v>
      </c>
      <c r="AR113" s="58" t="n">
        <v>1000</v>
      </c>
    </row>
    <row r="114" customFormat="false" ht="19.7" hidden="false" customHeight="false" outlineLevel="0" collapsed="false">
      <c r="A114" s="23" t="s">
        <v>150</v>
      </c>
      <c r="B114" s="270" t="s">
        <v>462</v>
      </c>
      <c r="C114" s="54" t="n">
        <v>1371.98093037707</v>
      </c>
      <c r="D114" s="48" t="n">
        <v>1384.33442273707</v>
      </c>
      <c r="E114" s="55" t="n">
        <v>1384.33442273707</v>
      </c>
      <c r="F114" s="56" t="n">
        <v>1370.66701915795</v>
      </c>
      <c r="G114" s="55" t="n">
        <v>1335.61696621548</v>
      </c>
      <c r="H114" s="56" t="n">
        <v>1211.18941330441</v>
      </c>
      <c r="I114" s="55" t="n">
        <v>1203.41172922645</v>
      </c>
      <c r="J114" s="50" t="n">
        <v>1178.92947081228</v>
      </c>
      <c r="K114" s="51" t="n">
        <v>1159.38749387483</v>
      </c>
      <c r="L114" s="56" t="n">
        <v>1151.25823812532</v>
      </c>
      <c r="M114" s="55" t="n">
        <v>1154.72394934038</v>
      </c>
      <c r="N114" s="56" t="n">
        <v>1155.49251675739</v>
      </c>
      <c r="O114" s="56" t="n">
        <v>1131.52537032191</v>
      </c>
      <c r="P114" s="55" t="n">
        <v>1074.56276120768</v>
      </c>
      <c r="Q114" s="52" t="n">
        <v>1093.27520018645</v>
      </c>
      <c r="R114" s="51" t="n">
        <v>1084.71678336241</v>
      </c>
      <c r="S114" s="55" t="n">
        <v>1062.29082808812</v>
      </c>
      <c r="T114" s="56" t="n">
        <v>1068.15005105525</v>
      </c>
      <c r="U114" s="55" t="n">
        <v>1178.9377476732</v>
      </c>
      <c r="V114" s="55" t="n">
        <v>1297.14889118046</v>
      </c>
      <c r="W114" s="56" t="n">
        <v>1284.01720041364</v>
      </c>
      <c r="X114" s="56" t="n">
        <v>1280.11164585522</v>
      </c>
      <c r="Y114" s="50" t="n">
        <v>1282.0009554006</v>
      </c>
      <c r="Z114" s="51" t="n">
        <v>1201.7430381435</v>
      </c>
      <c r="AA114" s="55" t="n">
        <v>1205.53413298421</v>
      </c>
      <c r="AB114" s="56" t="n">
        <v>1178.94185564387</v>
      </c>
      <c r="AC114" s="55" t="n">
        <v>1087.67942286592</v>
      </c>
      <c r="AD114" s="52" t="n">
        <v>1066.07001993893</v>
      </c>
      <c r="AE114" s="51" t="n">
        <v>994.939266319325</v>
      </c>
      <c r="AF114" s="55" t="n">
        <v>978.621277361791</v>
      </c>
      <c r="AG114" s="56" t="n">
        <v>962.880491332894</v>
      </c>
      <c r="AH114" s="55" t="n">
        <v>949.811539391652</v>
      </c>
      <c r="AI114" s="55" t="n">
        <v>933.956092668926</v>
      </c>
      <c r="AJ114" s="50" t="n">
        <v>1024.50059378135</v>
      </c>
      <c r="AK114" s="51" t="n">
        <v>1036.32546784094</v>
      </c>
      <c r="AL114" s="55" t="n">
        <v>1001.86958665258</v>
      </c>
      <c r="AM114" s="55" t="n">
        <v>985.813239720211</v>
      </c>
      <c r="AN114" s="55" t="n">
        <v>992.253811546543</v>
      </c>
      <c r="AO114" s="52" t="n">
        <v>1003.15926106259</v>
      </c>
      <c r="AP114" s="51" t="n">
        <v>973.983459501735</v>
      </c>
      <c r="AQ114" s="63" t="n">
        <v>1026.8993497</v>
      </c>
      <c r="AR114" s="58" t="n">
        <v>1000</v>
      </c>
    </row>
    <row r="115" customFormat="false" ht="19.7" hidden="false" customHeight="false" outlineLevel="0" collapsed="false">
      <c r="A115" s="23" t="s">
        <v>88</v>
      </c>
      <c r="B115" s="270" t="s">
        <v>463</v>
      </c>
      <c r="C115" s="54" t="n">
        <v>2357.88418489233</v>
      </c>
      <c r="D115" s="48" t="n">
        <v>2315.03515863226</v>
      </c>
      <c r="E115" s="55" t="n">
        <v>2383.47762422071</v>
      </c>
      <c r="F115" s="56" t="n">
        <v>2309.10587504497</v>
      </c>
      <c r="G115" s="55" t="n">
        <v>2196.18068370589</v>
      </c>
      <c r="H115" s="56" t="n">
        <v>1999.97909620747</v>
      </c>
      <c r="I115" s="55" t="n">
        <v>2025.61520729777</v>
      </c>
      <c r="J115" s="50" t="n">
        <v>1895.48927884179</v>
      </c>
      <c r="K115" s="51" t="n">
        <v>1672.03223390021</v>
      </c>
      <c r="L115" s="48" t="n">
        <v>1682.11736036407</v>
      </c>
      <c r="M115" s="55" t="n">
        <v>1633.1300237283</v>
      </c>
      <c r="N115" s="56" t="n">
        <v>1632.37278780319</v>
      </c>
      <c r="O115" s="56" t="n">
        <v>1621.85858375668</v>
      </c>
      <c r="P115" s="55" t="n">
        <v>1586.36725386777</v>
      </c>
      <c r="Q115" s="52" t="n">
        <v>1575.19663541599</v>
      </c>
      <c r="R115" s="51" t="n">
        <v>1489.11026843092</v>
      </c>
      <c r="S115" s="55" t="n">
        <v>1416.6838242412</v>
      </c>
      <c r="T115" s="56" t="n">
        <v>1496.09472566544</v>
      </c>
      <c r="U115" s="55" t="n">
        <v>1508.44432347978</v>
      </c>
      <c r="V115" s="55" t="n">
        <v>1557.69850277827</v>
      </c>
      <c r="W115" s="56" t="n">
        <v>1532.8455318585</v>
      </c>
      <c r="X115" s="56" t="n">
        <v>1460.13807591235</v>
      </c>
      <c r="Y115" s="50" t="n">
        <v>1563.71128271391</v>
      </c>
      <c r="Z115" s="51" t="n">
        <v>1497.15146610851</v>
      </c>
      <c r="AA115" s="55" t="n">
        <v>1387.31849883393</v>
      </c>
      <c r="AB115" s="56" t="n">
        <v>1455.29784438881</v>
      </c>
      <c r="AC115" s="55" t="n">
        <v>1318.13499696619</v>
      </c>
      <c r="AD115" s="52" t="n">
        <v>1222.98801694993</v>
      </c>
      <c r="AE115" s="51" t="n">
        <v>1167.43690521359</v>
      </c>
      <c r="AF115" s="55" t="n">
        <v>1162.5723491976</v>
      </c>
      <c r="AG115" s="56" t="n">
        <v>1170.47750651959</v>
      </c>
      <c r="AH115" s="55" t="n">
        <v>1113.8172248871</v>
      </c>
      <c r="AI115" s="55" t="n">
        <v>975.659232671201</v>
      </c>
      <c r="AJ115" s="50" t="n">
        <v>1192.34955523803</v>
      </c>
      <c r="AK115" s="51" t="n">
        <v>1148.86822015431</v>
      </c>
      <c r="AL115" s="55" t="n">
        <v>1099.12401521379</v>
      </c>
      <c r="AM115" s="55" t="n">
        <v>1052.32955818867</v>
      </c>
      <c r="AN115" s="55" t="n">
        <v>1036.90442620961</v>
      </c>
      <c r="AO115" s="52" t="n">
        <v>1032.20539379818</v>
      </c>
      <c r="AP115" s="51" t="n">
        <v>1008.58049367492</v>
      </c>
      <c r="AQ115" s="61" t="n">
        <v>1007.43119859785</v>
      </c>
      <c r="AR115" s="58" t="n">
        <v>1000</v>
      </c>
    </row>
    <row r="117" customFormat="false" ht="12.8" hidden="false" customHeight="false" outlineLevel="0" collapsed="false">
      <c r="B117" s="18" t="s">
        <v>464</v>
      </c>
    </row>
    <row r="118" customFormat="false" ht="12.8" hidden="false" customHeight="false" outlineLevel="0" collapsed="false">
      <c r="A118" s="284"/>
      <c r="B118" s="284" t="s">
        <v>465</v>
      </c>
    </row>
    <row r="119" customFormat="false" ht="12.8" hidden="false" customHeight="false" outlineLevel="0" collapsed="false">
      <c r="A119" s="285"/>
      <c r="B119" s="285" t="s">
        <v>466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7771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2024-09-05T05:17:55Z</dcterms:created>
  <dc:creator/>
  <dc:description/>
  <dc:language>en-US</dc:language>
  <cp:lastModifiedBy/>
  <dcterms:modified xsi:type="dcterms:W3CDTF">2025-04-14T22:06:15Z</dcterms:modified>
  <cp:revision>185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